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2020 Budget Review\2020 Revised Budget Final\"/>
    </mc:Choice>
  </mc:AlternateContent>
  <bookViews>
    <workbookView xWindow="-120" yWindow="-120" windowWidth="20730" windowHeight="11160" tabRatio="606"/>
  </bookViews>
  <sheets>
    <sheet name="Master Bgt" sheetId="6" r:id="rId1"/>
    <sheet name="Summary of Rev" sheetId="1" r:id="rId2"/>
    <sheet name="Rev Sum of MDAs" sheetId="5" r:id="rId3"/>
    <sheet name="Detailed Revenue" sheetId="4" r:id="rId4"/>
  </sheets>
  <externalReferences>
    <externalReference r:id="rId5"/>
  </externalReferences>
  <definedNames>
    <definedName name="_xlnm._FilterDatabase" localSheetId="3" hidden="1">'Detailed Revenue'!$B$1:$B$731</definedName>
    <definedName name="_xlnm._FilterDatabase" localSheetId="2" hidden="1">'Rev Sum of MDAs'!$B$1:$B$1094</definedName>
    <definedName name="_xlnm.Print_Area" localSheetId="3">'Detailed Revenue'!$A$1:$J$730</definedName>
    <definedName name="_xlnm.Print_Area" localSheetId="0">'Master Bgt'!$A$1:$I$81</definedName>
    <definedName name="_xlnm.Print_Area" localSheetId="2">'Rev Sum of MDAs'!$A$1:$E$63</definedName>
    <definedName name="_xlnm.Print_Area" localSheetId="1">'Summary of Rev'!$A$1:$E$48</definedName>
  </definedNames>
  <calcPr calcId="152511"/>
</workbook>
</file>

<file path=xl/calcChain.xml><?xml version="1.0" encoding="utf-8"?>
<calcChain xmlns="http://schemas.openxmlformats.org/spreadsheetml/2006/main">
  <c r="H49" i="6" l="1"/>
  <c r="G9" i="4" l="1"/>
  <c r="H24" i="6" l="1"/>
  <c r="H23" i="6"/>
  <c r="F24" i="6"/>
  <c r="F23" i="6"/>
  <c r="D24" i="6"/>
  <c r="D23" i="6"/>
  <c r="D44" i="6"/>
  <c r="D42" i="6"/>
  <c r="D41" i="6"/>
  <c r="D40" i="6"/>
  <c r="D34" i="6"/>
  <c r="D33" i="6"/>
  <c r="D32" i="6"/>
  <c r="D31" i="6"/>
  <c r="G8" i="4"/>
  <c r="G714" i="4"/>
  <c r="H44" i="6"/>
  <c r="H41" i="6"/>
  <c r="H42" i="6"/>
  <c r="F42" i="6"/>
  <c r="F41" i="6"/>
  <c r="H40" i="6"/>
  <c r="F40" i="6"/>
  <c r="H33" i="6"/>
  <c r="F33" i="6"/>
  <c r="H32" i="6"/>
  <c r="F32" i="6"/>
  <c r="F676" i="4"/>
  <c r="F484" i="4"/>
  <c r="F313" i="4"/>
  <c r="F312" i="4"/>
  <c r="F304" i="4"/>
  <c r="F302" i="4"/>
  <c r="F299" i="4"/>
  <c r="D45" i="6" l="1"/>
  <c r="D35" i="6"/>
  <c r="H45" i="6"/>
  <c r="F293" i="4"/>
  <c r="F290" i="4"/>
  <c r="F289" i="4"/>
  <c r="F284" i="4"/>
  <c r="F283" i="4"/>
  <c r="F282" i="4"/>
  <c r="F273" i="4"/>
  <c r="F272" i="4"/>
  <c r="F271" i="4"/>
  <c r="F262" i="4"/>
  <c r="F261" i="4"/>
  <c r="F642" i="4" l="1"/>
  <c r="F418" i="4"/>
  <c r="F70" i="4"/>
  <c r="F69" i="4"/>
  <c r="F68" i="4"/>
  <c r="F53" i="4"/>
  <c r="F52" i="4"/>
  <c r="F48" i="4"/>
  <c r="F37" i="4"/>
  <c r="F34" i="4"/>
  <c r="F33" i="4"/>
  <c r="F32" i="4"/>
  <c r="F31" i="4"/>
  <c r="F215" i="4"/>
  <c r="F566" i="4"/>
  <c r="F565" i="4"/>
  <c r="F561" i="4"/>
  <c r="G10" i="4" l="1"/>
  <c r="G11" i="4"/>
  <c r="F389" i="4" l="1"/>
  <c r="F667" i="4"/>
  <c r="F666" i="4"/>
  <c r="F665" i="4"/>
  <c r="F664" i="4"/>
  <c r="F663" i="4"/>
  <c r="F541" i="4"/>
  <c r="F540" i="4"/>
  <c r="F538" i="4"/>
  <c r="F537" i="4"/>
  <c r="F536" i="4"/>
  <c r="F534" i="4"/>
  <c r="F533" i="4"/>
  <c r="F532" i="4"/>
  <c r="F531" i="4"/>
  <c r="F530" i="4"/>
  <c r="F529" i="4"/>
  <c r="F441" i="4"/>
  <c r="F440" i="4"/>
  <c r="F233" i="4"/>
  <c r="F232" i="4"/>
  <c r="F231" i="4"/>
  <c r="F503" i="4" l="1"/>
  <c r="F165" i="4"/>
  <c r="F159" i="4"/>
  <c r="F158" i="4"/>
  <c r="F429" i="4"/>
  <c r="F628" i="4"/>
  <c r="F627" i="4"/>
  <c r="F81" i="4"/>
  <c r="F80" i="4"/>
  <c r="F78" i="4"/>
  <c r="F77" i="4"/>
  <c r="G684" i="4" l="1"/>
  <c r="G680" i="4"/>
  <c r="G31" i="4"/>
  <c r="F122" i="4"/>
  <c r="F105" i="4" l="1"/>
  <c r="F11" i="4"/>
  <c r="F10" i="4"/>
  <c r="F9" i="4"/>
  <c r="F8" i="4"/>
  <c r="F97" i="4"/>
  <c r="F128" i="4"/>
  <c r="F546" i="4"/>
  <c r="F545" i="4"/>
  <c r="F437" i="4" l="1"/>
  <c r="F527" i="4"/>
  <c r="F526" i="4"/>
  <c r="F525" i="4"/>
  <c r="F524" i="4"/>
  <c r="F523" i="4"/>
  <c r="F522" i="4"/>
  <c r="F521" i="4"/>
  <c r="F94" i="4"/>
  <c r="F607" i="4" l="1"/>
  <c r="F674" i="4" l="1"/>
  <c r="G674" i="4"/>
  <c r="E674" i="4"/>
  <c r="G722" i="4" l="1"/>
  <c r="G660" i="4" l="1"/>
  <c r="F660" i="4"/>
  <c r="E660" i="4"/>
  <c r="G715" i="4" l="1"/>
  <c r="E684" i="4" l="1"/>
  <c r="G205" i="4" l="1"/>
  <c r="G171" i="4" l="1"/>
  <c r="G685" i="4" l="1"/>
  <c r="G681" i="4"/>
  <c r="G677" i="4"/>
  <c r="G675" i="4"/>
  <c r="G637" i="4"/>
  <c r="G624" i="4"/>
  <c r="G621" i="4"/>
  <c r="G618" i="4"/>
  <c r="G614" i="4"/>
  <c r="G613" i="4"/>
  <c r="G607" i="4"/>
  <c r="G604" i="4"/>
  <c r="G603" i="4"/>
  <c r="G602" i="4"/>
  <c r="G601" i="4"/>
  <c r="G599" i="4"/>
  <c r="G598" i="4"/>
  <c r="G596" i="4"/>
  <c r="G587" i="4"/>
  <c r="G585" i="4"/>
  <c r="G584" i="4"/>
  <c r="G583" i="4"/>
  <c r="G582" i="4"/>
  <c r="G579" i="4"/>
  <c r="G576" i="4"/>
  <c r="G574" i="4"/>
  <c r="G568" i="4"/>
  <c r="G567" i="4"/>
  <c r="G566" i="4"/>
  <c r="G565" i="4"/>
  <c r="G563" i="4"/>
  <c r="G562" i="4"/>
  <c r="G539" i="4"/>
  <c r="G538" i="4"/>
  <c r="G537" i="4"/>
  <c r="G534" i="4"/>
  <c r="G533" i="4"/>
  <c r="G532" i="4"/>
  <c r="G531" i="4"/>
  <c r="G530" i="4"/>
  <c r="G529" i="4"/>
  <c r="G513" i="4"/>
  <c r="G504" i="4"/>
  <c r="G503" i="4"/>
  <c r="G494" i="4"/>
  <c r="G488" i="4"/>
  <c r="G487" i="4"/>
  <c r="G486" i="4"/>
  <c r="G485" i="4"/>
  <c r="G484" i="4"/>
  <c r="G475" i="4"/>
  <c r="G472" i="4"/>
  <c r="G471" i="4"/>
  <c r="G465" i="4"/>
  <c r="G464" i="4"/>
  <c r="G463" i="4"/>
  <c r="G462" i="4"/>
  <c r="G461" i="4"/>
  <c r="G456" i="4"/>
  <c r="G446" i="4"/>
  <c r="G440" i="4"/>
  <c r="G439" i="4"/>
  <c r="G437" i="4"/>
  <c r="G434" i="4"/>
  <c r="G429" i="4"/>
  <c r="G422" i="4"/>
  <c r="G421" i="4"/>
  <c r="G418" i="4"/>
  <c r="G416" i="4"/>
  <c r="G415" i="4"/>
  <c r="G412" i="4"/>
  <c r="G410" i="4"/>
  <c r="G409" i="4"/>
  <c r="G408" i="4"/>
  <c r="G404" i="4"/>
  <c r="G403" i="4"/>
  <c r="G402" i="4"/>
  <c r="G399" i="4"/>
  <c r="G396" i="4"/>
  <c r="G395" i="4"/>
  <c r="G394" i="4"/>
  <c r="G392" i="4"/>
  <c r="G391" i="4"/>
  <c r="G390" i="4"/>
  <c r="G381" i="4"/>
  <c r="G380" i="4"/>
  <c r="G369" i="4"/>
  <c r="G366" i="4"/>
  <c r="G364" i="4"/>
  <c r="G363" i="4"/>
  <c r="G362" i="4"/>
  <c r="G357" i="4"/>
  <c r="G356" i="4"/>
  <c r="G354" i="4"/>
  <c r="G353" i="4"/>
  <c r="G349" i="4"/>
  <c r="G346" i="4"/>
  <c r="G345" i="4"/>
  <c r="G340" i="4"/>
  <c r="G336" i="4"/>
  <c r="G333" i="4"/>
  <c r="G332" i="4"/>
  <c r="G331" i="4"/>
  <c r="G323" i="4"/>
  <c r="G320" i="4"/>
  <c r="G314" i="4"/>
  <c r="G312" i="4"/>
  <c r="G311" i="4"/>
  <c r="G296" i="4"/>
  <c r="G294" i="4"/>
  <c r="G288" i="4"/>
  <c r="G286" i="4"/>
  <c r="G285" i="4"/>
  <c r="G280" i="4"/>
  <c r="G279" i="4"/>
  <c r="G278" i="4"/>
  <c r="G277" i="4"/>
  <c r="G276" i="4"/>
  <c r="G275" i="4"/>
  <c r="G274" i="4"/>
  <c r="G266" i="4"/>
  <c r="G264" i="4"/>
  <c r="G263" i="4"/>
  <c r="G262" i="4"/>
  <c r="G258" i="4"/>
  <c r="G257" i="4"/>
  <c r="G256" i="4"/>
  <c r="G255" i="4"/>
  <c r="G249" i="4"/>
  <c r="G248" i="4"/>
  <c r="G247" i="4"/>
  <c r="G246" i="4"/>
  <c r="G242" i="4"/>
  <c r="G239" i="4"/>
  <c r="G238" i="4"/>
  <c r="G237" i="4"/>
  <c r="G234" i="4"/>
  <c r="G233" i="4"/>
  <c r="G232" i="4"/>
  <c r="G231" i="4"/>
  <c r="G228" i="4"/>
  <c r="G227" i="4"/>
  <c r="G226" i="4"/>
  <c r="G224" i="4"/>
  <c r="G220" i="4"/>
  <c r="G219" i="4"/>
  <c r="G212" i="4"/>
  <c r="G209" i="4"/>
  <c r="G208" i="4"/>
  <c r="G204" i="4"/>
  <c r="G200" i="4"/>
  <c r="G199" i="4"/>
  <c r="G198" i="4"/>
  <c r="G194" i="4"/>
  <c r="G193" i="4"/>
  <c r="G192" i="4"/>
  <c r="G190" i="4"/>
  <c r="G186" i="4"/>
  <c r="G185" i="4"/>
  <c r="G182" i="4"/>
  <c r="G181" i="4"/>
  <c r="G180" i="4"/>
  <c r="G177" i="4"/>
  <c r="G169" i="4"/>
  <c r="G168" i="4"/>
  <c r="G167" i="4"/>
  <c r="G165" i="4"/>
  <c r="G163" i="4"/>
  <c r="G162" i="4"/>
  <c r="G160" i="4"/>
  <c r="G158" i="4"/>
  <c r="G154" i="4"/>
  <c r="G153" i="4"/>
  <c r="G152" i="4"/>
  <c r="G150" i="4"/>
  <c r="G145" i="4"/>
  <c r="G138" i="4"/>
  <c r="G137" i="4"/>
  <c r="G132" i="4"/>
  <c r="G131" i="4"/>
  <c r="G124" i="4"/>
  <c r="G122" i="4"/>
  <c r="G119" i="4"/>
  <c r="G118" i="4"/>
  <c r="G117" i="4"/>
  <c r="G116" i="4"/>
  <c r="G112" i="4"/>
  <c r="G111" i="4"/>
  <c r="G105" i="4"/>
  <c r="G100" i="4"/>
  <c r="G97" i="4"/>
  <c r="G84" i="4"/>
  <c r="G83" i="4"/>
  <c r="G79" i="4"/>
  <c r="G75" i="4"/>
  <c r="G64" i="4"/>
  <c r="G61" i="4"/>
  <c r="G57" i="4"/>
  <c r="G52" i="4"/>
  <c r="G696" i="4"/>
  <c r="G695" i="4"/>
  <c r="I33" i="4"/>
  <c r="J33" i="4" s="1"/>
  <c r="I34" i="4"/>
  <c r="J34" i="4" s="1"/>
  <c r="I35" i="4"/>
  <c r="J35" i="4" s="1"/>
  <c r="I36" i="4"/>
  <c r="J36" i="4" s="1"/>
  <c r="I37" i="4"/>
  <c r="J37" i="4" s="1"/>
  <c r="I32" i="4"/>
  <c r="J32" i="4" s="1"/>
  <c r="G528" i="4" l="1"/>
  <c r="F528" i="4"/>
  <c r="E528" i="4"/>
  <c r="G389" i="4" l="1"/>
  <c r="E389" i="4"/>
  <c r="F39" i="4" l="1"/>
  <c r="E725" i="4"/>
  <c r="E723" i="4"/>
  <c r="E719" i="4" s="1"/>
  <c r="E715" i="4"/>
  <c r="E713" i="4" s="1"/>
  <c r="E711" i="4" s="1"/>
  <c r="E703" i="4"/>
  <c r="E700" i="4"/>
  <c r="E697" i="4"/>
  <c r="E693" i="4"/>
  <c r="E682" i="4"/>
  <c r="E678" i="4"/>
  <c r="E668" i="4"/>
  <c r="E657" i="4"/>
  <c r="E654" i="4"/>
  <c r="E647" i="4"/>
  <c r="E645" i="4" s="1"/>
  <c r="E642" i="4"/>
  <c r="E638" i="4"/>
  <c r="E631" i="4"/>
  <c r="E629" i="4"/>
  <c r="E625" i="4"/>
  <c r="E622" i="4"/>
  <c r="E619" i="4"/>
  <c r="E615" i="4"/>
  <c r="E611" i="4"/>
  <c r="E608" i="4"/>
  <c r="E605" i="4"/>
  <c r="E600" i="4"/>
  <c r="E591" i="4"/>
  <c r="E588" i="4"/>
  <c r="E580" i="4"/>
  <c r="E569" i="4"/>
  <c r="E560" i="4"/>
  <c r="E558" i="4"/>
  <c r="E556" i="4"/>
  <c r="E550" i="4"/>
  <c r="E547" i="4"/>
  <c r="E536" i="4"/>
  <c r="E518" i="4"/>
  <c r="E514" i="4"/>
  <c r="E511" i="4"/>
  <c r="E509" i="4"/>
  <c r="E505" i="4"/>
  <c r="E496" i="4"/>
  <c r="E492" i="4"/>
  <c r="E489" i="4"/>
  <c r="E482" i="4"/>
  <c r="E476" i="4"/>
  <c r="E473" i="4"/>
  <c r="E469" i="4"/>
  <c r="E466" i="4"/>
  <c r="E460" i="4"/>
  <c r="E457" i="4"/>
  <c r="E453" i="4"/>
  <c r="E450" i="4"/>
  <c r="E447" i="4"/>
  <c r="E442" i="4"/>
  <c r="E438" i="4"/>
  <c r="E435" i="4"/>
  <c r="E430" i="4"/>
  <c r="E427" i="4"/>
  <c r="E423" i="4"/>
  <c r="E419" i="4"/>
  <c r="E417" i="4"/>
  <c r="E413" i="4"/>
  <c r="E411" i="4"/>
  <c r="E405" i="4"/>
  <c r="E400" i="4"/>
  <c r="E397" i="4"/>
  <c r="E393" i="4"/>
  <c r="G393" i="4" s="1"/>
  <c r="E373" i="4"/>
  <c r="E370" i="4"/>
  <c r="E367" i="4"/>
  <c r="E365" i="4"/>
  <c r="E359" i="4"/>
  <c r="E350" i="4"/>
  <c r="E347" i="4"/>
  <c r="E343" i="4"/>
  <c r="E341" i="4"/>
  <c r="E337" i="4"/>
  <c r="E334" i="4"/>
  <c r="E328" i="4"/>
  <c r="E324" i="4"/>
  <c r="E322" i="4"/>
  <c r="E321" i="4"/>
  <c r="G321" i="4" s="1"/>
  <c r="E319" i="4"/>
  <c r="E302" i="4"/>
  <c r="E297" i="4"/>
  <c r="E259" i="4"/>
  <c r="E253" i="4"/>
  <c r="E250" i="4"/>
  <c r="E243" i="4"/>
  <c r="E240" i="4"/>
  <c r="E235" i="4"/>
  <c r="E229" i="4"/>
  <c r="E221" i="4"/>
  <c r="E217" i="4"/>
  <c r="E213" i="4"/>
  <c r="E210" i="4"/>
  <c r="E206" i="4"/>
  <c r="E201" i="4"/>
  <c r="E195" i="4"/>
  <c r="E188" i="4"/>
  <c r="E172" i="4"/>
  <c r="E148" i="4"/>
  <c r="E142" i="4"/>
  <c r="E139" i="4"/>
  <c r="E133" i="4"/>
  <c r="E129" i="4"/>
  <c r="E126" i="4"/>
  <c r="E120" i="4"/>
  <c r="E113" i="4"/>
  <c r="E107" i="4"/>
  <c r="E103" i="4"/>
  <c r="E98" i="4"/>
  <c r="E95" i="4"/>
  <c r="E91" i="4"/>
  <c r="E86" i="4"/>
  <c r="E71" i="4"/>
  <c r="E65" i="4"/>
  <c r="E62" i="4"/>
  <c r="E59" i="4"/>
  <c r="E54" i="4"/>
  <c r="E42" i="4"/>
  <c r="E39" i="4"/>
  <c r="E12" i="4"/>
  <c r="E7" i="4" s="1"/>
  <c r="E686" i="4" l="1"/>
  <c r="E652" i="4" s="1"/>
  <c r="E315" i="4"/>
  <c r="G302" i="4"/>
  <c r="E643" i="4"/>
  <c r="E633" i="4" s="1"/>
  <c r="E325" i="4"/>
  <c r="E542" i="4"/>
  <c r="E501" i="4" s="1"/>
  <c r="G536" i="4"/>
  <c r="E30" i="4"/>
  <c r="E717" i="4"/>
  <c r="E46" i="4"/>
  <c r="E689" i="4"/>
  <c r="E330" i="4"/>
  <c r="E595" i="4"/>
  <c r="E626" i="4"/>
  <c r="E352" i="4"/>
  <c r="F54" i="6"/>
  <c r="H12" i="6"/>
  <c r="F12" i="6"/>
  <c r="D12" i="6"/>
  <c r="H11" i="6"/>
  <c r="F11" i="6"/>
  <c r="D11" i="6"/>
  <c r="H10" i="6"/>
  <c r="F10" i="6"/>
  <c r="D10" i="6"/>
  <c r="H9" i="6"/>
  <c r="F9" i="6"/>
  <c r="D9" i="6"/>
  <c r="E67" i="4" l="1"/>
  <c r="E650" i="4"/>
  <c r="E44" i="4" l="1"/>
  <c r="E28" i="4" s="1"/>
  <c r="E5" i="4" s="1"/>
  <c r="C14" i="1"/>
  <c r="G496" i="4"/>
  <c r="C28" i="1" l="1"/>
  <c r="F700" i="4"/>
  <c r="G700" i="4"/>
  <c r="F325" i="4"/>
  <c r="G325" i="4"/>
  <c r="G605" i="4"/>
  <c r="F605" i="4"/>
  <c r="G411" i="4"/>
  <c r="F411" i="4"/>
  <c r="F397" i="4"/>
  <c r="G188" i="4"/>
  <c r="F417" i="4"/>
  <c r="F139" i="4"/>
  <c r="D18" i="5" l="1"/>
  <c r="C16" i="5" l="1"/>
  <c r="F638" i="4"/>
  <c r="G638" i="4"/>
  <c r="E5" i="1" l="1"/>
  <c r="E6" i="1"/>
  <c r="F725" i="4"/>
  <c r="G725" i="4"/>
  <c r="E30" i="1" l="1"/>
  <c r="H55" i="6" s="1"/>
  <c r="C30" i="1"/>
  <c r="D55" i="6" s="1"/>
  <c r="D30" i="1"/>
  <c r="F55" i="6" s="1"/>
  <c r="F334" i="4"/>
  <c r="D42" i="5" s="1"/>
  <c r="G334" i="4"/>
  <c r="E42" i="5" s="1"/>
  <c r="C42" i="5"/>
  <c r="F682" i="4"/>
  <c r="G682" i="4"/>
  <c r="F686" i="4"/>
  <c r="G686" i="4"/>
  <c r="C38" i="5" l="1"/>
  <c r="F615" i="4"/>
  <c r="G482" i="4"/>
  <c r="G489" i="4"/>
  <c r="G492" i="4"/>
  <c r="E38" i="5" s="1"/>
  <c r="G505" i="4"/>
  <c r="G509" i="4"/>
  <c r="G511" i="4"/>
  <c r="G514" i="4"/>
  <c r="G518" i="4"/>
  <c r="G542" i="4"/>
  <c r="G547" i="4"/>
  <c r="G550" i="4"/>
  <c r="G556" i="4"/>
  <c r="G558" i="4"/>
  <c r="G560" i="4"/>
  <c r="G569" i="4"/>
  <c r="G580" i="4"/>
  <c r="G588" i="4"/>
  <c r="G591" i="4"/>
  <c r="G600" i="4"/>
  <c r="G608" i="4"/>
  <c r="G611" i="4"/>
  <c r="G615" i="4"/>
  <c r="G619" i="4"/>
  <c r="G622" i="4"/>
  <c r="G625" i="4"/>
  <c r="G629" i="4"/>
  <c r="G631" i="4"/>
  <c r="G643" i="4"/>
  <c r="G647" i="4"/>
  <c r="G645" i="4" s="1"/>
  <c r="G654" i="4"/>
  <c r="G657" i="4"/>
  <c r="G668" i="4"/>
  <c r="G678" i="4"/>
  <c r="G693" i="4"/>
  <c r="G697" i="4"/>
  <c r="G703" i="4"/>
  <c r="G713" i="4"/>
  <c r="G711" i="4" s="1"/>
  <c r="G723" i="4"/>
  <c r="G633" i="4" l="1"/>
  <c r="G719" i="4"/>
  <c r="G717" i="4" s="1"/>
  <c r="G689" i="4"/>
  <c r="G652" i="4"/>
  <c r="G626" i="4"/>
  <c r="G595" i="4"/>
  <c r="G501" i="4"/>
  <c r="G650" i="4" l="1"/>
  <c r="E29" i="1"/>
  <c r="C26" i="1"/>
  <c r="C27" i="1"/>
  <c r="D14" i="6" l="1"/>
  <c r="E28" i="1"/>
  <c r="G39" i="4"/>
  <c r="G42" i="4"/>
  <c r="G54" i="4"/>
  <c r="G59" i="4"/>
  <c r="G62" i="4"/>
  <c r="G65" i="4"/>
  <c r="G71" i="4"/>
  <c r="G86" i="4"/>
  <c r="G91" i="4"/>
  <c r="G95" i="4"/>
  <c r="E12" i="5" s="1"/>
  <c r="G98" i="4"/>
  <c r="E13" i="5" s="1"/>
  <c r="G103" i="4"/>
  <c r="E14" i="5" s="1"/>
  <c r="G107" i="4"/>
  <c r="G113" i="4"/>
  <c r="G120" i="4"/>
  <c r="G126" i="4"/>
  <c r="G129" i="4"/>
  <c r="G133" i="4"/>
  <c r="G139" i="4"/>
  <c r="G142" i="4"/>
  <c r="G148" i="4"/>
  <c r="G172" i="4"/>
  <c r="G195" i="4"/>
  <c r="E24" i="5" s="1"/>
  <c r="G201" i="4"/>
  <c r="G206" i="4"/>
  <c r="E26" i="5" s="1"/>
  <c r="G210" i="4"/>
  <c r="E27" i="5" s="1"/>
  <c r="G213" i="4"/>
  <c r="G217" i="4"/>
  <c r="G221" i="4"/>
  <c r="G229" i="4"/>
  <c r="G235" i="4"/>
  <c r="G240" i="4"/>
  <c r="G243" i="4"/>
  <c r="E33" i="5" s="1"/>
  <c r="G250" i="4"/>
  <c r="G253" i="4"/>
  <c r="G259" i="4"/>
  <c r="G315" i="4"/>
  <c r="E37" i="5" s="1"/>
  <c r="G297" i="4"/>
  <c r="E36" i="5" s="1"/>
  <c r="G328" i="4"/>
  <c r="E39" i="5" s="1"/>
  <c r="G337" i="4"/>
  <c r="G341" i="4"/>
  <c r="G343" i="4"/>
  <c r="G347" i="4"/>
  <c r="G350" i="4"/>
  <c r="G359" i="4"/>
  <c r="G365" i="4"/>
  <c r="G367" i="4"/>
  <c r="G370" i="4"/>
  <c r="G373" i="4"/>
  <c r="E44" i="5" s="1"/>
  <c r="E45" i="5"/>
  <c r="G397" i="4"/>
  <c r="E46" i="5" s="1"/>
  <c r="G400" i="4"/>
  <c r="E47" i="5" s="1"/>
  <c r="G405" i="4"/>
  <c r="E48" i="5" s="1"/>
  <c r="G413" i="4"/>
  <c r="G417" i="4"/>
  <c r="G419" i="4"/>
  <c r="G423" i="4"/>
  <c r="G427" i="4"/>
  <c r="E49" i="5" s="1"/>
  <c r="G430" i="4"/>
  <c r="E50" i="5" s="1"/>
  <c r="G435" i="4"/>
  <c r="G438" i="4"/>
  <c r="E51" i="5" s="1"/>
  <c r="G442" i="4"/>
  <c r="G447" i="4"/>
  <c r="G450" i="4"/>
  <c r="G453" i="4"/>
  <c r="G457" i="4"/>
  <c r="G460" i="4"/>
  <c r="G466" i="4"/>
  <c r="G469" i="4"/>
  <c r="G473" i="4"/>
  <c r="G476" i="4"/>
  <c r="E54" i="5"/>
  <c r="E55" i="5"/>
  <c r="E21" i="1"/>
  <c r="E7" i="1"/>
  <c r="E8" i="1"/>
  <c r="F643" i="4"/>
  <c r="F42" i="4"/>
  <c r="F30" i="4" s="1"/>
  <c r="F54" i="4"/>
  <c r="F59" i="4"/>
  <c r="F62" i="4"/>
  <c r="F65" i="4"/>
  <c r="F71" i="4"/>
  <c r="F86" i="4"/>
  <c r="F91" i="4"/>
  <c r="F95" i="4"/>
  <c r="D12" i="5" s="1"/>
  <c r="F98" i="4"/>
  <c r="D13" i="5" s="1"/>
  <c r="F103" i="4"/>
  <c r="F107" i="4"/>
  <c r="F113" i="4"/>
  <c r="F120" i="4"/>
  <c r="F126" i="4"/>
  <c r="F129" i="4"/>
  <c r="F133" i="4"/>
  <c r="F142" i="4"/>
  <c r="F148" i="4"/>
  <c r="F172" i="4"/>
  <c r="F188" i="4"/>
  <c r="F195" i="4"/>
  <c r="F201" i="4"/>
  <c r="F206" i="4"/>
  <c r="D26" i="5" s="1"/>
  <c r="F210" i="4"/>
  <c r="D27" i="5" s="1"/>
  <c r="F213" i="4"/>
  <c r="F217" i="4"/>
  <c r="F221" i="4"/>
  <c r="F229" i="4"/>
  <c r="F235" i="4"/>
  <c r="F240" i="4"/>
  <c r="F243" i="4"/>
  <c r="D33" i="5" s="1"/>
  <c r="F250" i="4"/>
  <c r="F253" i="4"/>
  <c r="F259" i="4"/>
  <c r="F315" i="4"/>
  <c r="F297" i="4"/>
  <c r="F328" i="4"/>
  <c r="D39" i="5" s="1"/>
  <c r="F419" i="4"/>
  <c r="F359" i="4"/>
  <c r="F365" i="4"/>
  <c r="F367" i="4"/>
  <c r="F370" i="4"/>
  <c r="D43" i="5" s="1"/>
  <c r="F373" i="4"/>
  <c r="D44" i="5" s="1"/>
  <c r="F393" i="4"/>
  <c r="D45" i="5" s="1"/>
  <c r="D46" i="5"/>
  <c r="F400" i="4"/>
  <c r="D47" i="5" s="1"/>
  <c r="F405" i="4"/>
  <c r="D48" i="5" s="1"/>
  <c r="F413" i="4"/>
  <c r="F423" i="4"/>
  <c r="F427" i="4"/>
  <c r="D49" i="5" s="1"/>
  <c r="F430" i="4"/>
  <c r="F435" i="4"/>
  <c r="F438" i="4"/>
  <c r="F442" i="4"/>
  <c r="F447" i="4"/>
  <c r="F450" i="4"/>
  <c r="F453" i="4"/>
  <c r="F457" i="4"/>
  <c r="F460" i="4"/>
  <c r="F466" i="4"/>
  <c r="F469" i="4"/>
  <c r="F473" i="4"/>
  <c r="F476" i="4"/>
  <c r="F482" i="4"/>
  <c r="F489" i="4"/>
  <c r="F492" i="4"/>
  <c r="D38" i="5" s="1"/>
  <c r="F496" i="4"/>
  <c r="F337" i="4"/>
  <c r="F341" i="4"/>
  <c r="F343" i="4"/>
  <c r="F347" i="4"/>
  <c r="F350" i="4"/>
  <c r="F505" i="4"/>
  <c r="F509" i="4"/>
  <c r="F511" i="4"/>
  <c r="F514" i="4"/>
  <c r="F518" i="4"/>
  <c r="F542" i="4"/>
  <c r="F547" i="4"/>
  <c r="D54" i="5" s="1"/>
  <c r="F550" i="4"/>
  <c r="F556" i="4"/>
  <c r="F558" i="4"/>
  <c r="F560" i="4"/>
  <c r="F569" i="4"/>
  <c r="F580" i="4"/>
  <c r="F588" i="4"/>
  <c r="F591" i="4"/>
  <c r="F600" i="4"/>
  <c r="F608" i="4"/>
  <c r="D55" i="5" s="1"/>
  <c r="F611" i="4"/>
  <c r="F619" i="4"/>
  <c r="F622" i="4"/>
  <c r="F625" i="4"/>
  <c r="F629" i="4"/>
  <c r="F631" i="4"/>
  <c r="F647" i="4"/>
  <c r="F645" i="4" s="1"/>
  <c r="D5" i="1"/>
  <c r="D6" i="1"/>
  <c r="D7" i="1"/>
  <c r="D8" i="1"/>
  <c r="F654" i="4"/>
  <c r="F657" i="4"/>
  <c r="F668" i="4"/>
  <c r="F678" i="4"/>
  <c r="F693" i="4"/>
  <c r="F697" i="4"/>
  <c r="F703" i="4"/>
  <c r="D28" i="1"/>
  <c r="F7" i="6" s="1"/>
  <c r="F723" i="4"/>
  <c r="C5" i="1"/>
  <c r="C6" i="1"/>
  <c r="C7" i="1"/>
  <c r="C8" i="1"/>
  <c r="C12" i="5"/>
  <c r="C13" i="5"/>
  <c r="C14" i="5"/>
  <c r="C18" i="5"/>
  <c r="C24" i="5"/>
  <c r="C26" i="5"/>
  <c r="C27" i="5"/>
  <c r="C33" i="5"/>
  <c r="C34" i="5"/>
  <c r="C37" i="5"/>
  <c r="C36" i="5"/>
  <c r="C39" i="5"/>
  <c r="C43" i="5"/>
  <c r="C44" i="5"/>
  <c r="C45" i="5"/>
  <c r="C46" i="5"/>
  <c r="C47" i="5"/>
  <c r="C48" i="5"/>
  <c r="C49" i="5"/>
  <c r="C50" i="5"/>
  <c r="C51" i="5"/>
  <c r="C35" i="5"/>
  <c r="C54" i="5"/>
  <c r="C55" i="5"/>
  <c r="C21" i="1"/>
  <c r="G12" i="4"/>
  <c r="G7" i="4" s="1"/>
  <c r="C52" i="5"/>
  <c r="C53" i="5"/>
  <c r="D52" i="5"/>
  <c r="D53" i="5"/>
  <c r="E52" i="5"/>
  <c r="E53" i="5"/>
  <c r="F715" i="4"/>
  <c r="F713" i="4" s="1"/>
  <c r="F711" i="4" s="1"/>
  <c r="F12" i="4"/>
  <c r="F7" i="4" s="1"/>
  <c r="D9" i="1" l="1"/>
  <c r="E9" i="1"/>
  <c r="D4" i="5"/>
  <c r="F633" i="4"/>
  <c r="F719" i="4"/>
  <c r="F717" i="4" s="1"/>
  <c r="D21" i="1"/>
  <c r="F21" i="1" s="1"/>
  <c r="C32" i="5"/>
  <c r="C19" i="5"/>
  <c r="E18" i="5"/>
  <c r="C31" i="5"/>
  <c r="D37" i="5"/>
  <c r="E23" i="5"/>
  <c r="E35" i="5"/>
  <c r="E32" i="5"/>
  <c r="E28" i="5"/>
  <c r="E25" i="5"/>
  <c r="C28" i="5"/>
  <c r="C25" i="5"/>
  <c r="D50" i="5"/>
  <c r="D36" i="5"/>
  <c r="D34" i="5"/>
  <c r="D30" i="5"/>
  <c r="D23" i="5"/>
  <c r="D17" i="5"/>
  <c r="E19" i="5"/>
  <c r="C29" i="5"/>
  <c r="C17" i="5"/>
  <c r="C10" i="5"/>
  <c r="D31" i="5"/>
  <c r="D24" i="5"/>
  <c r="D16" i="5"/>
  <c r="F67" i="4"/>
  <c r="E34" i="5"/>
  <c r="E30" i="5"/>
  <c r="E17" i="5"/>
  <c r="C30" i="5"/>
  <c r="C23" i="5"/>
  <c r="D51" i="5"/>
  <c r="D35" i="5"/>
  <c r="D32" i="5"/>
  <c r="D28" i="5"/>
  <c r="D25" i="5"/>
  <c r="D19" i="5"/>
  <c r="D14" i="5"/>
  <c r="E31" i="5"/>
  <c r="E16" i="5"/>
  <c r="G67" i="4"/>
  <c r="F689" i="4"/>
  <c r="F330" i="4"/>
  <c r="G46" i="4"/>
  <c r="F46" i="4"/>
  <c r="G330" i="4"/>
  <c r="F652" i="4"/>
  <c r="E9" i="5"/>
  <c r="E8" i="5"/>
  <c r="E11" i="5"/>
  <c r="D8" i="5"/>
  <c r="C20" i="5"/>
  <c r="E20" i="5"/>
  <c r="E6" i="5"/>
  <c r="D7" i="5"/>
  <c r="F7" i="1"/>
  <c r="F5" i="1"/>
  <c r="F28" i="1"/>
  <c r="F6" i="1"/>
  <c r="F8" i="1"/>
  <c r="E5" i="5"/>
  <c r="E15" i="5"/>
  <c r="C11" i="5"/>
  <c r="C20" i="1"/>
  <c r="C6" i="5"/>
  <c r="D11" i="5"/>
  <c r="D20" i="5"/>
  <c r="E26" i="1"/>
  <c r="D5" i="5"/>
  <c r="C15" i="5"/>
  <c r="C17" i="1"/>
  <c r="F626" i="4"/>
  <c r="E4" i="5"/>
  <c r="C5" i="5"/>
  <c r="C8" i="5"/>
  <c r="D6" i="5"/>
  <c r="E29" i="5"/>
  <c r="C18" i="1"/>
  <c r="C4" i="5"/>
  <c r="G30" i="4"/>
  <c r="E12" i="1" s="1"/>
  <c r="C29" i="1"/>
  <c r="C7" i="5"/>
  <c r="C9" i="5"/>
  <c r="C9" i="1"/>
  <c r="D15" i="5"/>
  <c r="F501" i="4"/>
  <c r="D29" i="5"/>
  <c r="E27" i="1"/>
  <c r="E19" i="1"/>
  <c r="G352" i="4"/>
  <c r="C19" i="1"/>
  <c r="E17" i="1"/>
  <c r="F595" i="4"/>
  <c r="F352" i="4"/>
  <c r="E20" i="1"/>
  <c r="E18" i="1"/>
  <c r="H54" i="6"/>
  <c r="H56" i="6" s="1"/>
  <c r="D10" i="5"/>
  <c r="E7" i="5"/>
  <c r="E10" i="5"/>
  <c r="E43" i="5"/>
  <c r="D9" i="5"/>
  <c r="D56" i="5" l="1"/>
  <c r="E31" i="1"/>
  <c r="D54" i="6"/>
  <c r="D56" i="6" s="1"/>
  <c r="C31" i="1"/>
  <c r="H14" i="6"/>
  <c r="D29" i="1"/>
  <c r="F56" i="6" s="1"/>
  <c r="E15" i="1"/>
  <c r="E14" i="1"/>
  <c r="C13" i="1"/>
  <c r="D13" i="1"/>
  <c r="D15" i="1"/>
  <c r="D17" i="1"/>
  <c r="F17" i="1" s="1"/>
  <c r="C16" i="1"/>
  <c r="D19" i="1"/>
  <c r="F19" i="1" s="1"/>
  <c r="D16" i="1"/>
  <c r="D18" i="1"/>
  <c r="F18" i="1" s="1"/>
  <c r="D26" i="1"/>
  <c r="E13" i="1"/>
  <c r="D27" i="1"/>
  <c r="E16" i="1"/>
  <c r="D12" i="1"/>
  <c r="C15" i="1"/>
  <c r="C12" i="1"/>
  <c r="D14" i="1"/>
  <c r="D20" i="1"/>
  <c r="F20" i="1" s="1"/>
  <c r="F9" i="1"/>
  <c r="F650" i="4"/>
  <c r="C56" i="5"/>
  <c r="F44" i="4"/>
  <c r="F28" i="4" s="1"/>
  <c r="E56" i="5"/>
  <c r="G44" i="4"/>
  <c r="G28" i="4" s="1"/>
  <c r="G5" i="4" s="1"/>
  <c r="D22" i="1" l="1"/>
  <c r="F13" i="6"/>
  <c r="E22" i="1"/>
  <c r="E32" i="1" s="1"/>
  <c r="D31" i="1"/>
  <c r="F31" i="1" s="1"/>
  <c r="D13" i="6"/>
  <c r="D16" i="6" s="1"/>
  <c r="F14" i="6"/>
  <c r="F26" i="1"/>
  <c r="F29" i="1"/>
  <c r="F16" i="1"/>
  <c r="F15" i="1"/>
  <c r="F12" i="1"/>
  <c r="F14" i="1"/>
  <c r="F13" i="1"/>
  <c r="C22" i="1"/>
  <c r="F27" i="1"/>
  <c r="F5" i="4" l="1"/>
  <c r="D32" i="1"/>
  <c r="H13" i="6"/>
  <c r="H16" i="6" s="1"/>
  <c r="F24" i="1"/>
  <c r="C32" i="1"/>
  <c r="F16" i="6"/>
  <c r="F18" i="6" s="1"/>
  <c r="F22" i="1"/>
  <c r="D18" i="6"/>
  <c r="F32" i="1" l="1"/>
  <c r="K13" i="6"/>
  <c r="D25" i="6" l="1"/>
  <c r="D37" i="6" l="1"/>
  <c r="D47" i="6" s="1"/>
  <c r="F25" i="6"/>
  <c r="D49" i="6" l="1"/>
  <c r="D58" i="6" s="1"/>
  <c r="H25" i="6" l="1"/>
  <c r="F44" i="6" l="1"/>
  <c r="F45" i="6" s="1"/>
  <c r="F31" i="6" l="1"/>
  <c r="H31" i="6" l="1"/>
  <c r="F34" i="6"/>
  <c r="F35" i="6" s="1"/>
  <c r="F37" i="6" s="1"/>
  <c r="F47" i="6" s="1"/>
  <c r="F49" i="6" s="1"/>
  <c r="F58" i="6" s="1"/>
  <c r="H7" i="6" l="1"/>
  <c r="H18" i="6" s="1"/>
  <c r="H34" i="6"/>
  <c r="H35" i="6" s="1"/>
  <c r="H37" i="6" s="1"/>
  <c r="H47" i="6" s="1"/>
  <c r="H61" i="6" l="1"/>
  <c r="E33" i="1"/>
  <c r="J49" i="6"/>
  <c r="H58" i="6" l="1"/>
</calcChain>
</file>

<file path=xl/sharedStrings.xml><?xml version="1.0" encoding="utf-8"?>
<sst xmlns="http://schemas.openxmlformats.org/spreadsheetml/2006/main" count="1702" uniqueCount="648">
  <si>
    <t>Revenue Description</t>
  </si>
  <si>
    <t>Share of Federation Account Allocation</t>
  </si>
  <si>
    <t>Share of Statutory Allocation</t>
  </si>
  <si>
    <t>Share of VAT</t>
  </si>
  <si>
    <t>Share of Federation Account Allocation - Sub Total</t>
  </si>
  <si>
    <t>Independent Revenue</t>
  </si>
  <si>
    <t>Licences</t>
  </si>
  <si>
    <t>Fees</t>
  </si>
  <si>
    <t>Fines</t>
  </si>
  <si>
    <t>Sales</t>
  </si>
  <si>
    <t>Earnings</t>
  </si>
  <si>
    <t>Rent on Government Buildings</t>
  </si>
  <si>
    <t>Rent on Land &amp; Others</t>
  </si>
  <si>
    <t>Repayments</t>
  </si>
  <si>
    <t>Investment Income</t>
  </si>
  <si>
    <t>Independent Revenue - Sub Total</t>
  </si>
  <si>
    <t>Other Revenue Sources</t>
  </si>
  <si>
    <t>Domestic Grants</t>
  </si>
  <si>
    <t>Foreign Grants</t>
  </si>
  <si>
    <t>Other Capital Receipts</t>
  </si>
  <si>
    <t>Other Revenue Sources - Sub Total</t>
  </si>
  <si>
    <t>Total Revenue</t>
  </si>
  <si>
    <t>Admin Code</t>
  </si>
  <si>
    <t>Organisation Name</t>
  </si>
  <si>
    <t>022000800100</t>
  </si>
  <si>
    <t xml:space="preserve">Board of Internal Revenue Service </t>
  </si>
  <si>
    <t>021500100100</t>
  </si>
  <si>
    <t>052100100100</t>
  </si>
  <si>
    <t>Ministry of Health</t>
  </si>
  <si>
    <t>012300100100</t>
  </si>
  <si>
    <t>022900100100</t>
  </si>
  <si>
    <t>Ministry of Works, Housing &amp; Transport</t>
  </si>
  <si>
    <t>051400100100</t>
  </si>
  <si>
    <t>Ministry of Women Affairs &amp; Social Development</t>
  </si>
  <si>
    <t>026000100100</t>
  </si>
  <si>
    <t>032605100100</t>
  </si>
  <si>
    <t>High Court of Justice</t>
  </si>
  <si>
    <t>032605200100</t>
  </si>
  <si>
    <t>Customary Court of Appeal</t>
  </si>
  <si>
    <t>032605300100</t>
  </si>
  <si>
    <t>Sharia Court of Appeal</t>
  </si>
  <si>
    <t>02200100100</t>
  </si>
  <si>
    <t>025305300100</t>
  </si>
  <si>
    <t>053900100100</t>
  </si>
  <si>
    <t>022200100100</t>
  </si>
  <si>
    <t>Ministry of Commerce, Industry &amp; Cooperatives</t>
  </si>
  <si>
    <t>053500100100</t>
  </si>
  <si>
    <t>Ministry of Environment &amp; Natural Resources</t>
  </si>
  <si>
    <t>053501600100</t>
  </si>
  <si>
    <t>Nasarawa State Environmental Protection Agency</t>
  </si>
  <si>
    <t>051700100100</t>
  </si>
  <si>
    <t>014000100100</t>
  </si>
  <si>
    <t>014100100100</t>
  </si>
  <si>
    <t>023600100100</t>
  </si>
  <si>
    <t>032600100100</t>
  </si>
  <si>
    <t>Ministry of Justice</t>
  </si>
  <si>
    <t>025200100100</t>
  </si>
  <si>
    <t>025210200100</t>
  </si>
  <si>
    <t>Nasarawa State Water Board</t>
  </si>
  <si>
    <t>052110200100</t>
  </si>
  <si>
    <t>Hospitals Management Board</t>
  </si>
  <si>
    <t>051400200100</t>
  </si>
  <si>
    <t>051700300100</t>
  </si>
  <si>
    <t>Nasarawa State Universal Basic Education Board</t>
  </si>
  <si>
    <t>014800100100</t>
  </si>
  <si>
    <t>Nasarawa State Independent Electoral Commission</t>
  </si>
  <si>
    <t>051705600100</t>
  </si>
  <si>
    <t>Scholarship Board</t>
  </si>
  <si>
    <t>051405500100</t>
  </si>
  <si>
    <t>Nasarawa State Rehabilitation Board</t>
  </si>
  <si>
    <t>014700100100</t>
  </si>
  <si>
    <t>Civil Service Commission</t>
  </si>
  <si>
    <t>031801100100</t>
  </si>
  <si>
    <t>Judicial Service Commission</t>
  </si>
  <si>
    <t>014600100100</t>
  </si>
  <si>
    <t>Local Government Service Commission</t>
  </si>
  <si>
    <t>051705400100</t>
  </si>
  <si>
    <t>Teachers Service Commission</t>
  </si>
  <si>
    <t>011200400100</t>
  </si>
  <si>
    <t>House of Assembly Service Commission</t>
  </si>
  <si>
    <t>011101300100</t>
  </si>
  <si>
    <t>Office of the Secretary to the State Government</t>
  </si>
  <si>
    <t>052110100100</t>
  </si>
  <si>
    <t>Dalhatu Araf Specialist Hospital</t>
  </si>
  <si>
    <t>011103700100</t>
  </si>
  <si>
    <t>Muslim Pilgrims Welfare Board</t>
  </si>
  <si>
    <t>012300300100</t>
  </si>
  <si>
    <t>Nasarawa Broadcasting Service</t>
  </si>
  <si>
    <t>012500100100</t>
  </si>
  <si>
    <t>Office of the Head of Civil Service</t>
  </si>
  <si>
    <t>021510200100</t>
  </si>
  <si>
    <t>Nasarawa Agricultural Development Programme</t>
  </si>
  <si>
    <t>Grand Total of Independent Revenue</t>
  </si>
  <si>
    <t>Statutory Revenue</t>
  </si>
  <si>
    <t>Economic  Code</t>
  </si>
  <si>
    <t>Government Share of FAAC (Statutory Revenue)</t>
  </si>
  <si>
    <t>022000100100</t>
  </si>
  <si>
    <t>Share of Value Added Tax (VAT)</t>
  </si>
  <si>
    <t>Internally Generated Revenue (IGR)</t>
  </si>
  <si>
    <t xml:space="preserve">Independent Revenue </t>
  </si>
  <si>
    <t xml:space="preserve">Tax Revenue </t>
  </si>
  <si>
    <t>Pay As You Earn (PAYE)</t>
  </si>
  <si>
    <t>Direct Assessment Tax</t>
  </si>
  <si>
    <t>Withholding Tax on Contract</t>
  </si>
  <si>
    <t>Withholding Tax on Rent</t>
  </si>
  <si>
    <t>Entertainment Tax</t>
  </si>
  <si>
    <t>Cattle Tax</t>
  </si>
  <si>
    <t xml:space="preserve">Non-Tax Revenue </t>
  </si>
  <si>
    <t xml:space="preserve">Licenses - General </t>
  </si>
  <si>
    <t>Pool Betting &amp; Casino Licences/Gaming</t>
  </si>
  <si>
    <t>Motor Licences Administration</t>
  </si>
  <si>
    <t>National Drivers Licenses (ENDL)</t>
  </si>
  <si>
    <t>Road Traffic Licences (Auto Reg.)</t>
  </si>
  <si>
    <t>New Number Plates Licences</t>
  </si>
  <si>
    <t>Patent Medicine Licences</t>
  </si>
  <si>
    <t>Private Clinic/Hospital Licences</t>
  </si>
  <si>
    <t>Traditional Medicine Licences</t>
  </si>
  <si>
    <t>Auctioneers Licenses</t>
  </si>
  <si>
    <t>Petrol Station Sublease</t>
  </si>
  <si>
    <t>Rent from Divisional Engineers' Quarters</t>
  </si>
  <si>
    <t xml:space="preserve">Fees - General </t>
  </si>
  <si>
    <t>Stamp Duty Fees</t>
  </si>
  <si>
    <t>Development Levy</t>
  </si>
  <si>
    <t>Contract Registration  Fees</t>
  </si>
  <si>
    <t>4% Charges on Compensation</t>
  </si>
  <si>
    <t>Registration of Women Cooperative Groups</t>
  </si>
  <si>
    <t>Players Transfer Fee, Nasarawa United F.C.</t>
  </si>
  <si>
    <t>Players Transfer Fee, Amazons F.C.</t>
  </si>
  <si>
    <t>Keffi New Modern Market Fees</t>
  </si>
  <si>
    <t>Karu International Modern Market Fees</t>
  </si>
  <si>
    <t>Lafia Modern Market Fees</t>
  </si>
  <si>
    <t>Nasara Sacks &amp; Packaging Industries Fees</t>
  </si>
  <si>
    <t>Forest Permits &amp; Compoundment Levies</t>
  </si>
  <si>
    <t>Gaseous Emission &amp; Waste Basket Permit</t>
  </si>
  <si>
    <t>Forest Inspection Fees</t>
  </si>
  <si>
    <t>Quarry Sand Dredging Fees</t>
  </si>
  <si>
    <t>Metal Scraps Collection Fees</t>
  </si>
  <si>
    <t>Supply &amp; Distribution Fee of Waste Bin to Lock-up Shops</t>
  </si>
  <si>
    <t>Levies from Filling Stations</t>
  </si>
  <si>
    <t>Ecological Fund</t>
  </si>
  <si>
    <t>Polluters' Pay Levies</t>
  </si>
  <si>
    <t>Private Schools Registration/Renewal Fees</t>
  </si>
  <si>
    <t>Water Board Form Fee</t>
  </si>
  <si>
    <t>Water Rate</t>
  </si>
  <si>
    <t>Water Connection Fee</t>
  </si>
  <si>
    <t>Water Reconnection Fee</t>
  </si>
  <si>
    <t>Surgical Operation Fees</t>
  </si>
  <si>
    <t>Medical &amp; Death Certificate Fees</t>
  </si>
  <si>
    <t>Hiring of Canopy</t>
  </si>
  <si>
    <t>Consultancy Services Fees</t>
  </si>
  <si>
    <t xml:space="preserve">Fines - General  </t>
  </si>
  <si>
    <t>Councillorship Election for 13 Local Govt for 147 Wards in the State</t>
  </si>
  <si>
    <t>Environmental Sanitation Fines</t>
  </si>
  <si>
    <t>Court Fines</t>
  </si>
  <si>
    <t>Miscellaneous Receipts</t>
  </si>
  <si>
    <t xml:space="preserve">Sales - General </t>
  </si>
  <si>
    <t>Fish Farm Sales</t>
  </si>
  <si>
    <t>Sales of Poultry Products</t>
  </si>
  <si>
    <t xml:space="preserve">Sales of Home Economic Products </t>
  </si>
  <si>
    <t>Sales of Fertilizers</t>
  </si>
  <si>
    <t>Sales of Photographs</t>
  </si>
  <si>
    <t>Sales of Government Publications</t>
  </si>
  <si>
    <t>Sales of Scholarship Forms</t>
  </si>
  <si>
    <t>Sales of Hand Crafts</t>
  </si>
  <si>
    <t>Peninsula Land Sales</t>
  </si>
  <si>
    <t>Koroduma Land Sales</t>
  </si>
  <si>
    <t>Race Course Layout Sales</t>
  </si>
  <si>
    <t>Printing &amp; Sales of Maps</t>
  </si>
  <si>
    <t>Sales of Application for Employment Forms</t>
  </si>
  <si>
    <t>Sales of Drugs</t>
  </si>
  <si>
    <t>Sales of  Car Stickers (Hackney Permit)</t>
  </si>
  <si>
    <t>Sales of Forest Tree Seedlings</t>
  </si>
  <si>
    <t>Sales of Transfer of Service Forms</t>
  </si>
  <si>
    <t>Sales of Condemned Store</t>
  </si>
  <si>
    <t>Sales of Folders</t>
  </si>
  <si>
    <t>Sales of Drugs &amp; Surgicals (DRF)</t>
  </si>
  <si>
    <t>Sales of Finished Products - General</t>
  </si>
  <si>
    <t>Sales of Admission Forms</t>
  </si>
  <si>
    <t xml:space="preserve">Earnings - General </t>
  </si>
  <si>
    <t>Commercial Printing</t>
  </si>
  <si>
    <t>Catering Services</t>
  </si>
  <si>
    <t>Hiring of Cultural Troupe</t>
  </si>
  <si>
    <t>Tourist Restaurant, Lafia</t>
  </si>
  <si>
    <t>Earnings from Board of Survey</t>
  </si>
  <si>
    <t>Earnings from Tanker Services</t>
  </si>
  <si>
    <t>Earnings from HDRF (Pharmacy)</t>
  </si>
  <si>
    <t>Earnings from Laboratory (Reagent)</t>
  </si>
  <si>
    <t>Earnings from Dental Consumables</t>
  </si>
  <si>
    <t xml:space="preserve">Earnings from Radiological Services </t>
  </si>
  <si>
    <t xml:space="preserve">Earnings from Hospital Services </t>
  </si>
  <si>
    <t>Earning from Laboratory Services (DRF)</t>
  </si>
  <si>
    <t>Earning from Opthalmic Services (Mat/Drugs DRF)</t>
  </si>
  <si>
    <t>Earning from Dental Services (Mat/Drugs DRF)</t>
  </si>
  <si>
    <t>Earning from Ambulance Services (IGR)</t>
  </si>
  <si>
    <t>Earning from Laboratory Services (IGR)</t>
  </si>
  <si>
    <t>Earning from Mortuary Services (IGR)</t>
  </si>
  <si>
    <t>Earning from Opthalmic Services (IGR)</t>
  </si>
  <si>
    <t>Earning from X-Ray Services (IGR)</t>
  </si>
  <si>
    <t>Radio Advertisements</t>
  </si>
  <si>
    <t>Television Advertisements</t>
  </si>
  <si>
    <t xml:space="preserve">Rent on Government Buildings - General  </t>
  </si>
  <si>
    <t>Lease of Keffi Hotel</t>
  </si>
  <si>
    <t>Nasarawa State Integrated Park, Shabu</t>
  </si>
  <si>
    <t>City Hall, Lafia</t>
  </si>
  <si>
    <t>Rent from Government Residential Quarters</t>
  </si>
  <si>
    <t>Rent from Guest House</t>
  </si>
  <si>
    <t>Rents from Other Youth Centres</t>
  </si>
  <si>
    <t>Guest House Services</t>
  </si>
  <si>
    <t>Rent on Land &amp; Others - General</t>
  </si>
  <si>
    <t xml:space="preserve">Premium on Certificate of Occupancy </t>
  </si>
  <si>
    <t>Repayments - General</t>
  </si>
  <si>
    <t>Motor Vehicle Loan Repayment</t>
  </si>
  <si>
    <t>Furniture Loan Repayment</t>
  </si>
  <si>
    <t>Interests/Dividends on Government Investment</t>
  </si>
  <si>
    <t>Aid &amp; Grants</t>
  </si>
  <si>
    <t>UBEC Matching Grant</t>
  </si>
  <si>
    <t>052100300100</t>
  </si>
  <si>
    <t>Primary Healthcare Development Agency</t>
  </si>
  <si>
    <t>CSDA</t>
  </si>
  <si>
    <t>Capital Development Fund (CDF) Receipts</t>
  </si>
  <si>
    <t>Opening Balance</t>
  </si>
  <si>
    <t xml:space="preserve">Domestic Loans/Borrowings Receipt </t>
  </si>
  <si>
    <t>Bonds</t>
  </si>
  <si>
    <t xml:space="preserve">Chairmanship Election for 13 Local Govt </t>
  </si>
  <si>
    <t>Sales of State Indigene Forms</t>
  </si>
  <si>
    <t>SUMMARY OF TOTAL REVENUE BUDGET BASED ON MINISTRIES, DEPARTMENTS &amp; AGENCIES</t>
  </si>
  <si>
    <t>School of Health Technology, Keffi</t>
  </si>
  <si>
    <t>Christian Pilgrims Welfare Board</t>
  </si>
  <si>
    <t>Loans/Borrowing Receipts</t>
  </si>
  <si>
    <t>School of Nursing &amp; Midwifery, Lafia</t>
  </si>
  <si>
    <t>Sales of Recorded CDs</t>
  </si>
  <si>
    <t>Vehicle Inspection Service Charges</t>
  </si>
  <si>
    <t>Sales of Laws of Nasarawa State</t>
  </si>
  <si>
    <t>Hiring of Crane</t>
  </si>
  <si>
    <t>Registration Fee of Private Higher Institutions</t>
  </si>
  <si>
    <t xml:space="preserve">Renewal Fee of Private Higher Institutions Practice </t>
  </si>
  <si>
    <t>Admin Charges for Private Higher Institutions</t>
  </si>
  <si>
    <t>Sales of Establishment Forms for Private Higher Institutions</t>
  </si>
  <si>
    <t>Right of Way Permission Fee</t>
  </si>
  <si>
    <t>Renewal Fee for Outdoor Advertisement</t>
  </si>
  <si>
    <t>Outdoor Advertisement Fee</t>
  </si>
  <si>
    <t>Building Plan Approval Fee</t>
  </si>
  <si>
    <t>Refuse Collection Fee</t>
  </si>
  <si>
    <t>Fumigation Fee</t>
  </si>
  <si>
    <t>Tuition Fee</t>
  </si>
  <si>
    <t>Accommodation Fee</t>
  </si>
  <si>
    <t>Personal Income Tax</t>
  </si>
  <si>
    <t>Performance Bonus (Disbursement Linked Indicators)</t>
  </si>
  <si>
    <t>011103800100</t>
  </si>
  <si>
    <t>CONSOLIDATED  BUDGET  SUMMARY</t>
  </si>
  <si>
    <t>Opening  Balance</t>
  </si>
  <si>
    <t>Receipts:</t>
  </si>
  <si>
    <t>Statutory  Allocation</t>
  </si>
  <si>
    <t>Value  Added  Tax</t>
  </si>
  <si>
    <t>Independent  Revenue</t>
  </si>
  <si>
    <t>Aid  &amp;  Grant</t>
  </si>
  <si>
    <t>Capital  Receipts</t>
  </si>
  <si>
    <t>Total  Current  Year  Receipts</t>
  </si>
  <si>
    <t>Total  Projected  Funds Available</t>
  </si>
  <si>
    <t>Expenditure:</t>
  </si>
  <si>
    <t>A:  Recurrent  Debt</t>
  </si>
  <si>
    <t>Total  Recurrent  Debt</t>
  </si>
  <si>
    <t>B:  Recurrent  Non-Debt</t>
  </si>
  <si>
    <t>Personnel  Cost</t>
  </si>
  <si>
    <t>Overhead  Cost</t>
  </si>
  <si>
    <t>Total  Recurrent  Non-Debt</t>
  </si>
  <si>
    <t>Total  Recurrent  Expenditure</t>
  </si>
  <si>
    <t>C:  Capital  Expenditure  Based  on  Sectors</t>
  </si>
  <si>
    <t>Administrative  Sector</t>
  </si>
  <si>
    <t>Economic  Sector</t>
  </si>
  <si>
    <t>Law  and  Justice  Sector</t>
  </si>
  <si>
    <t>Regional  Sector</t>
  </si>
  <si>
    <t>Social  Sector</t>
  </si>
  <si>
    <t>Total  Capital  Expenditure</t>
  </si>
  <si>
    <t>Total Expenditure  (Budget  Size)</t>
  </si>
  <si>
    <t>Budget  Surplus / (Deficit)</t>
  </si>
  <si>
    <t>Financing  of Deficit  By Borrowing:</t>
  </si>
  <si>
    <t>Internal  Loans</t>
  </si>
  <si>
    <t>External  Loans</t>
  </si>
  <si>
    <t>Total  Loans</t>
  </si>
  <si>
    <t>Closing  Balance</t>
  </si>
  <si>
    <t>Earning from X-Ray Services  (Mat/Drugs DRF)</t>
  </si>
  <si>
    <t>Earning from Dental Services (IGR)</t>
  </si>
  <si>
    <t>Environmental  Impact Assement Fees</t>
  </si>
  <si>
    <t>Training Fees</t>
  </si>
  <si>
    <t>Sales of Conversion Forms</t>
  </si>
  <si>
    <t>CRF  Charges - Statutory Office Holder's Salaries</t>
  </si>
  <si>
    <t>Sales of Application Forms for New Clinics/Hospitals</t>
  </si>
  <si>
    <t xml:space="preserve">Fish Seed Sales </t>
  </si>
  <si>
    <t>Exchange Gain</t>
  </si>
  <si>
    <t>Special Allocation</t>
  </si>
  <si>
    <t>Replacement of Damaged Pipelines &amp; Others</t>
  </si>
  <si>
    <t>National Health Insurance Scheme (NHIS) to General Hospitals</t>
  </si>
  <si>
    <t>Performance Based Financing (PBF) to General Hospitals</t>
  </si>
  <si>
    <t>Decentralised Facility Financing (DFF) to General Hospitals</t>
  </si>
  <si>
    <t>Ground Rent</t>
  </si>
  <si>
    <t>Sales of Application for Admission Forms</t>
  </si>
  <si>
    <t>Office of the SSA to His Excellency on SDGs</t>
  </si>
  <si>
    <t>011100500100</t>
  </si>
  <si>
    <t>SDGs-CGS</t>
  </si>
  <si>
    <t>Ministry of Information, Culture &amp; Tourism</t>
  </si>
  <si>
    <t xml:space="preserve">Ministry of Information, Culture &amp; Tourism </t>
  </si>
  <si>
    <t>Contract Registration &amp; Bidding Fees</t>
  </si>
  <si>
    <t>Sales of Pilgrims Application Forms</t>
  </si>
  <si>
    <t>CRF  Charges (Recurrent)</t>
  </si>
  <si>
    <t>Hiring of Compressor/Drilling Rig</t>
  </si>
  <si>
    <t>Sales of Boarded Assets</t>
  </si>
  <si>
    <t>Office of the State Auditor General</t>
  </si>
  <si>
    <t>Akwanga Modern Market Fees</t>
  </si>
  <si>
    <t>Economic Code</t>
  </si>
  <si>
    <t>Contract Drafting/Vetting Fee</t>
  </si>
  <si>
    <t>025210300100</t>
  </si>
  <si>
    <t>Rural Water Supply &amp; Sanitation Agency</t>
  </si>
  <si>
    <t>Hiring of Geophysical Survey Equipment</t>
  </si>
  <si>
    <t>Hiring of Drilling Equipment</t>
  </si>
  <si>
    <t>Rehabilitation &amp; Flushing of Boreholes</t>
  </si>
  <si>
    <t>Water Quality Analysis Services</t>
  </si>
  <si>
    <t>Lumbering Fees</t>
  </si>
  <si>
    <t>Equipment Leasing Fees</t>
  </si>
  <si>
    <t>Earning from Deliveries (IGR)</t>
  </si>
  <si>
    <t>Budget Support Facility</t>
  </si>
  <si>
    <t>Student Hand Book</t>
  </si>
  <si>
    <t>Tree Crops Seedling Sales</t>
  </si>
  <si>
    <t>Sales of Strategic Grains</t>
  </si>
  <si>
    <t>Sales of Minerals Products</t>
  </si>
  <si>
    <t>Environmental Impact Assessment (EIA) Fee</t>
  </si>
  <si>
    <t>Registration of Mining Operation</t>
  </si>
  <si>
    <t>Polluters Levy</t>
  </si>
  <si>
    <t>Earnings from Agro Forestry</t>
  </si>
  <si>
    <t>Office of the Auditor General for Local Government</t>
  </si>
  <si>
    <t>Nasarawa State Liaison Office, Victoria Island, Lagos</t>
  </si>
  <si>
    <t>New Nasarawa State Liaison Office, Abuja</t>
  </si>
  <si>
    <t>Nasarawa State Liaison Office, Jos</t>
  </si>
  <si>
    <t>Nasarawa State Liaison Office, Kaduna</t>
  </si>
  <si>
    <t>Earnings from Rent of Shops/Restaurant</t>
  </si>
  <si>
    <t>Survey Fee</t>
  </si>
  <si>
    <t>Layout Approval &amp; Contravention Fee</t>
  </si>
  <si>
    <t>Sites &amp; Services Schemes Fee</t>
  </si>
  <si>
    <t>Registration &amp; Search of Document Fee</t>
  </si>
  <si>
    <t>Consent Fee</t>
  </si>
  <si>
    <t>Other Sundry Application &amp; Processing Fee</t>
  </si>
  <si>
    <t>Right of Occupancy Application &amp; Processing Fee</t>
  </si>
  <si>
    <t>Right of Occupancy Fee</t>
  </si>
  <si>
    <t>Recertification Fee</t>
  </si>
  <si>
    <t>Probate Fee</t>
  </si>
  <si>
    <t>Court Fee</t>
  </si>
  <si>
    <t>Site Inspection Fee</t>
  </si>
  <si>
    <t>Details of Revenue</t>
  </si>
  <si>
    <t xml:space="preserve"> </t>
  </si>
  <si>
    <t xml:space="preserve">  </t>
  </si>
  <si>
    <t>Ministry of Agriculture</t>
  </si>
  <si>
    <t>Ministry/Department/Agency</t>
  </si>
  <si>
    <t>Admin  Code</t>
  </si>
  <si>
    <t>Revenue Title</t>
  </si>
  <si>
    <t>Nasarawa Agricultural Development Prog</t>
  </si>
  <si>
    <t>Office of the Secretary to the State Govt</t>
  </si>
  <si>
    <t>Nas State Environmental Protection Agency</t>
  </si>
  <si>
    <t>Court General Affidavit</t>
  </si>
  <si>
    <t>Registration Fees for Community Development Association</t>
  </si>
  <si>
    <t>Livestock Services</t>
  </si>
  <si>
    <t>Hiring of Tractors/Agricultural Machineries</t>
  </si>
  <si>
    <t>Hill Top GRA Lafia Land Sales</t>
  </si>
  <si>
    <t>Sales of Folders &amp; Ante-Natal Cards (DRF)</t>
  </si>
  <si>
    <t>IHVN</t>
  </si>
  <si>
    <t>Charges on Lafia City Square</t>
  </si>
  <si>
    <t>Renewal Fee of Contractors Registration</t>
  </si>
  <si>
    <t>011100900101</t>
  </si>
  <si>
    <t>Nasarawa State Waste Management Bureau</t>
  </si>
  <si>
    <t>Septic Tank Emptier Services</t>
  </si>
  <si>
    <t>Office of the Accountant General</t>
  </si>
  <si>
    <t>Ministry of Youths &amp; Sports Development</t>
  </si>
  <si>
    <t>051300100100</t>
  </si>
  <si>
    <t>Single Haulage Fee</t>
  </si>
  <si>
    <t>Lafia Ultra-Modern Market Fee</t>
  </si>
  <si>
    <t>Lafia Neighbourhood Market Fee</t>
  </si>
  <si>
    <t>Application Fee for Small Scale Loan</t>
  </si>
  <si>
    <t>Registration Fee of Cooperatives Societies</t>
  </si>
  <si>
    <t>Registration Fee for CBOs NGOs</t>
  </si>
  <si>
    <t>Leasing Fee of Masaka Beef Company</t>
  </si>
  <si>
    <t>Standard Indigenous Measure</t>
  </si>
  <si>
    <t>Bilingual Education Programme</t>
  </si>
  <si>
    <t>Gate Fee from Lafia Township Stadium</t>
  </si>
  <si>
    <t>Gate Fee from Keffi Mini Stadium</t>
  </si>
  <si>
    <t xml:space="preserve">Statutory Revenue Allocation </t>
  </si>
  <si>
    <t xml:space="preserve">Registration of Contractors &amp; Tender Fee </t>
  </si>
  <si>
    <t>Tender (Bidding) Fee</t>
  </si>
  <si>
    <t>Fire Servicing Fee</t>
  </si>
  <si>
    <t>Private Practice Renewal fee</t>
  </si>
  <si>
    <t>Inspection of Livestock/Produce Fee</t>
  </si>
  <si>
    <t>Veterinary Hospitals/Clinics Treatment Fee</t>
  </si>
  <si>
    <t>Abbatoir Fee</t>
  </si>
  <si>
    <t>Fishing Permit Fee</t>
  </si>
  <si>
    <t>Sales of Application Form for Conversion of Appointment</t>
  </si>
  <si>
    <t>External Auditor Registration Fee</t>
  </si>
  <si>
    <t>Renewal of External Auditors Registration Fee</t>
  </si>
  <si>
    <t>External Auditor's Registration Fee</t>
  </si>
  <si>
    <t>External Auditor's Renewal Fee</t>
  </si>
  <si>
    <t>Hotel Registration Fee</t>
  </si>
  <si>
    <t>Local Government Retainership Fee</t>
  </si>
  <si>
    <t>Contract Bidding Fee</t>
  </si>
  <si>
    <t>Ministry of Youth &amp; Sports Development</t>
  </si>
  <si>
    <t>Ministry of Water Resources &amp; Rural Development</t>
  </si>
  <si>
    <t>Vocational &amp; Relevant Technology</t>
  </si>
  <si>
    <t>External Loans Repayment</t>
  </si>
  <si>
    <t>Internal Loans Repayment</t>
  </si>
  <si>
    <t xml:space="preserve">=N= </t>
  </si>
  <si>
    <t>051705500100</t>
  </si>
  <si>
    <t>Sales of Production from Tech. Schools</t>
  </si>
  <si>
    <t>Sales of Practical Productions &amp; Handcrafts from Special Needs Schools</t>
  </si>
  <si>
    <t>ICT Studio Business Centre</t>
  </si>
  <si>
    <t>32</t>
  </si>
  <si>
    <t>35</t>
  </si>
  <si>
    <t>Domestic/Foreign Aid &amp; Grants</t>
  </si>
  <si>
    <t>051705500200</t>
  </si>
  <si>
    <t>021502100100</t>
  </si>
  <si>
    <t>School Fees</t>
  </si>
  <si>
    <t>Earnings from Poultry Farm</t>
  </si>
  <si>
    <t>Earnings from Orchard</t>
  </si>
  <si>
    <t>Earnings from Hair Salon</t>
  </si>
  <si>
    <t>Earnings from Resource Centre</t>
  </si>
  <si>
    <t>Earnings from Consultancy</t>
  </si>
  <si>
    <t>Earnings from Farm Produce</t>
  </si>
  <si>
    <t>Tractor Hiring</t>
  </si>
  <si>
    <t>Proceeds from Academic Gowns</t>
  </si>
  <si>
    <t>051701800100</t>
  </si>
  <si>
    <t>Nasarawa State Polytechnic, Lafia</t>
  </si>
  <si>
    <t>Identity Card</t>
  </si>
  <si>
    <t>Admission Letter</t>
  </si>
  <si>
    <t>Utilities</t>
  </si>
  <si>
    <t>Caution Deposit</t>
  </si>
  <si>
    <t>Change of Course</t>
  </si>
  <si>
    <t>Genotype Test</t>
  </si>
  <si>
    <t>Student Insurance</t>
  </si>
  <si>
    <t>IJMB Syllabus</t>
  </si>
  <si>
    <t>Induction Course</t>
  </si>
  <si>
    <t>Log Book</t>
  </si>
  <si>
    <t>Statement of Result</t>
  </si>
  <si>
    <t>Hiring of Academic Gowns</t>
  </si>
  <si>
    <t>Students Training Centre</t>
  </si>
  <si>
    <t>Consultancy Services</t>
  </si>
  <si>
    <t>051701900100</t>
  </si>
  <si>
    <t>College of Education, Akwanga</t>
  </si>
  <si>
    <t>Sales of Employment Forms</t>
  </si>
  <si>
    <t>Sales of Scraps</t>
  </si>
  <si>
    <t>Medical Services (Clinic)</t>
  </si>
  <si>
    <t>Hiring of College Halls/Facilities</t>
  </si>
  <si>
    <t>Consultancy Services (Works/Training)</t>
  </si>
  <si>
    <t>Donations Received</t>
  </si>
  <si>
    <t>Car Sticker</t>
  </si>
  <si>
    <t>Commercial Transport Unit</t>
  </si>
  <si>
    <t>Rent from Staff Quarters</t>
  </si>
  <si>
    <t>Ground Rent from Mini Market</t>
  </si>
  <si>
    <t>UBE (Federal)</t>
  </si>
  <si>
    <t>TETFund</t>
  </si>
  <si>
    <t>051702100100</t>
  </si>
  <si>
    <t xml:space="preserve"> Nasarawa State University, Keffi </t>
  </si>
  <si>
    <t>Registration &amp; Renewal Fees of Clubs &amp; Associations</t>
  </si>
  <si>
    <t>Games Fees</t>
  </si>
  <si>
    <t>Undergraduate Registration Fees</t>
  </si>
  <si>
    <t>Medical Fees</t>
  </si>
  <si>
    <t>Library Registration Fees</t>
  </si>
  <si>
    <t>Contract Registration Fees</t>
  </si>
  <si>
    <t>Transcript Fees</t>
  </si>
  <si>
    <t>Post UTME Screening Fees</t>
  </si>
  <si>
    <t>Tuition  Fees</t>
  </si>
  <si>
    <t>Examination Fees</t>
  </si>
  <si>
    <t>Certificate Verification Fees</t>
  </si>
  <si>
    <t>Practical Fees</t>
  </si>
  <si>
    <t>Departmental Registration Fees</t>
  </si>
  <si>
    <t>Tender Fees</t>
  </si>
  <si>
    <t>Damages Fees</t>
  </si>
  <si>
    <t>JAMB Registration Fees</t>
  </si>
  <si>
    <t>Library Development Levies</t>
  </si>
  <si>
    <t>SIWES Fees</t>
  </si>
  <si>
    <t>36</t>
  </si>
  <si>
    <t>37</t>
  </si>
  <si>
    <t>38</t>
  </si>
  <si>
    <t>39</t>
  </si>
  <si>
    <t>TETFund Intervention</t>
  </si>
  <si>
    <t>Sales of Government Assets</t>
  </si>
  <si>
    <t>Outstanding (62.5%) Paris Club Refund</t>
  </si>
  <si>
    <t>Expected Paris Club Refund from Plateau State</t>
  </si>
  <si>
    <t>Recovery of Federal Govt Workers PAYE</t>
  </si>
  <si>
    <t>Proceeds from Development Control</t>
  </si>
  <si>
    <t xml:space="preserve">Loan </t>
  </si>
  <si>
    <t>053505300101</t>
  </si>
  <si>
    <t>Proceeds from Sales of Sites &amp; Services Scheme</t>
  </si>
  <si>
    <t>Recovery of Taxes from Banks</t>
  </si>
  <si>
    <t>Service Charge (DRF)</t>
  </si>
  <si>
    <t>Reabsorption Fees</t>
  </si>
  <si>
    <t>Miscellaneous Fines</t>
  </si>
  <si>
    <t>Use of Hall - Ibrahim Abacha Youth Centre, Lafia</t>
  </si>
  <si>
    <t>051700800100</t>
  </si>
  <si>
    <t>Bureau for ICT (Library Board)</t>
  </si>
  <si>
    <t>Registration of Guests &amp; ICT Training</t>
  </si>
  <si>
    <t>Motor Vehicle Servicing Charges</t>
  </si>
  <si>
    <t>Sales from Honey</t>
  </si>
  <si>
    <t>Sales from Palm Oil</t>
  </si>
  <si>
    <t>Dividends on Revolving Loan Scheme</t>
  </si>
  <si>
    <t>Leasing Fee of Lafia Fertilizer Blending Plant</t>
  </si>
  <si>
    <t>Leasing Fee of Keffi Fertilizer Blending Plant</t>
  </si>
  <si>
    <t>Leasing Fee of Akwanga Fertilizer Blending Plant</t>
  </si>
  <si>
    <t>Sales of Hand Book</t>
  </si>
  <si>
    <t>Requisition Materials</t>
  </si>
  <si>
    <t>Contractors Registration Fees</t>
  </si>
  <si>
    <t>Registration Materials</t>
  </si>
  <si>
    <t>Sanitary Fees</t>
  </si>
  <si>
    <t>Accreditation Fees</t>
  </si>
  <si>
    <t>Students Etrepreneurship Programme</t>
  </si>
  <si>
    <t>Collection of Original Certificate</t>
  </si>
  <si>
    <t>Sales of Aplication for Admission Forms for School of Nursing &amp; Midwifery</t>
  </si>
  <si>
    <t>Postgraduate Registation Fees</t>
  </si>
  <si>
    <t>Preliminary Studies Fees</t>
  </si>
  <si>
    <t>Sandwich Registration Fees</t>
  </si>
  <si>
    <t>Part-Time Degree Registration Fees</t>
  </si>
  <si>
    <t>Diploma &amp; Certificates Programmes Registration</t>
  </si>
  <si>
    <t>NCE Registration Fees</t>
  </si>
  <si>
    <t>Pre-NCE Registration Fees</t>
  </si>
  <si>
    <t>Long Vacation (LVT) Programme Registration Fees</t>
  </si>
  <si>
    <t>Degree (B.Ed) Registration Fees</t>
  </si>
  <si>
    <t>Diploma &amp; Certificates Programmes Registration Fees</t>
  </si>
  <si>
    <t>D.P.S. Registration Fees</t>
  </si>
  <si>
    <t>D.S.S. Registration Fees</t>
  </si>
  <si>
    <t>Nasarawa State Urban Development Board</t>
  </si>
  <si>
    <t xml:space="preserve">Office of the State Auditor General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</si>
  <si>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</si>
  <si>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</si>
  <si>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</si>
  <si>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</si>
  <si>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</si>
  <si>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</si>
  <si>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</si>
  <si>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</si>
  <si>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</si>
  <si>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</si>
  <si>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</si>
  <si>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</si>
  <si>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</si>
  <si>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</si>
  <si>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</si>
  <si>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</si>
  <si>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</si>
  <si>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</si>
  <si>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21</t>
  </si>
  <si>
    <t>27</t>
  </si>
  <si>
    <t>28</t>
  </si>
  <si>
    <t>29</t>
  </si>
  <si>
    <t>30</t>
  </si>
  <si>
    <t>31</t>
  </si>
  <si>
    <t>33</t>
  </si>
  <si>
    <t>34</t>
  </si>
  <si>
    <t>18</t>
  </si>
  <si>
    <t>20</t>
  </si>
  <si>
    <t>22</t>
  </si>
  <si>
    <t>23</t>
  </si>
  <si>
    <t>24</t>
  </si>
  <si>
    <t>25</t>
  </si>
  <si>
    <t>26</t>
  </si>
  <si>
    <t>40</t>
  </si>
  <si>
    <t>Other Revenues (Fees)</t>
  </si>
  <si>
    <t xml:space="preserve">UNICEF Intervention </t>
  </si>
  <si>
    <t>051706500100</t>
  </si>
  <si>
    <t>Mining Activities &amp; Sand Dredging Fee</t>
  </si>
  <si>
    <t>05210200100</t>
  </si>
  <si>
    <t>Other Internally Generated Revenues/ Internet Charges</t>
  </si>
  <si>
    <t>022205300100</t>
  </si>
  <si>
    <t>Nasarawa State Market Management Bureau</t>
  </si>
  <si>
    <t>Ministry of Finance, Budget &amp; Planning</t>
  </si>
  <si>
    <t>Details of Nasarawa State Revenue 2020</t>
  </si>
  <si>
    <t>Capital Gain Tax</t>
  </si>
  <si>
    <t>Property Tax</t>
  </si>
  <si>
    <t>Withholding Tax on Bank Deposit</t>
  </si>
  <si>
    <t>Save One Million Lives (SOML) Programme</t>
  </si>
  <si>
    <t>Confirmation Fee (Certified True Copy)</t>
  </si>
  <si>
    <t>Rent on Cassava Processing Centre</t>
  </si>
  <si>
    <t>Sales of Fish</t>
  </si>
  <si>
    <t>Consultancy Service Fee</t>
  </si>
  <si>
    <t>Grant from Reducing Emissions from Degradation &amp; Deforestation (REDD+)</t>
  </si>
  <si>
    <t>Registration of Environmental Consultants</t>
  </si>
  <si>
    <t>Fumigation Permit Fee</t>
  </si>
  <si>
    <t>Sales of Assorted Seedlings</t>
  </si>
  <si>
    <t xml:space="preserve">Transcript </t>
  </si>
  <si>
    <t>ICT Fee</t>
  </si>
  <si>
    <t>NSHIP/DFF Assistance</t>
  </si>
  <si>
    <t>Statement of Results/Transcript/ Certificate</t>
  </si>
  <si>
    <t>Admission Letters</t>
  </si>
  <si>
    <t>Late Registration</t>
  </si>
  <si>
    <t>Screening Fees</t>
  </si>
  <si>
    <t>Utility &amp; Farm Dues</t>
  </si>
  <si>
    <t>I.D. Card Renewal</t>
  </si>
  <si>
    <t>Matriculation Gown</t>
  </si>
  <si>
    <t>Carry Over Fee</t>
  </si>
  <si>
    <t xml:space="preserve">Internet Café </t>
  </si>
  <si>
    <t>Attestation Letter</t>
  </si>
  <si>
    <t>Donors</t>
  </si>
  <si>
    <t>Conduct of LG Bye-Election</t>
  </si>
  <si>
    <t>Equitable Health Access Initiative (EHAI)</t>
  </si>
  <si>
    <t>SFTAS</t>
  </si>
  <si>
    <t>BMGF</t>
  </si>
  <si>
    <t xml:space="preserve">External Loans/Borrowings Receipt </t>
  </si>
  <si>
    <t>ANRiN</t>
  </si>
  <si>
    <t>Nigeria Erosion &amp; Water Shed Management Project  (NEWMAP)</t>
  </si>
  <si>
    <t>Foreign Loans</t>
  </si>
  <si>
    <t>Ministry of Lands &amp; Urban Development</t>
  </si>
  <si>
    <t>Sales from Seedlings (Nurseries)</t>
  </si>
  <si>
    <t>Sales from Agro-Chemical, Seeds &amp; Equipment, Scrap</t>
  </si>
  <si>
    <t>Recovery Fund</t>
  </si>
  <si>
    <t>CRF  Charges - Pensions and Gratuities</t>
  </si>
  <si>
    <t>Ministry of Education, Science &amp; Technology</t>
  </si>
  <si>
    <t>Ministry of Agriculture &amp; Water Resources</t>
  </si>
  <si>
    <t>Ministry of Trade, Industry &amp; Investment</t>
  </si>
  <si>
    <t>Registration/Renewal Fee of Business Premises</t>
  </si>
  <si>
    <t>Processing of Orange Market Karu Land Sales/Titles</t>
  </si>
  <si>
    <t>SUMMARY OF 2020 TOTAL REVENUE BUDGET BY TYPE/NATURE</t>
  </si>
  <si>
    <t>Hawking/Trading</t>
  </si>
  <si>
    <t>Sales of Application Form for Transfer of Service &amp; Contract</t>
  </si>
  <si>
    <t>Domestic Loans</t>
  </si>
  <si>
    <t>Earning from Scanning Services &amp; Maintenance (IGR)</t>
  </si>
  <si>
    <t xml:space="preserve"> Approved Estimate 2020</t>
  </si>
  <si>
    <t>Approved Budget 2020</t>
  </si>
  <si>
    <t>026000200100</t>
  </si>
  <si>
    <t>Nasarawa State Geographic Information Service (NAGIS)</t>
  </si>
  <si>
    <t>Lafia Layout Land Sales (Govt Part 'B')</t>
  </si>
  <si>
    <t>Ministry of Lands &amp; Urban Development/NAGIS</t>
  </si>
  <si>
    <t>Sales of Application Forms (Inter Cadre/ Change of Name)</t>
  </si>
  <si>
    <t>Earnings from Theatre</t>
  </si>
  <si>
    <t>Earnings from Opthalmology</t>
  </si>
  <si>
    <t>NAGIS Service Charge</t>
  </si>
  <si>
    <t>Donations - General</t>
  </si>
  <si>
    <t>Leasing Fee of Sesame Seed Cleaning Plant, Doma</t>
  </si>
  <si>
    <t>Warehouse Rent</t>
  </si>
  <si>
    <t>052110600100</t>
  </si>
  <si>
    <t>COVID-19 Emergency Response</t>
  </si>
  <si>
    <t>Hiring of Tractor/Road Construction Equipment</t>
  </si>
  <si>
    <t>TETFund Intervention (Federal)</t>
  </si>
  <si>
    <t>Nigeria Post COVID-19 Recovery &amp; Economic Stimulus</t>
  </si>
  <si>
    <t>Actual                               (Jan - May) 2020</t>
  </si>
  <si>
    <t>June-December, 2020 Projection</t>
  </si>
  <si>
    <t>Actual Revenue Collection (Jan-May, 2020)</t>
  </si>
  <si>
    <t>C of O Fees</t>
  </si>
  <si>
    <t>Part Surrender Fees</t>
  </si>
  <si>
    <t>Legal Search Fees</t>
  </si>
  <si>
    <t>June-December    
2020 Estimate</t>
  </si>
  <si>
    <t>College of Agriculture, Science &amp; Technology Lafia</t>
  </si>
  <si>
    <t>Isa Mustapha Agwai I Polytechnic, Lafia</t>
  </si>
  <si>
    <t xml:space="preserve">TOTAL COVID-19 ALLOCATION </t>
  </si>
  <si>
    <t>=</t>
  </si>
  <si>
    <t>% OF COVID-19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</si>
</sst>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&quot;£&quot;* #,##0.00_-;\-&quot;£&quot;* #,##0.00_-;_-&quot;£&quot;* &quot;-&quot;??_-;_-@_-"/>
    <numFmt numFmtId="166" formatCode="_(* #,##0_);_(* \(#,##0\);_(* &quot;-&quot;??_);_(@_)"/>
    <numFmt numFmtId="167" formatCode="_-* #,##0_-;\-* #,##0_-;_-* &quot;-&quot;??_-;_-@_-"/>
    <numFmt numFmtId="168" formatCode="_(* #,##0.000000_);_(* \(#,##0.0000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536">
    <xf numFmtId="0" fontId="0" fillId="0" borderId="0" xfId="0"/>
    <xf numFmtId="0" fontId="2" fillId="0" borderId="0" xfId="0" applyFont="1" applyFill="1" applyAlignment="1">
      <alignment horizontal="left"/>
    </xf>
    <xf numFmtId="166" fontId="2" fillId="0" borderId="0" xfId="1" applyNumberFormat="1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/>
    <xf numFmtId="0" fontId="2" fillId="0" borderId="0" xfId="0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166" fontId="3" fillId="0" borderId="0" xfId="1" quotePrefix="1" applyNumberFormat="1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7" fillId="2" borderId="0" xfId="0" applyFont="1" applyFill="1"/>
    <xf numFmtId="0" fontId="0" fillId="0" borderId="0" xfId="0" applyAlignment="1">
      <alignment horizontal="center"/>
    </xf>
    <xf numFmtId="0" fontId="8" fillId="2" borderId="0" xfId="0" applyFont="1" applyFill="1"/>
    <xf numFmtId="0" fontId="9" fillId="5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5" borderId="0" xfId="0" quotePrefix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8" fillId="0" borderId="0" xfId="0" applyFo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8" fillId="0" borderId="0" xfId="0" applyFont="1" applyFill="1"/>
    <xf numFmtId="0" fontId="9" fillId="0" borderId="0" xfId="0" applyFont="1"/>
    <xf numFmtId="43" fontId="8" fillId="2" borderId="0" xfId="1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0" xfId="0" applyFont="1" applyFill="1"/>
    <xf numFmtId="0" fontId="10" fillId="0" borderId="0" xfId="0" applyFont="1" applyFill="1"/>
    <xf numFmtId="0" fontId="11" fillId="0" borderId="0" xfId="0" applyFont="1"/>
    <xf numFmtId="0" fontId="12" fillId="2" borderId="0" xfId="0" applyFont="1" applyFill="1" applyBorder="1" applyAlignment="1">
      <alignment horizontal="center"/>
    </xf>
    <xf numFmtId="43" fontId="10" fillId="0" borderId="0" xfId="1" applyFont="1" applyFill="1"/>
    <xf numFmtId="0" fontId="10" fillId="0" borderId="0" xfId="0" applyFont="1"/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9" fillId="2" borderId="0" xfId="0" applyFont="1" applyFill="1"/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166" fontId="4" fillId="0" borderId="0" xfId="1" applyNumberFormat="1" applyFont="1" applyFill="1" applyBorder="1" applyAlignment="1">
      <alignment vertical="top" wrapText="1"/>
    </xf>
    <xf numFmtId="0" fontId="4" fillId="0" borderId="0" xfId="0" applyFont="1" applyFill="1"/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/>
    <xf numFmtId="0" fontId="13" fillId="0" borderId="0" xfId="0" applyFont="1" applyFill="1" applyBorder="1"/>
    <xf numFmtId="166" fontId="13" fillId="0" borderId="0" xfId="1" applyNumberFormat="1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166" fontId="9" fillId="2" borderId="1" xfId="1" applyNumberFormat="1" applyFont="1" applyFill="1" applyBorder="1"/>
    <xf numFmtId="166" fontId="8" fillId="2" borderId="0" xfId="1" applyNumberFormat="1" applyFont="1" applyFill="1"/>
    <xf numFmtId="166" fontId="8" fillId="2" borderId="0" xfId="1" applyNumberFormat="1" applyFont="1" applyFill="1" applyBorder="1" applyAlignment="1">
      <alignment horizontal="left"/>
    </xf>
    <xf numFmtId="166" fontId="8" fillId="2" borderId="0" xfId="0" applyNumberFormat="1" applyFont="1" applyFill="1"/>
    <xf numFmtId="166" fontId="10" fillId="2" borderId="0" xfId="1" applyNumberFormat="1" applyFont="1" applyFill="1" applyBorder="1" applyAlignment="1">
      <alignment horizontal="left"/>
    </xf>
    <xf numFmtId="166" fontId="10" fillId="2" borderId="0" xfId="0" applyNumberFormat="1" applyFont="1" applyFill="1"/>
    <xf numFmtId="166" fontId="9" fillId="2" borderId="2" xfId="1" applyNumberFormat="1" applyFont="1" applyFill="1" applyBorder="1"/>
    <xf numFmtId="166" fontId="9" fillId="0" borderId="2" xfId="1" applyNumberFormat="1" applyFont="1" applyFill="1" applyBorder="1"/>
    <xf numFmtId="166" fontId="9" fillId="2" borderId="3" xfId="1" applyNumberFormat="1" applyFont="1" applyFill="1" applyBorder="1"/>
    <xf numFmtId="166" fontId="8" fillId="2" borderId="0" xfId="1" applyNumberFormat="1" applyFont="1" applyFill="1" applyBorder="1"/>
    <xf numFmtId="166" fontId="8" fillId="0" borderId="0" xfId="1" applyNumberFormat="1" applyFont="1" applyFill="1" applyBorder="1"/>
    <xf numFmtId="166" fontId="8" fillId="0" borderId="0" xfId="0" applyNumberFormat="1" applyFont="1" applyFill="1"/>
    <xf numFmtId="166" fontId="9" fillId="2" borderId="0" xfId="0" applyNumberFormat="1" applyFont="1" applyFill="1"/>
    <xf numFmtId="166" fontId="9" fillId="2" borderId="4" xfId="1" applyNumberFormat="1" applyFont="1" applyFill="1" applyBorder="1"/>
    <xf numFmtId="166" fontId="9" fillId="6" borderId="2" xfId="1" applyNumberFormat="1" applyFont="1" applyFill="1" applyBorder="1"/>
    <xf numFmtId="166" fontId="9" fillId="2" borderId="0" xfId="1" applyNumberFormat="1" applyFont="1" applyFill="1" applyBorder="1"/>
    <xf numFmtId="166" fontId="9" fillId="0" borderId="0" xfId="1" applyNumberFormat="1" applyFont="1" applyFill="1" applyBorder="1"/>
    <xf numFmtId="0" fontId="14" fillId="0" borderId="0" xfId="0" quotePrefix="1" applyFont="1"/>
    <xf numFmtId="0" fontId="14" fillId="2" borderId="0" xfId="0" quotePrefix="1" applyFont="1" applyFill="1"/>
    <xf numFmtId="166" fontId="8" fillId="0" borderId="0" xfId="0" applyNumberFormat="1" applyFont="1"/>
    <xf numFmtId="166" fontId="8" fillId="0" borderId="0" xfId="1" applyNumberFormat="1" applyFont="1"/>
    <xf numFmtId="43" fontId="6" fillId="0" borderId="0" xfId="1" applyFont="1" applyFill="1" applyBorder="1" applyAlignment="1">
      <alignment vertical="top" wrapText="1"/>
    </xf>
    <xf numFmtId="43" fontId="6" fillId="0" borderId="0" xfId="1" applyFont="1" applyFill="1" applyBorder="1"/>
    <xf numFmtId="43" fontId="15" fillId="0" borderId="0" xfId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15" fillId="7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166" fontId="15" fillId="0" borderId="0" xfId="1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166" fontId="15" fillId="3" borderId="0" xfId="1" applyNumberFormat="1" applyFont="1" applyFill="1" applyBorder="1" applyAlignment="1">
      <alignment vertical="top" wrapText="1"/>
    </xf>
    <xf numFmtId="166" fontId="15" fillId="0" borderId="0" xfId="1" quotePrefix="1" applyNumberFormat="1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vertical="top" wrapText="1"/>
    </xf>
    <xf numFmtId="166" fontId="15" fillId="4" borderId="0" xfId="1" applyNumberFormat="1" applyFont="1" applyFill="1" applyBorder="1" applyAlignment="1">
      <alignment vertical="top" wrapText="1"/>
    </xf>
    <xf numFmtId="164" fontId="6" fillId="0" borderId="0" xfId="1" applyNumberFormat="1" applyFont="1" applyFill="1" applyBorder="1" applyAlignment="1">
      <alignment vertical="top" wrapText="1"/>
    </xf>
    <xf numFmtId="166" fontId="0" fillId="2" borderId="0" xfId="0" applyNumberFormat="1" applyFill="1"/>
    <xf numFmtId="166" fontId="9" fillId="5" borderId="0" xfId="0" applyNumberFormat="1" applyFont="1" applyFill="1" applyBorder="1" applyAlignment="1">
      <alignment horizontal="center" vertical="center" wrapText="1"/>
    </xf>
    <xf numFmtId="166" fontId="9" fillId="5" borderId="0" xfId="0" quotePrefix="1" applyNumberFormat="1" applyFont="1" applyFill="1" applyBorder="1" applyAlignment="1">
      <alignment horizontal="center" vertical="center"/>
    </xf>
    <xf numFmtId="166" fontId="8" fillId="2" borderId="0" xfId="0" applyNumberFormat="1" applyFont="1" applyFill="1" applyBorder="1"/>
    <xf numFmtId="166" fontId="9" fillId="0" borderId="1" xfId="1" applyNumberFormat="1" applyFont="1" applyFill="1" applyBorder="1"/>
    <xf numFmtId="166" fontId="8" fillId="0" borderId="0" xfId="1" applyNumberFormat="1" applyFont="1" applyFill="1" applyBorder="1" applyAlignment="1">
      <alignment horizontal="left"/>
    </xf>
    <xf numFmtId="166" fontId="9" fillId="0" borderId="3" xfId="1" applyNumberFormat="1" applyFont="1" applyFill="1" applyBorder="1"/>
    <xf numFmtId="166" fontId="0" fillId="0" borderId="0" xfId="0" applyNumberFormat="1"/>
    <xf numFmtId="166" fontId="0" fillId="0" borderId="0" xfId="1" applyNumberFormat="1" applyFont="1"/>
    <xf numFmtId="2" fontId="8" fillId="0" borderId="0" xfId="0" applyNumberFormat="1" applyFont="1"/>
    <xf numFmtId="2" fontId="13" fillId="0" borderId="0" xfId="0" applyNumberFormat="1" applyFont="1" applyFill="1"/>
    <xf numFmtId="166" fontId="10" fillId="0" borderId="0" xfId="1" applyNumberFormat="1" applyFont="1" applyFill="1"/>
    <xf numFmtId="0" fontId="17" fillId="0" borderId="0" xfId="0" applyFont="1" applyFill="1"/>
    <xf numFmtId="0" fontId="18" fillId="0" borderId="0" xfId="0" applyFont="1" applyFill="1" applyAlignment="1">
      <alignment vertical="center"/>
    </xf>
    <xf numFmtId="0" fontId="17" fillId="0" borderId="0" xfId="0" applyFont="1" applyFill="1" applyBorder="1"/>
    <xf numFmtId="0" fontId="17" fillId="0" borderId="0" xfId="0" applyFont="1" applyFill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left"/>
    </xf>
    <xf numFmtId="43" fontId="17" fillId="0" borderId="0" xfId="1" applyFont="1" applyFill="1"/>
    <xf numFmtId="0" fontId="17" fillId="0" borderId="0" xfId="0" applyFont="1" applyFill="1" applyAlignment="1">
      <alignment horizontal="left"/>
    </xf>
    <xf numFmtId="0" fontId="19" fillId="0" borderId="0" xfId="0" applyFont="1" applyFill="1" applyAlignment="1">
      <alignment vertical="top"/>
    </xf>
    <xf numFmtId="166" fontId="22" fillId="0" borderId="0" xfId="1" applyNumberFormat="1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/>
    </xf>
    <xf numFmtId="166" fontId="19" fillId="0" borderId="0" xfId="1" applyNumberFormat="1" applyFont="1" applyFill="1" applyBorder="1" applyAlignment="1">
      <alignment vertical="top"/>
    </xf>
    <xf numFmtId="43" fontId="24" fillId="0" borderId="0" xfId="1" applyFont="1" applyFill="1" applyBorder="1" applyAlignment="1">
      <alignment vertical="top"/>
    </xf>
    <xf numFmtId="0" fontId="25" fillId="7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166" fontId="25" fillId="0" borderId="0" xfId="0" applyNumberFormat="1" applyFont="1" applyFill="1" applyBorder="1" applyAlignment="1">
      <alignment horizontal="left" vertical="center" wrapText="1"/>
    </xf>
    <xf numFmtId="43" fontId="25" fillId="0" borderId="0" xfId="1" applyFont="1" applyFill="1" applyBorder="1" applyAlignment="1">
      <alignment horizontal="center" vertical="center" wrapText="1"/>
    </xf>
    <xf numFmtId="0" fontId="19" fillId="8" borderId="10" xfId="0" quotePrefix="1" applyFont="1" applyFill="1" applyBorder="1" applyAlignment="1">
      <alignment horizontal="left" vertical="top"/>
    </xf>
    <xf numFmtId="0" fontId="19" fillId="8" borderId="5" xfId="0" applyFont="1" applyFill="1" applyBorder="1" applyAlignment="1">
      <alignment vertical="top" wrapText="1"/>
    </xf>
    <xf numFmtId="0" fontId="25" fillId="8" borderId="2" xfId="0" applyFont="1" applyFill="1" applyBorder="1" applyAlignment="1">
      <alignment horizontal="left" vertical="top" wrapText="1"/>
    </xf>
    <xf numFmtId="0" fontId="25" fillId="8" borderId="5" xfId="0" applyFont="1" applyFill="1" applyBorder="1" applyAlignment="1">
      <alignment vertical="top" wrapText="1"/>
    </xf>
    <xf numFmtId="166" fontId="25" fillId="8" borderId="5" xfId="1" applyNumberFormat="1" applyFont="1" applyFill="1" applyBorder="1" applyAlignment="1">
      <alignment vertical="top" wrapText="1"/>
    </xf>
    <xf numFmtId="43" fontId="25" fillId="8" borderId="2" xfId="1" applyFont="1" applyFill="1" applyBorder="1" applyAlignment="1">
      <alignment vertical="top" wrapText="1"/>
    </xf>
    <xf numFmtId="0" fontId="19" fillId="0" borderId="6" xfId="0" quotePrefix="1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top" wrapText="1"/>
    </xf>
    <xf numFmtId="166" fontId="25" fillId="0" borderId="0" xfId="1" applyNumberFormat="1" applyFont="1" applyFill="1" applyBorder="1" applyAlignment="1">
      <alignment vertical="top" wrapText="1"/>
    </xf>
    <xf numFmtId="43" fontId="25" fillId="0" borderId="0" xfId="1" applyFont="1" applyFill="1" applyBorder="1" applyAlignment="1">
      <alignment vertical="top" wrapText="1"/>
    </xf>
    <xf numFmtId="0" fontId="19" fillId="9" borderId="10" xfId="0" quotePrefix="1" applyFont="1" applyFill="1" applyBorder="1" applyAlignment="1">
      <alignment horizontal="left" vertical="top"/>
    </xf>
    <xf numFmtId="0" fontId="19" fillId="9" borderId="5" xfId="0" applyFont="1" applyFill="1" applyBorder="1" applyAlignment="1">
      <alignment vertical="top" wrapText="1"/>
    </xf>
    <xf numFmtId="0" fontId="25" fillId="9" borderId="2" xfId="0" applyFont="1" applyFill="1" applyBorder="1" applyAlignment="1">
      <alignment horizontal="left" vertical="top" wrapText="1"/>
    </xf>
    <xf numFmtId="0" fontId="25" fillId="9" borderId="5" xfId="0" applyFont="1" applyFill="1" applyBorder="1" applyAlignment="1">
      <alignment vertical="top" wrapText="1"/>
    </xf>
    <xf numFmtId="166" fontId="25" fillId="9" borderId="5" xfId="1" applyNumberFormat="1" applyFont="1" applyFill="1" applyBorder="1" applyAlignment="1">
      <alignment vertical="top" wrapText="1"/>
    </xf>
    <xf numFmtId="43" fontId="25" fillId="9" borderId="5" xfId="1" applyFont="1" applyFill="1" applyBorder="1" applyAlignment="1">
      <alignment vertical="top" wrapText="1"/>
    </xf>
    <xf numFmtId="0" fontId="19" fillId="0" borderId="13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top" wrapText="1"/>
    </xf>
    <xf numFmtId="166" fontId="19" fillId="0" borderId="7" xfId="1" applyNumberFormat="1" applyFont="1" applyFill="1" applyBorder="1" applyAlignment="1">
      <alignment vertical="top" wrapText="1"/>
    </xf>
    <xf numFmtId="43" fontId="19" fillId="0" borderId="13" xfId="1" applyFont="1" applyFill="1" applyBorder="1" applyAlignment="1">
      <alignment vertical="top" wrapText="1"/>
    </xf>
    <xf numFmtId="0" fontId="19" fillId="0" borderId="8" xfId="0" quotePrefix="1" applyFont="1" applyFill="1" applyBorder="1" applyAlignment="1">
      <alignment horizontal="left" vertical="top"/>
    </xf>
    <xf numFmtId="0" fontId="19" fillId="0" borderId="14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left" vertical="top" wrapText="1"/>
    </xf>
    <xf numFmtId="166" fontId="19" fillId="0" borderId="9" xfId="1" applyNumberFormat="1" applyFont="1" applyFill="1" applyBorder="1" applyAlignment="1">
      <alignment vertical="top" wrapText="1"/>
    </xf>
    <xf numFmtId="43" fontId="19" fillId="0" borderId="14" xfId="1" applyFont="1" applyFill="1" applyBorder="1" applyAlignment="1">
      <alignment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vertical="top"/>
    </xf>
    <xf numFmtId="166" fontId="19" fillId="0" borderId="5" xfId="1" applyNumberFormat="1" applyFont="1" applyFill="1" applyBorder="1" applyAlignment="1">
      <alignment vertical="top" wrapText="1"/>
    </xf>
    <xf numFmtId="166" fontId="25" fillId="0" borderId="5" xfId="1" applyNumberFormat="1" applyFont="1" applyFill="1" applyBorder="1" applyAlignment="1">
      <alignment vertical="top" wrapText="1"/>
    </xf>
    <xf numFmtId="43" fontId="25" fillId="0" borderId="5" xfId="1" quotePrefix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vertical="top"/>
    </xf>
    <xf numFmtId="166" fontId="19" fillId="0" borderId="0" xfId="1" applyNumberFormat="1" applyFont="1" applyFill="1" applyBorder="1" applyAlignment="1">
      <alignment vertical="top" wrapText="1"/>
    </xf>
    <xf numFmtId="43" fontId="25" fillId="0" borderId="0" xfId="1" quotePrefix="1" applyFont="1" applyFill="1" applyBorder="1" applyAlignment="1">
      <alignment horizontal="center" vertical="top" wrapText="1"/>
    </xf>
    <xf numFmtId="166" fontId="19" fillId="0" borderId="0" xfId="0" applyNumberFormat="1" applyFont="1" applyFill="1" applyAlignment="1">
      <alignment vertical="center"/>
    </xf>
    <xf numFmtId="166" fontId="25" fillId="0" borderId="0" xfId="1" quotePrefix="1" applyNumberFormat="1" applyFont="1" applyFill="1" applyBorder="1" applyAlignment="1">
      <alignment horizontal="center" wrapText="1"/>
    </xf>
    <xf numFmtId="166" fontId="26" fillId="0" borderId="0" xfId="0" applyNumberFormat="1" applyFont="1" applyFill="1" applyBorder="1" applyAlignment="1">
      <alignment vertical="top"/>
    </xf>
    <xf numFmtId="43" fontId="23" fillId="0" borderId="0" xfId="1" applyFont="1" applyFill="1" applyBorder="1" applyAlignment="1">
      <alignment vertical="top"/>
    </xf>
    <xf numFmtId="0" fontId="25" fillId="0" borderId="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8" borderId="10" xfId="1" applyNumberFormat="1" applyFont="1" applyFill="1" applyBorder="1" applyAlignment="1">
      <alignment horizontal="left" vertical="top" wrapText="1"/>
    </xf>
    <xf numFmtId="0" fontId="25" fillId="8" borderId="2" xfId="1" applyNumberFormat="1" applyFont="1" applyFill="1" applyBorder="1" applyAlignment="1">
      <alignment horizontal="left" vertical="top" wrapText="1"/>
    </xf>
    <xf numFmtId="166" fontId="25" fillId="8" borderId="2" xfId="1" applyNumberFormat="1" applyFont="1" applyFill="1" applyBorder="1" applyAlignment="1">
      <alignment horizontal="left" vertical="top" wrapText="1"/>
    </xf>
    <xf numFmtId="43" fontId="25" fillId="8" borderId="5" xfId="1" applyFont="1" applyFill="1" applyBorder="1" applyAlignment="1">
      <alignment horizontal="left" vertical="top" wrapText="1"/>
    </xf>
    <xf numFmtId="0" fontId="25" fillId="0" borderId="6" xfId="1" applyNumberFormat="1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vertical="top" wrapText="1"/>
    </xf>
    <xf numFmtId="166" fontId="25" fillId="0" borderId="0" xfId="1" applyNumberFormat="1" applyFont="1" applyFill="1" applyBorder="1" applyAlignment="1">
      <alignment horizontal="left" vertical="top" wrapText="1"/>
    </xf>
    <xf numFmtId="43" fontId="25" fillId="0" borderId="13" xfId="1" applyFont="1" applyFill="1" applyBorder="1" applyAlignment="1">
      <alignment horizontal="left" vertical="top" wrapText="1"/>
    </xf>
    <xf numFmtId="0" fontId="25" fillId="9" borderId="10" xfId="1" applyNumberFormat="1" applyFont="1" applyFill="1" applyBorder="1" applyAlignment="1">
      <alignment horizontal="left" vertical="top" wrapText="1"/>
    </xf>
    <xf numFmtId="0" fontId="25" fillId="9" borderId="2" xfId="1" applyNumberFormat="1" applyFont="1" applyFill="1" applyBorder="1" applyAlignment="1">
      <alignment horizontal="left" vertical="top" wrapText="1"/>
    </xf>
    <xf numFmtId="43" fontId="25" fillId="9" borderId="5" xfId="1" applyFont="1" applyFill="1" applyBorder="1" applyAlignment="1">
      <alignment horizontal="left" vertical="top" wrapText="1"/>
    </xf>
    <xf numFmtId="43" fontId="19" fillId="0" borderId="6" xfId="1" quotePrefix="1" applyFont="1" applyFill="1" applyBorder="1" applyAlignment="1">
      <alignment horizontal="left" vertical="top"/>
    </xf>
    <xf numFmtId="0" fontId="19" fillId="0" borderId="0" xfId="1" applyNumberFormat="1" applyFont="1" applyFill="1" applyBorder="1" applyAlignment="1">
      <alignment horizontal="left" vertical="top" wrapText="1"/>
    </xf>
    <xf numFmtId="166" fontId="19" fillId="0" borderId="7" xfId="1" applyNumberFormat="1" applyFont="1" applyFill="1" applyBorder="1" applyAlignment="1">
      <alignment horizontal="left" vertical="top" wrapText="1"/>
    </xf>
    <xf numFmtId="43" fontId="19" fillId="0" borderId="13" xfId="1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vertical="top"/>
    </xf>
    <xf numFmtId="0" fontId="19" fillId="0" borderId="5" xfId="1" applyNumberFormat="1" applyFont="1" applyFill="1" applyBorder="1" applyAlignment="1">
      <alignment horizontal="left" vertical="top"/>
    </xf>
    <xf numFmtId="166" fontId="25" fillId="0" borderId="5" xfId="1" applyNumberFormat="1" applyFont="1" applyFill="1" applyBorder="1" applyAlignment="1">
      <alignment vertical="top"/>
    </xf>
    <xf numFmtId="0" fontId="19" fillId="0" borderId="6" xfId="1" applyNumberFormat="1" applyFont="1" applyFill="1" applyBorder="1" applyAlignment="1">
      <alignment horizontal="left" vertical="top"/>
    </xf>
    <xf numFmtId="166" fontId="25" fillId="0" borderId="0" xfId="1" applyNumberFormat="1" applyFont="1" applyFill="1" applyBorder="1" applyAlignment="1">
      <alignment vertical="top"/>
    </xf>
    <xf numFmtId="166" fontId="25" fillId="0" borderId="13" xfId="1" applyNumberFormat="1" applyFont="1" applyFill="1" applyBorder="1" applyAlignment="1">
      <alignment vertical="top"/>
    </xf>
    <xf numFmtId="166" fontId="25" fillId="0" borderId="12" xfId="1" applyNumberFormat="1" applyFont="1" applyFill="1" applyBorder="1" applyAlignment="1">
      <alignment vertical="top"/>
    </xf>
    <xf numFmtId="0" fontId="19" fillId="0" borderId="8" xfId="1" quotePrefix="1" applyNumberFormat="1" applyFont="1" applyFill="1" applyBorder="1" applyAlignment="1">
      <alignment horizontal="left" vertical="top"/>
    </xf>
    <xf numFmtId="0" fontId="19" fillId="0" borderId="1" xfId="1" applyNumberFormat="1" applyFont="1" applyFill="1" applyBorder="1" applyAlignment="1">
      <alignment horizontal="left" vertical="top" wrapText="1"/>
    </xf>
    <xf numFmtId="0" fontId="19" fillId="0" borderId="14" xfId="1" quotePrefix="1" applyNumberFormat="1" applyFont="1" applyFill="1" applyBorder="1" applyAlignment="1">
      <alignment horizontal="left" vertical="top"/>
    </xf>
    <xf numFmtId="0" fontId="19" fillId="0" borderId="14" xfId="1" applyNumberFormat="1" applyFont="1" applyFill="1" applyBorder="1" applyAlignment="1">
      <alignment horizontal="left" vertical="top" wrapText="1"/>
    </xf>
    <xf numFmtId="166" fontId="25" fillId="0" borderId="14" xfId="1" applyNumberFormat="1" applyFont="1" applyFill="1" applyBorder="1" applyAlignment="1">
      <alignment vertical="top" wrapText="1"/>
    </xf>
    <xf numFmtId="43" fontId="25" fillId="0" borderId="14" xfId="1" applyFont="1" applyFill="1" applyBorder="1" applyAlignment="1">
      <alignment vertical="top" wrapText="1"/>
    </xf>
    <xf numFmtId="0" fontId="19" fillId="0" borderId="6" xfId="0" applyFont="1" applyFill="1" applyBorder="1" applyAlignment="1">
      <alignment horizontal="left" vertical="top"/>
    </xf>
    <xf numFmtId="166" fontId="25" fillId="0" borderId="13" xfId="1" applyNumberFormat="1" applyFont="1" applyFill="1" applyBorder="1" applyAlignment="1">
      <alignment vertical="top" wrapText="1"/>
    </xf>
    <xf numFmtId="43" fontId="25" fillId="0" borderId="13" xfId="1" applyFont="1" applyFill="1" applyBorder="1" applyAlignment="1">
      <alignment vertical="top" wrapText="1"/>
    </xf>
    <xf numFmtId="0" fontId="25" fillId="8" borderId="10" xfId="0" applyFont="1" applyFill="1" applyBorder="1" applyAlignment="1">
      <alignment horizontal="left" vertical="top" wrapText="1"/>
    </xf>
    <xf numFmtId="0" fontId="25" fillId="0" borderId="6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vertical="top" wrapText="1"/>
    </xf>
    <xf numFmtId="0" fontId="25" fillId="9" borderId="10" xfId="0" applyFont="1" applyFill="1" applyBorder="1" applyAlignment="1">
      <alignment horizontal="left" vertical="top" wrapText="1"/>
    </xf>
    <xf numFmtId="166" fontId="25" fillId="9" borderId="5" xfId="1" applyNumberFormat="1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vertical="top"/>
    </xf>
    <xf numFmtId="43" fontId="19" fillId="0" borderId="14" xfId="1" applyFont="1" applyFill="1" applyBorder="1" applyAlignment="1">
      <alignment horizontal="left" vertical="top" wrapText="1"/>
    </xf>
    <xf numFmtId="0" fontId="19" fillId="0" borderId="0" xfId="0" quotePrefix="1" applyFont="1" applyFill="1" applyBorder="1" applyAlignment="1">
      <alignment horizontal="left" vertical="top"/>
    </xf>
    <xf numFmtId="0" fontId="25" fillId="0" borderId="0" xfId="0" quotePrefix="1" applyFont="1" applyFill="1" applyBorder="1" applyAlignment="1">
      <alignment horizontal="center" wrapText="1"/>
    </xf>
    <xf numFmtId="166" fontId="19" fillId="0" borderId="0" xfId="1" applyNumberFormat="1" applyFont="1" applyFill="1" applyBorder="1" applyAlignment="1">
      <alignment horizontal="left" vertical="top" wrapText="1"/>
    </xf>
    <xf numFmtId="43" fontId="19" fillId="0" borderId="0" xfId="1" applyFont="1" applyFill="1" applyBorder="1" applyAlignment="1">
      <alignment horizontal="left" vertical="top" wrapText="1"/>
    </xf>
    <xf numFmtId="166" fontId="19" fillId="0" borderId="9" xfId="1" applyNumberFormat="1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left" vertical="top"/>
    </xf>
    <xf numFmtId="43" fontId="25" fillId="0" borderId="5" xfId="1" applyFont="1" applyFill="1" applyBorder="1" applyAlignment="1">
      <alignment vertical="top"/>
    </xf>
    <xf numFmtId="0" fontId="25" fillId="0" borderId="12" xfId="0" applyFont="1" applyFill="1" applyBorder="1" applyAlignment="1">
      <alignment horizontal="left" vertical="top"/>
    </xf>
    <xf numFmtId="43" fontId="25" fillId="0" borderId="0" xfId="1" applyFont="1" applyFill="1" applyBorder="1" applyAlignment="1">
      <alignment vertical="top"/>
    </xf>
    <xf numFmtId="0" fontId="19" fillId="0" borderId="5" xfId="0" quotePrefix="1" applyFont="1" applyFill="1" applyBorder="1" applyAlignment="1">
      <alignment horizontal="left" vertical="top"/>
    </xf>
    <xf numFmtId="0" fontId="19" fillId="0" borderId="5" xfId="0" applyFont="1" applyFill="1" applyBorder="1" applyAlignment="1">
      <alignment vertical="top" wrapText="1"/>
    </xf>
    <xf numFmtId="43" fontId="25" fillId="0" borderId="5" xfId="1" applyFont="1" applyFill="1" applyBorder="1" applyAlignment="1">
      <alignment vertical="top" wrapText="1"/>
    </xf>
    <xf numFmtId="166" fontId="19" fillId="0" borderId="13" xfId="1" applyNumberFormat="1" applyFont="1" applyFill="1" applyBorder="1" applyAlignment="1">
      <alignment vertical="top"/>
    </xf>
    <xf numFmtId="43" fontId="19" fillId="0" borderId="13" xfId="1" applyFont="1" applyFill="1" applyBorder="1" applyAlignment="1">
      <alignment vertical="top"/>
    </xf>
    <xf numFmtId="43" fontId="25" fillId="0" borderId="13" xfId="1" applyFont="1" applyFill="1" applyBorder="1" applyAlignment="1">
      <alignment vertical="top"/>
    </xf>
    <xf numFmtId="0" fontId="25" fillId="0" borderId="12" xfId="0" quotePrefix="1" applyFont="1" applyFill="1" applyBorder="1" applyAlignment="1">
      <alignment horizontal="left" vertical="top"/>
    </xf>
    <xf numFmtId="0" fontId="25" fillId="0" borderId="12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horizontal="left" vertical="top" wrapText="1"/>
    </xf>
    <xf numFmtId="166" fontId="25" fillId="0" borderId="12" xfId="1" applyNumberFormat="1" applyFont="1" applyFill="1" applyBorder="1" applyAlignment="1">
      <alignment vertical="top" wrapText="1"/>
    </xf>
    <xf numFmtId="43" fontId="25" fillId="0" borderId="12" xfId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3" fontId="25" fillId="0" borderId="5" xfId="1" applyFont="1" applyFill="1" applyBorder="1" applyAlignment="1">
      <alignment horizontal="center" vertical="center" wrapText="1"/>
    </xf>
    <xf numFmtId="0" fontId="25" fillId="9" borderId="5" xfId="0" applyFont="1" applyFill="1" applyBorder="1" applyAlignment="1">
      <alignment horizontal="left" vertical="top" wrapText="1"/>
    </xf>
    <xf numFmtId="0" fontId="25" fillId="0" borderId="5" xfId="0" quotePrefix="1" applyFont="1" applyFill="1" applyBorder="1" applyAlignment="1">
      <alignment horizontal="left" vertical="top"/>
    </xf>
    <xf numFmtId="0" fontId="25" fillId="0" borderId="5" xfId="0" applyFont="1" applyFill="1" applyBorder="1" applyAlignment="1">
      <alignment vertical="top"/>
    </xf>
    <xf numFmtId="0" fontId="25" fillId="0" borderId="5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vertical="top" wrapText="1"/>
    </xf>
    <xf numFmtId="166" fontId="25" fillId="0" borderId="5" xfId="1" applyNumberFormat="1" applyFont="1" applyFill="1" applyBorder="1" applyAlignment="1">
      <alignment horizontal="left" vertical="top" wrapText="1"/>
    </xf>
    <xf numFmtId="43" fontId="25" fillId="0" borderId="5" xfId="1" applyFont="1" applyFill="1" applyBorder="1" applyAlignment="1">
      <alignment horizontal="left" vertical="top" wrapText="1"/>
    </xf>
    <xf numFmtId="0" fontId="25" fillId="0" borderId="10" xfId="0" quotePrefix="1" applyFont="1" applyFill="1" applyBorder="1" applyAlignment="1">
      <alignment horizontal="left" vertical="top"/>
    </xf>
    <xf numFmtId="0" fontId="25" fillId="0" borderId="11" xfId="0" applyFont="1" applyFill="1" applyBorder="1" applyAlignment="1">
      <alignment horizontal="left" vertical="top" wrapText="1"/>
    </xf>
    <xf numFmtId="0" fontId="25" fillId="0" borderId="6" xfId="0" applyFont="1" applyFill="1" applyBorder="1" applyAlignment="1">
      <alignment horizontal="left" vertical="top"/>
    </xf>
    <xf numFmtId="166" fontId="25" fillId="0" borderId="0" xfId="1" quotePrefix="1" applyNumberFormat="1" applyFont="1" applyFill="1" applyBorder="1" applyAlignment="1">
      <alignment horizontal="center" vertical="top"/>
    </xf>
    <xf numFmtId="166" fontId="25" fillId="0" borderId="12" xfId="1" quotePrefix="1" applyNumberFormat="1" applyFont="1" applyFill="1" applyBorder="1" applyAlignment="1">
      <alignment horizontal="center"/>
    </xf>
    <xf numFmtId="43" fontId="25" fillId="0" borderId="12" xfId="1" quotePrefix="1" applyFont="1" applyFill="1" applyBorder="1" applyAlignment="1">
      <alignment horizontal="center" vertical="top"/>
    </xf>
    <xf numFmtId="43" fontId="19" fillId="0" borderId="13" xfId="1" applyFont="1" applyFill="1" applyBorder="1" applyAlignment="1">
      <alignment horizontal="center" vertical="top" wrapText="1"/>
    </xf>
    <xf numFmtId="0" fontId="25" fillId="0" borderId="6" xfId="0" quotePrefix="1" applyFont="1" applyFill="1" applyBorder="1" applyAlignment="1">
      <alignment horizontal="left" vertical="top"/>
    </xf>
    <xf numFmtId="0" fontId="25" fillId="0" borderId="2" xfId="0" applyFont="1" applyFill="1" applyBorder="1" applyAlignment="1">
      <alignment horizontal="left" vertical="top" wrapText="1"/>
    </xf>
    <xf numFmtId="166" fontId="25" fillId="0" borderId="2" xfId="1" applyNumberFormat="1" applyFont="1" applyFill="1" applyBorder="1" applyAlignment="1">
      <alignment vertical="top" wrapText="1"/>
    </xf>
    <xf numFmtId="166" fontId="25" fillId="0" borderId="13" xfId="1" quotePrefix="1" applyNumberFormat="1" applyFont="1" applyFill="1" applyBorder="1" applyAlignment="1">
      <alignment horizontal="center"/>
    </xf>
    <xf numFmtId="43" fontId="25" fillId="0" borderId="13" xfId="1" quotePrefix="1" applyFont="1" applyFill="1" applyBorder="1" applyAlignment="1">
      <alignment horizontal="center" vertical="top"/>
    </xf>
    <xf numFmtId="49" fontId="19" fillId="0" borderId="13" xfId="0" applyNumberFormat="1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/>
    </xf>
    <xf numFmtId="166" fontId="19" fillId="0" borderId="7" xfId="1" applyNumberFormat="1" applyFont="1" applyFill="1" applyBorder="1" applyAlignment="1">
      <alignment vertical="top"/>
    </xf>
    <xf numFmtId="49" fontId="25" fillId="0" borderId="5" xfId="0" applyNumberFormat="1" applyFont="1" applyFill="1" applyBorder="1" applyAlignment="1">
      <alignment horizontal="left" vertical="top" wrapText="1"/>
    </xf>
    <xf numFmtId="0" fontId="19" fillId="0" borderId="13" xfId="0" quotePrefix="1" applyFont="1" applyFill="1" applyBorder="1" applyAlignment="1">
      <alignment horizontal="left" vertical="top"/>
    </xf>
    <xf numFmtId="0" fontId="19" fillId="0" borderId="14" xfId="0" quotePrefix="1" applyFont="1" applyFill="1" applyBorder="1" applyAlignment="1">
      <alignment horizontal="left" vertical="top"/>
    </xf>
    <xf numFmtId="0" fontId="19" fillId="0" borderId="16" xfId="0" applyFont="1" applyFill="1" applyBorder="1" applyAlignment="1">
      <alignment horizontal="left" vertical="top" wrapText="1"/>
    </xf>
    <xf numFmtId="166" fontId="25" fillId="0" borderId="15" xfId="1" applyNumberFormat="1" applyFont="1" applyFill="1" applyBorder="1" applyAlignment="1">
      <alignment horizontal="center" vertical="top"/>
    </xf>
    <xf numFmtId="43" fontId="25" fillId="0" borderId="12" xfId="1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left" vertical="top" wrapText="1"/>
    </xf>
    <xf numFmtId="166" fontId="25" fillId="0" borderId="12" xfId="1" applyNumberFormat="1" applyFont="1" applyFill="1" applyBorder="1" applyAlignment="1">
      <alignment horizontal="center" vertical="top"/>
    </xf>
    <xf numFmtId="43" fontId="25" fillId="0" borderId="0" xfId="1" applyFont="1" applyFill="1" applyBorder="1" applyAlignment="1">
      <alignment horizontal="center" vertical="top"/>
    </xf>
    <xf numFmtId="0" fontId="19" fillId="0" borderId="6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vertical="top"/>
    </xf>
    <xf numFmtId="0" fontId="19" fillId="0" borderId="15" xfId="0" applyFont="1" applyFill="1" applyBorder="1" applyAlignment="1">
      <alignment horizontal="left" vertical="top"/>
    </xf>
    <xf numFmtId="166" fontId="25" fillId="0" borderId="15" xfId="1" applyNumberFormat="1" applyFont="1" applyFill="1" applyBorder="1" applyAlignment="1">
      <alignment vertical="top"/>
    </xf>
    <xf numFmtId="43" fontId="25" fillId="0" borderId="15" xfId="1" applyFont="1" applyFill="1" applyBorder="1" applyAlignment="1">
      <alignment vertical="top"/>
    </xf>
    <xf numFmtId="0" fontId="19" fillId="0" borderId="16" xfId="0" quotePrefix="1" applyFont="1" applyFill="1" applyBorder="1" applyAlignment="1">
      <alignment horizontal="left" vertical="top"/>
    </xf>
    <xf numFmtId="0" fontId="19" fillId="0" borderId="12" xfId="0" applyFont="1" applyFill="1" applyBorder="1" applyAlignment="1">
      <alignment vertical="top" wrapText="1"/>
    </xf>
    <xf numFmtId="43" fontId="25" fillId="0" borderId="12" xfId="1" applyFont="1" applyFill="1" applyBorder="1" applyAlignment="1">
      <alignment vertical="top"/>
    </xf>
    <xf numFmtId="0" fontId="25" fillId="0" borderId="8" xfId="0" quotePrefix="1" applyFont="1" applyFill="1" applyBorder="1" applyAlignment="1">
      <alignment horizontal="left" vertical="top"/>
    </xf>
    <xf numFmtId="0" fontId="25" fillId="0" borderId="14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left" vertical="top" wrapText="1"/>
    </xf>
    <xf numFmtId="49" fontId="19" fillId="0" borderId="6" xfId="0" applyNumberFormat="1" applyFont="1" applyFill="1" applyBorder="1" applyAlignment="1">
      <alignment horizontal="left" vertical="top" wrapText="1"/>
    </xf>
    <xf numFmtId="49" fontId="19" fillId="0" borderId="8" xfId="0" applyNumberFormat="1" applyFont="1" applyFill="1" applyBorder="1" applyAlignment="1">
      <alignment horizontal="left" vertical="top" wrapText="1"/>
    </xf>
    <xf numFmtId="49" fontId="25" fillId="0" borderId="12" xfId="0" applyNumberFormat="1" applyFont="1" applyFill="1" applyBorder="1" applyAlignment="1">
      <alignment horizontal="left" vertical="top" wrapText="1"/>
    </xf>
    <xf numFmtId="0" fontId="25" fillId="7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25" fillId="0" borderId="13" xfId="0" quotePrefix="1" applyFont="1" applyFill="1" applyBorder="1" applyAlignment="1">
      <alignment horizontal="left" vertical="top"/>
    </xf>
    <xf numFmtId="0" fontId="25" fillId="0" borderId="13" xfId="0" applyFont="1" applyFill="1" applyBorder="1" applyAlignment="1">
      <alignment horizontal="left" vertical="top" wrapText="1"/>
    </xf>
    <xf numFmtId="166" fontId="25" fillId="0" borderId="0" xfId="1" applyNumberFormat="1" applyFont="1" applyFill="1" applyBorder="1" applyAlignment="1">
      <alignment horizontal="center" vertical="top"/>
    </xf>
    <xf numFmtId="166" fontId="25" fillId="0" borderId="0" xfId="1" quotePrefix="1" applyNumberFormat="1" applyFont="1" applyFill="1" applyBorder="1" applyAlignment="1">
      <alignment horizontal="center"/>
    </xf>
    <xf numFmtId="0" fontId="25" fillId="0" borderId="14" xfId="0" quotePrefix="1" applyFont="1" applyFill="1" applyBorder="1" applyAlignment="1">
      <alignment horizontal="left" vertical="top"/>
    </xf>
    <xf numFmtId="0" fontId="25" fillId="0" borderId="14" xfId="0" applyFont="1" applyFill="1" applyBorder="1" applyAlignment="1">
      <alignment horizontal="left" vertical="top" wrapText="1"/>
    </xf>
    <xf numFmtId="166" fontId="25" fillId="0" borderId="12" xfId="1" applyNumberFormat="1" applyFont="1" applyFill="1" applyBorder="1" applyAlignment="1">
      <alignment horizontal="left" vertical="top" wrapText="1"/>
    </xf>
    <xf numFmtId="43" fontId="25" fillId="0" borderId="12" xfId="1" applyFont="1" applyFill="1" applyBorder="1" applyAlignment="1">
      <alignment horizontal="left" vertical="top" wrapText="1"/>
    </xf>
    <xf numFmtId="166" fontId="19" fillId="0" borderId="0" xfId="1" applyNumberFormat="1" applyFont="1" applyFill="1" applyBorder="1" applyAlignment="1">
      <alignment horizontal="left" vertical="top"/>
    </xf>
    <xf numFmtId="166" fontId="19" fillId="0" borderId="1" xfId="1" applyNumberFormat="1" applyFont="1" applyFill="1" applyBorder="1" applyAlignment="1">
      <alignment horizontal="left" vertical="top"/>
    </xf>
    <xf numFmtId="166" fontId="25" fillId="0" borderId="5" xfId="1" applyNumberFormat="1" applyFont="1" applyFill="1" applyBorder="1" applyAlignment="1">
      <alignment horizontal="left" vertical="top"/>
    </xf>
    <xf numFmtId="166" fontId="25" fillId="0" borderId="7" xfId="1" applyNumberFormat="1" applyFont="1" applyFill="1" applyBorder="1" applyAlignment="1">
      <alignment vertical="top" wrapText="1"/>
    </xf>
    <xf numFmtId="166" fontId="19" fillId="0" borderId="9" xfId="1" applyNumberFormat="1" applyFont="1" applyFill="1" applyBorder="1" applyAlignment="1">
      <alignment vertical="top"/>
    </xf>
    <xf numFmtId="43" fontId="19" fillId="0" borderId="14" xfId="1" applyFont="1" applyFill="1" applyBorder="1" applyAlignment="1">
      <alignment vertical="top"/>
    </xf>
    <xf numFmtId="166" fontId="25" fillId="0" borderId="7" xfId="1" applyNumberFormat="1" applyFont="1" applyFill="1" applyBorder="1" applyAlignment="1">
      <alignment vertical="top"/>
    </xf>
    <xf numFmtId="166" fontId="25" fillId="0" borderId="13" xfId="1" applyNumberFormat="1" applyFont="1" applyFill="1" applyBorder="1" applyAlignment="1">
      <alignment horizontal="left" vertical="top" wrapText="1"/>
    </xf>
    <xf numFmtId="49" fontId="19" fillId="0" borderId="0" xfId="0" applyNumberFormat="1" applyFont="1" applyFill="1" applyBorder="1" applyAlignment="1">
      <alignment horizontal="left" vertical="top" wrapText="1"/>
    </xf>
    <xf numFmtId="166" fontId="19" fillId="0" borderId="7" xfId="1" applyNumberFormat="1" applyFont="1" applyFill="1" applyBorder="1" applyAlignment="1">
      <alignment horizontal="left" vertical="top"/>
    </xf>
    <xf numFmtId="43" fontId="19" fillId="0" borderId="13" xfId="1" applyFont="1" applyFill="1" applyBorder="1" applyAlignment="1">
      <alignment horizontal="left" vertical="top"/>
    </xf>
    <xf numFmtId="43" fontId="25" fillId="0" borderId="5" xfId="1" applyFont="1" applyFill="1" applyBorder="1" applyAlignment="1">
      <alignment horizontal="left" vertical="top"/>
    </xf>
    <xf numFmtId="0" fontId="25" fillId="0" borderId="14" xfId="0" applyFont="1" applyFill="1" applyBorder="1" applyAlignment="1">
      <alignment vertical="top"/>
    </xf>
    <xf numFmtId="43" fontId="25" fillId="0" borderId="14" xfId="1" applyFont="1" applyFill="1" applyBorder="1" applyAlignment="1">
      <alignment horizontal="left" vertical="top"/>
    </xf>
    <xf numFmtId="49" fontId="19" fillId="0" borderId="16" xfId="0" applyNumberFormat="1" applyFont="1" applyFill="1" applyBorder="1" applyAlignment="1">
      <alignment horizontal="left" vertical="top" wrapText="1"/>
    </xf>
    <xf numFmtId="166" fontId="25" fillId="0" borderId="15" xfId="1" applyNumberFormat="1" applyFont="1" applyFill="1" applyBorder="1" applyAlignment="1">
      <alignment horizontal="left" vertical="top"/>
    </xf>
    <xf numFmtId="166" fontId="25" fillId="0" borderId="12" xfId="1" applyNumberFormat="1" applyFont="1" applyFill="1" applyBorder="1" applyAlignment="1">
      <alignment horizontal="left" vertical="top"/>
    </xf>
    <xf numFmtId="43" fontId="25" fillId="0" borderId="12" xfId="1" applyFont="1" applyFill="1" applyBorder="1" applyAlignment="1">
      <alignment horizontal="left" vertical="top"/>
    </xf>
    <xf numFmtId="166" fontId="19" fillId="0" borderId="13" xfId="1" applyNumberFormat="1" applyFont="1" applyFill="1" applyBorder="1" applyAlignment="1">
      <alignment horizontal="left" vertical="top"/>
    </xf>
    <xf numFmtId="166" fontId="19" fillId="0" borderId="15" xfId="1" applyNumberFormat="1" applyFont="1" applyFill="1" applyBorder="1" applyAlignment="1">
      <alignment horizontal="left" vertical="top"/>
    </xf>
    <xf numFmtId="166" fontId="19" fillId="0" borderId="12" xfId="1" applyNumberFormat="1" applyFont="1" applyFill="1" applyBorder="1" applyAlignment="1">
      <alignment horizontal="left" vertical="top"/>
    </xf>
    <xf numFmtId="43" fontId="19" fillId="0" borderId="12" xfId="1" applyFont="1" applyFill="1" applyBorder="1" applyAlignment="1">
      <alignment horizontal="left" vertical="top"/>
    </xf>
    <xf numFmtId="0" fontId="19" fillId="0" borderId="14" xfId="0" applyFont="1" applyFill="1" applyBorder="1" applyAlignment="1">
      <alignment horizontal="left" vertical="top"/>
    </xf>
    <xf numFmtId="166" fontId="19" fillId="0" borderId="14" xfId="1" applyNumberFormat="1" applyFont="1" applyFill="1" applyBorder="1" applyAlignment="1">
      <alignment horizontal="left" vertical="top"/>
    </xf>
    <xf numFmtId="43" fontId="19" fillId="0" borderId="14" xfId="1" applyFont="1" applyFill="1" applyBorder="1" applyAlignment="1">
      <alignment horizontal="left" vertical="top"/>
    </xf>
    <xf numFmtId="0" fontId="19" fillId="0" borderId="15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166" fontId="19" fillId="0" borderId="9" xfId="1" applyNumberFormat="1" applyFont="1" applyFill="1" applyBorder="1" applyAlignment="1">
      <alignment horizontal="left" vertical="top"/>
    </xf>
    <xf numFmtId="0" fontId="19" fillId="0" borderId="10" xfId="0" quotePrefix="1" applyFont="1" applyFill="1" applyBorder="1" applyAlignment="1">
      <alignment horizontal="left" vertical="top"/>
    </xf>
    <xf numFmtId="166" fontId="19" fillId="0" borderId="2" xfId="1" applyNumberFormat="1" applyFont="1" applyFill="1" applyBorder="1" applyAlignment="1">
      <alignment horizontal="left" vertical="top"/>
    </xf>
    <xf numFmtId="166" fontId="19" fillId="0" borderId="5" xfId="1" applyNumberFormat="1" applyFont="1" applyFill="1" applyBorder="1" applyAlignment="1">
      <alignment horizontal="left" vertical="top"/>
    </xf>
    <xf numFmtId="166" fontId="25" fillId="0" borderId="2" xfId="1" applyNumberFormat="1" applyFont="1" applyFill="1" applyBorder="1" applyAlignment="1">
      <alignment horizontal="left" vertical="top"/>
    </xf>
    <xf numFmtId="166" fontId="19" fillId="0" borderId="13" xfId="1" applyNumberFormat="1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49" fontId="19" fillId="0" borderId="5" xfId="0" quotePrefix="1" applyNumberFormat="1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/>
    </xf>
    <xf numFmtId="166" fontId="19" fillId="0" borderId="5" xfId="1" applyNumberFormat="1" applyFont="1" applyFill="1" applyBorder="1" applyAlignment="1">
      <alignment vertical="top"/>
    </xf>
    <xf numFmtId="43" fontId="19" fillId="0" borderId="5" xfId="1" applyFont="1" applyFill="1" applyBorder="1" applyAlignment="1">
      <alignment vertical="top"/>
    </xf>
    <xf numFmtId="49" fontId="25" fillId="0" borderId="10" xfId="0" applyNumberFormat="1" applyFont="1" applyFill="1" applyBorder="1" applyAlignment="1">
      <alignment horizontal="left" vertical="top" wrapText="1"/>
    </xf>
    <xf numFmtId="166" fontId="25" fillId="0" borderId="2" xfId="1" applyNumberFormat="1" applyFont="1" applyFill="1" applyBorder="1" applyAlignment="1">
      <alignment vertical="top"/>
    </xf>
    <xf numFmtId="166" fontId="25" fillId="9" borderId="2" xfId="1" applyNumberFormat="1" applyFont="1" applyFill="1" applyBorder="1" applyAlignment="1">
      <alignment vertical="top" wrapText="1"/>
    </xf>
    <xf numFmtId="0" fontId="19" fillId="0" borderId="12" xfId="0" quotePrefix="1" applyFont="1" applyFill="1" applyBorder="1" applyAlignment="1">
      <alignment horizontal="left" vertical="top"/>
    </xf>
    <xf numFmtId="43" fontId="25" fillId="0" borderId="0" xfId="1" applyFont="1" applyFill="1" applyBorder="1" applyAlignment="1">
      <alignment horizontal="left" vertical="top"/>
    </xf>
    <xf numFmtId="0" fontId="19" fillId="0" borderId="7" xfId="0" applyFont="1" applyFill="1" applyBorder="1" applyAlignment="1">
      <alignment vertical="top" wrapText="1"/>
    </xf>
    <xf numFmtId="0" fontId="25" fillId="0" borderId="16" xfId="0" quotePrefix="1" applyFont="1" applyFill="1" applyBorder="1" applyAlignment="1">
      <alignment horizontal="left" vertical="top"/>
    </xf>
    <xf numFmtId="0" fontId="25" fillId="0" borderId="15" xfId="0" applyFont="1" applyFill="1" applyBorder="1" applyAlignment="1">
      <alignment horizontal="left" vertical="top" wrapText="1"/>
    </xf>
    <xf numFmtId="166" fontId="25" fillId="0" borderId="15" xfId="1" applyNumberFormat="1" applyFont="1" applyFill="1" applyBorder="1" applyAlignment="1">
      <alignment vertical="top" wrapText="1"/>
    </xf>
    <xf numFmtId="0" fontId="25" fillId="0" borderId="14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25" fillId="0" borderId="1" xfId="0" applyFont="1" applyFill="1" applyBorder="1" applyAlignment="1">
      <alignment horizontal="left" vertical="top"/>
    </xf>
    <xf numFmtId="166" fontId="25" fillId="0" borderId="1" xfId="1" applyNumberFormat="1" applyFont="1" applyFill="1" applyBorder="1" applyAlignment="1">
      <alignment vertical="top"/>
    </xf>
    <xf numFmtId="43" fontId="25" fillId="0" borderId="14" xfId="1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/>
    </xf>
    <xf numFmtId="0" fontId="19" fillId="0" borderId="6" xfId="0" quotePrefix="1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49" fontId="19" fillId="0" borderId="12" xfId="0" applyNumberFormat="1" applyFont="1" applyFill="1" applyBorder="1" applyAlignment="1">
      <alignment horizontal="left" vertical="top" wrapText="1"/>
    </xf>
    <xf numFmtId="166" fontId="19" fillId="0" borderId="7" xfId="1" applyNumberFormat="1" applyFont="1" applyFill="1" applyBorder="1" applyAlignment="1">
      <alignment horizontal="center" vertical="top"/>
    </xf>
    <xf numFmtId="49" fontId="19" fillId="0" borderId="14" xfId="0" applyNumberFormat="1" applyFont="1" applyFill="1" applyBorder="1" applyAlignment="1">
      <alignment horizontal="left" vertical="top" wrapText="1"/>
    </xf>
    <xf numFmtId="43" fontId="19" fillId="0" borderId="13" xfId="1" applyFont="1" applyFill="1" applyBorder="1" applyAlignment="1">
      <alignment horizontal="center" vertical="top"/>
    </xf>
    <xf numFmtId="166" fontId="25" fillId="0" borderId="5" xfId="1" applyNumberFormat="1" applyFont="1" applyFill="1" applyBorder="1" applyAlignment="1">
      <alignment horizontal="center" vertical="top"/>
    </xf>
    <xf numFmtId="43" fontId="25" fillId="0" borderId="5" xfId="1" applyFont="1" applyFill="1" applyBorder="1" applyAlignment="1">
      <alignment horizontal="center" vertical="top"/>
    </xf>
    <xf numFmtId="166" fontId="19" fillId="0" borderId="12" xfId="1" applyNumberFormat="1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vertical="top" wrapText="1"/>
    </xf>
    <xf numFmtId="43" fontId="25" fillId="0" borderId="2" xfId="1" applyFont="1" applyFill="1" applyBorder="1" applyAlignment="1">
      <alignment vertical="top"/>
    </xf>
    <xf numFmtId="0" fontId="19" fillId="0" borderId="1" xfId="0" applyFont="1" applyFill="1" applyBorder="1" applyAlignment="1">
      <alignment vertical="top" wrapText="1"/>
    </xf>
    <xf numFmtId="166" fontId="19" fillId="0" borderId="14" xfId="1" applyNumberFormat="1" applyFont="1" applyFill="1" applyBorder="1" applyAlignment="1">
      <alignment vertical="top"/>
    </xf>
    <xf numFmtId="43" fontId="19" fillId="0" borderId="1" xfId="1" applyFont="1" applyFill="1" applyBorder="1" applyAlignment="1">
      <alignment vertical="top"/>
    </xf>
    <xf numFmtId="166" fontId="19" fillId="0" borderId="15" xfId="1" applyNumberFormat="1" applyFont="1" applyFill="1" applyBorder="1" applyAlignment="1">
      <alignment vertical="top"/>
    </xf>
    <xf numFmtId="43" fontId="19" fillId="0" borderId="12" xfId="1" applyFont="1" applyFill="1" applyBorder="1" applyAlignment="1">
      <alignment vertical="top"/>
    </xf>
    <xf numFmtId="0" fontId="19" fillId="0" borderId="2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/>
    </xf>
    <xf numFmtId="43" fontId="25" fillId="0" borderId="13" xfId="1" applyFont="1" applyFill="1" applyBorder="1" applyAlignment="1">
      <alignment horizontal="left" vertical="top"/>
    </xf>
    <xf numFmtId="49" fontId="19" fillId="0" borderId="6" xfId="0" quotePrefix="1" applyNumberFormat="1" applyFont="1" applyFill="1" applyBorder="1" applyAlignment="1">
      <alignment horizontal="left" vertical="top" wrapText="1"/>
    </xf>
    <xf numFmtId="49" fontId="19" fillId="0" borderId="8" xfId="0" quotePrefix="1" applyNumberFormat="1" applyFont="1" applyFill="1" applyBorder="1" applyAlignment="1">
      <alignment horizontal="left" vertical="top" wrapText="1"/>
    </xf>
    <xf numFmtId="49" fontId="25" fillId="0" borderId="5" xfId="0" quotePrefix="1" applyNumberFormat="1" applyFont="1" applyFill="1" applyBorder="1" applyAlignment="1">
      <alignment horizontal="left" vertical="top" wrapText="1"/>
    </xf>
    <xf numFmtId="43" fontId="19" fillId="0" borderId="0" xfId="1" applyFont="1" applyFill="1" applyBorder="1" applyAlignment="1">
      <alignment vertical="top"/>
    </xf>
    <xf numFmtId="166" fontId="19" fillId="0" borderId="17" xfId="1" applyNumberFormat="1" applyFont="1" applyFill="1" applyBorder="1" applyAlignment="1">
      <alignment vertical="top"/>
    </xf>
    <xf numFmtId="0" fontId="19" fillId="0" borderId="10" xfId="0" applyFont="1" applyFill="1" applyBorder="1" applyAlignment="1">
      <alignment horizontal="left" vertical="top" wrapText="1"/>
    </xf>
    <xf numFmtId="166" fontId="19" fillId="0" borderId="2" xfId="1" applyNumberFormat="1" applyFont="1" applyFill="1" applyBorder="1" applyAlignment="1">
      <alignment vertical="top"/>
    </xf>
    <xf numFmtId="166" fontId="25" fillId="0" borderId="5" xfId="1" quotePrefix="1" applyNumberFormat="1" applyFont="1" applyFill="1" applyBorder="1" applyAlignment="1">
      <alignment horizontal="center"/>
    </xf>
    <xf numFmtId="43" fontId="25" fillId="0" borderId="5" xfId="1" applyFont="1" applyFill="1" applyBorder="1" applyAlignment="1">
      <alignment horizontal="center" vertical="top" wrapText="1"/>
    </xf>
    <xf numFmtId="166" fontId="19" fillId="0" borderId="12" xfId="1" applyNumberFormat="1" applyFont="1" applyFill="1" applyBorder="1" applyAlignment="1">
      <alignment vertical="top" wrapText="1"/>
    </xf>
    <xf numFmtId="0" fontId="25" fillId="0" borderId="15" xfId="0" quotePrefix="1" applyFont="1" applyFill="1" applyBorder="1" applyAlignment="1">
      <alignment horizontal="left" vertical="top"/>
    </xf>
    <xf numFmtId="0" fontId="19" fillId="0" borderId="2" xfId="0" quotePrefix="1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/>
    </xf>
    <xf numFmtId="43" fontId="19" fillId="0" borderId="0" xfId="1" applyFont="1" applyFill="1" applyBorder="1" applyAlignment="1">
      <alignment vertical="top" wrapText="1"/>
    </xf>
    <xf numFmtId="0" fontId="25" fillId="8" borderId="8" xfId="0" applyFont="1" applyFill="1" applyBorder="1" applyAlignment="1">
      <alignment horizontal="left" vertical="top" wrapText="1"/>
    </xf>
    <xf numFmtId="0" fontId="25" fillId="8" borderId="14" xfId="0" applyFont="1" applyFill="1" applyBorder="1" applyAlignment="1">
      <alignment vertical="top" wrapText="1"/>
    </xf>
    <xf numFmtId="0" fontId="25" fillId="8" borderId="1" xfId="0" applyFont="1" applyFill="1" applyBorder="1" applyAlignment="1">
      <alignment horizontal="left" vertical="top" wrapText="1"/>
    </xf>
    <xf numFmtId="43" fontId="25" fillId="8" borderId="14" xfId="1" applyFont="1" applyFill="1" applyBorder="1" applyAlignment="1">
      <alignment vertical="top" wrapText="1"/>
    </xf>
    <xf numFmtId="0" fontId="19" fillId="0" borderId="13" xfId="0" applyFont="1" applyFill="1" applyBorder="1" applyAlignment="1">
      <alignment horizontal="right" vertical="top" wrapText="1"/>
    </xf>
    <xf numFmtId="166" fontId="19" fillId="0" borderId="13" xfId="1" applyNumberFormat="1" applyFont="1" applyFill="1" applyBorder="1" applyAlignment="1">
      <alignment vertical="top" wrapText="1"/>
    </xf>
    <xf numFmtId="43" fontId="19" fillId="0" borderId="12" xfId="1" applyFont="1" applyFill="1" applyBorder="1" applyAlignment="1">
      <alignment vertical="top" wrapText="1"/>
    </xf>
    <xf numFmtId="166" fontId="19" fillId="0" borderId="2" xfId="1" applyNumberFormat="1" applyFont="1" applyFill="1" applyBorder="1" applyAlignment="1">
      <alignment vertical="top" wrapText="1"/>
    </xf>
    <xf numFmtId="166" fontId="19" fillId="0" borderId="15" xfId="1" applyNumberFormat="1" applyFont="1" applyFill="1" applyBorder="1" applyAlignment="1">
      <alignment vertical="top" wrapText="1"/>
    </xf>
    <xf numFmtId="166" fontId="25" fillId="0" borderId="2" xfId="1" quotePrefix="1" applyNumberFormat="1" applyFont="1" applyFill="1" applyBorder="1" applyAlignment="1">
      <alignment horizontal="center"/>
    </xf>
    <xf numFmtId="43" fontId="25" fillId="0" borderId="1" xfId="1" applyFont="1" applyFill="1" applyBorder="1" applyAlignment="1">
      <alignment vertical="top"/>
    </xf>
    <xf numFmtId="0" fontId="19" fillId="0" borderId="5" xfId="0" applyFont="1" applyFill="1" applyBorder="1" applyAlignment="1">
      <alignment horizontal="right" vertical="top" wrapText="1"/>
    </xf>
    <xf numFmtId="0" fontId="19" fillId="0" borderId="12" xfId="0" applyFont="1" applyFill="1" applyBorder="1" applyAlignment="1">
      <alignment horizontal="right" vertical="top" wrapText="1"/>
    </xf>
    <xf numFmtId="0" fontId="19" fillId="0" borderId="15" xfId="0" applyFont="1" applyFill="1" applyBorder="1" applyAlignment="1">
      <alignment horizontal="right" vertical="top" wrapText="1"/>
    </xf>
    <xf numFmtId="43" fontId="25" fillId="0" borderId="15" xfId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right" vertical="top" wrapText="1"/>
    </xf>
    <xf numFmtId="43" fontId="25" fillId="8" borderId="10" xfId="1" applyFont="1" applyFill="1" applyBorder="1" applyAlignment="1">
      <alignment vertical="top" wrapText="1"/>
    </xf>
    <xf numFmtId="43" fontId="25" fillId="0" borderId="6" xfId="1" applyFont="1" applyFill="1" applyBorder="1" applyAlignment="1">
      <alignment vertical="top" wrapText="1"/>
    </xf>
    <xf numFmtId="43" fontId="25" fillId="9" borderId="10" xfId="1" applyFont="1" applyFill="1" applyBorder="1" applyAlignment="1">
      <alignment vertical="top" wrapText="1"/>
    </xf>
    <xf numFmtId="0" fontId="25" fillId="0" borderId="5" xfId="0" quotePrefix="1" applyFont="1" applyFill="1" applyBorder="1" applyAlignment="1">
      <alignment horizontal="left" vertical="top" wrapText="1"/>
    </xf>
    <xf numFmtId="43" fontId="25" fillId="0" borderId="10" xfId="1" applyFont="1" applyFill="1" applyBorder="1" applyAlignment="1">
      <alignment vertical="top" wrapText="1"/>
    </xf>
    <xf numFmtId="0" fontId="25" fillId="0" borderId="13" xfId="0" applyFont="1" applyFill="1" applyBorder="1"/>
    <xf numFmtId="166" fontId="25" fillId="0" borderId="5" xfId="1" quotePrefix="1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166" fontId="25" fillId="0" borderId="0" xfId="1" applyNumberFormat="1" applyFont="1" applyFill="1" applyBorder="1" applyAlignment="1">
      <alignment horizontal="left" wrapText="1"/>
    </xf>
    <xf numFmtId="43" fontId="25" fillId="0" borderId="0" xfId="1" applyFont="1" applyFill="1" applyBorder="1" applyAlignment="1">
      <alignment horizontal="left" wrapText="1"/>
    </xf>
    <xf numFmtId="166" fontId="19" fillId="0" borderId="0" xfId="1" applyNumberFormat="1" applyFont="1" applyFill="1"/>
    <xf numFmtId="0" fontId="19" fillId="0" borderId="0" xfId="0" applyFont="1" applyFill="1" applyAlignment="1">
      <alignment horizontal="left"/>
    </xf>
    <xf numFmtId="43" fontId="19" fillId="0" borderId="0" xfId="1" applyFont="1" applyFill="1"/>
    <xf numFmtId="0" fontId="19" fillId="0" borderId="14" xfId="0" applyFont="1" applyFill="1" applyBorder="1" applyAlignment="1">
      <alignment horizontal="right" vertical="top" wrapText="1"/>
    </xf>
    <xf numFmtId="0" fontId="19" fillId="0" borderId="6" xfId="0" applyFont="1" applyFill="1" applyBorder="1" applyAlignment="1">
      <alignment vertical="top" wrapText="1"/>
    </xf>
    <xf numFmtId="0" fontId="19" fillId="0" borderId="2" xfId="0" applyFont="1" applyFill="1" applyBorder="1" applyAlignment="1">
      <alignment horizontal="right" vertical="top" wrapText="1"/>
    </xf>
    <xf numFmtId="0" fontId="19" fillId="0" borderId="0" xfId="0" applyFont="1" applyFill="1" applyAlignment="1">
      <alignment wrapText="1"/>
    </xf>
    <xf numFmtId="166" fontId="25" fillId="0" borderId="11" xfId="1" applyNumberFormat="1" applyFont="1" applyFill="1" applyBorder="1" applyAlignment="1">
      <alignment vertical="top"/>
    </xf>
    <xf numFmtId="166" fontId="25" fillId="0" borderId="17" xfId="1" applyNumberFormat="1" applyFont="1" applyFill="1" applyBorder="1" applyAlignment="1">
      <alignment vertical="top"/>
    </xf>
    <xf numFmtId="166" fontId="25" fillId="0" borderId="9" xfId="1" applyNumberFormat="1" applyFont="1" applyFill="1" applyBorder="1" applyAlignment="1">
      <alignment vertical="top"/>
    </xf>
    <xf numFmtId="166" fontId="25" fillId="0" borderId="7" xfId="1" applyNumberFormat="1" applyFont="1" applyFill="1" applyBorder="1" applyAlignment="1">
      <alignment horizontal="left" vertical="top" wrapText="1"/>
    </xf>
    <xf numFmtId="166" fontId="25" fillId="0" borderId="7" xfId="1" applyNumberFormat="1" applyFont="1" applyFill="1" applyBorder="1" applyAlignment="1">
      <alignment horizontal="left" vertical="top"/>
    </xf>
    <xf numFmtId="166" fontId="25" fillId="0" borderId="11" xfId="1" applyNumberFormat="1" applyFont="1" applyFill="1" applyBorder="1" applyAlignment="1">
      <alignment horizontal="left" vertical="top"/>
    </xf>
    <xf numFmtId="166" fontId="19" fillId="0" borderId="13" xfId="1" applyNumberFormat="1" applyFont="1" applyFill="1" applyBorder="1" applyAlignment="1">
      <alignment horizontal="center" vertical="top" wrapText="1"/>
    </xf>
    <xf numFmtId="166" fontId="19" fillId="0" borderId="7" xfId="1" applyNumberFormat="1" applyFont="1" applyFill="1" applyBorder="1" applyAlignment="1">
      <alignment horizontal="center" vertical="top" wrapText="1"/>
    </xf>
    <xf numFmtId="166" fontId="25" fillId="0" borderId="5" xfId="1" applyNumberFormat="1" applyFont="1" applyFill="1" applyBorder="1" applyAlignment="1">
      <alignment horizontal="center" vertical="top" wrapText="1"/>
    </xf>
    <xf numFmtId="166" fontId="25" fillId="0" borderId="17" xfId="1" applyNumberFormat="1" applyFont="1" applyFill="1" applyBorder="1" applyAlignment="1">
      <alignment horizontal="left" vertical="top"/>
    </xf>
    <xf numFmtId="166" fontId="25" fillId="9" borderId="11" xfId="1" applyNumberFormat="1" applyFont="1" applyFill="1" applyBorder="1" applyAlignment="1">
      <alignment vertical="top" wrapText="1"/>
    </xf>
    <xf numFmtId="166" fontId="25" fillId="0" borderId="11" xfId="1" applyNumberFormat="1" applyFont="1" applyFill="1" applyBorder="1" applyAlignment="1">
      <alignment vertical="top" wrapText="1"/>
    </xf>
    <xf numFmtId="166" fontId="25" fillId="0" borderId="14" xfId="1" applyNumberFormat="1" applyFont="1" applyFill="1" applyBorder="1" applyAlignment="1">
      <alignment vertical="top"/>
    </xf>
    <xf numFmtId="166" fontId="25" fillId="8" borderId="9" xfId="1" applyNumberFormat="1" applyFont="1" applyFill="1" applyBorder="1" applyAlignment="1">
      <alignment vertical="top" wrapText="1"/>
    </xf>
    <xf numFmtId="166" fontId="19" fillId="0" borderId="17" xfId="1" applyNumberFormat="1" applyFont="1" applyFill="1" applyBorder="1" applyAlignment="1">
      <alignment vertical="top" wrapText="1"/>
    </xf>
    <xf numFmtId="166" fontId="25" fillId="0" borderId="11" xfId="1" applyNumberFormat="1" applyFont="1" applyFill="1" applyBorder="1" applyAlignment="1">
      <alignment horizontal="center" vertical="center" wrapText="1"/>
    </xf>
    <xf numFmtId="166" fontId="25" fillId="8" borderId="11" xfId="1" applyNumberFormat="1" applyFont="1" applyFill="1" applyBorder="1" applyAlignment="1">
      <alignment vertical="top" wrapText="1"/>
    </xf>
    <xf numFmtId="166" fontId="25" fillId="0" borderId="5" xfId="1" quotePrefix="1" applyNumberFormat="1" applyFont="1" applyFill="1" applyBorder="1" applyAlignment="1">
      <alignment horizontal="center" vertical="top" wrapText="1"/>
    </xf>
    <xf numFmtId="43" fontId="25" fillId="0" borderId="11" xfId="1" applyNumberFormat="1" applyFont="1" applyFill="1" applyBorder="1" applyAlignment="1">
      <alignment vertical="top" wrapText="1"/>
    </xf>
    <xf numFmtId="43" fontId="25" fillId="9" borderId="5" xfId="1" applyNumberFormat="1" applyFont="1" applyFill="1" applyBorder="1" applyAlignment="1">
      <alignment vertical="top" wrapText="1"/>
    </xf>
    <xf numFmtId="43" fontId="25" fillId="9" borderId="11" xfId="1" applyNumberFormat="1" applyFont="1" applyFill="1" applyBorder="1" applyAlignment="1">
      <alignment vertical="top" wrapText="1"/>
    </xf>
    <xf numFmtId="43" fontId="6" fillId="0" borderId="0" xfId="1" applyNumberFormat="1" applyFont="1" applyFill="1" applyBorder="1" applyAlignment="1">
      <alignment vertical="top" wrapText="1"/>
    </xf>
    <xf numFmtId="0" fontId="28" fillId="0" borderId="0" xfId="0" applyFont="1" applyFill="1"/>
    <xf numFmtId="0" fontId="21" fillId="0" borderId="0" xfId="0" applyFont="1" applyFill="1" applyBorder="1" applyAlignment="1">
      <alignment horizontal="center" vertical="top"/>
    </xf>
    <xf numFmtId="0" fontId="21" fillId="7" borderId="1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8" fillId="0" borderId="0" xfId="0" quotePrefix="1" applyFont="1" applyFill="1" applyBorder="1" applyAlignment="1">
      <alignment horizontal="left" vertical="top"/>
    </xf>
    <xf numFmtId="0" fontId="28" fillId="0" borderId="0" xfId="0" applyFont="1" applyFill="1" applyBorder="1" applyAlignment="1">
      <alignment vertical="top"/>
    </xf>
    <xf numFmtId="166" fontId="28" fillId="0" borderId="0" xfId="1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 wrapText="1"/>
    </xf>
    <xf numFmtId="49" fontId="28" fillId="0" borderId="0" xfId="0" applyNumberFormat="1" applyFont="1" applyFill="1" applyBorder="1" applyAlignment="1">
      <alignment horizontal="left" vertical="top" wrapText="1"/>
    </xf>
    <xf numFmtId="49" fontId="28" fillId="0" borderId="0" xfId="0" quotePrefix="1" applyNumberFormat="1" applyFont="1" applyFill="1" applyBorder="1" applyAlignment="1">
      <alignment horizontal="left" vertical="top" wrapText="1"/>
    </xf>
    <xf numFmtId="0" fontId="21" fillId="0" borderId="0" xfId="0" quotePrefix="1" applyFont="1" applyFill="1" applyBorder="1" applyAlignment="1">
      <alignment horizontal="left" vertical="top"/>
    </xf>
    <xf numFmtId="0" fontId="21" fillId="0" borderId="0" xfId="0" applyFont="1" applyFill="1" applyBorder="1" applyAlignment="1">
      <alignment vertical="top" wrapText="1"/>
    </xf>
    <xf numFmtId="166" fontId="21" fillId="0" borderId="0" xfId="1" applyNumberFormat="1" applyFont="1" applyFill="1" applyBorder="1" applyAlignment="1">
      <alignment vertical="top" wrapText="1"/>
    </xf>
    <xf numFmtId="2" fontId="21" fillId="0" borderId="0" xfId="0" applyNumberFormat="1" applyFont="1" applyFill="1"/>
    <xf numFmtId="0" fontId="21" fillId="0" borderId="0" xfId="0" applyFont="1" applyFill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/>
    <xf numFmtId="166" fontId="28" fillId="0" borderId="0" xfId="1" applyNumberFormat="1" applyFont="1" applyFill="1"/>
    <xf numFmtId="0" fontId="19" fillId="0" borderId="0" xfId="0" applyFont="1" applyFill="1" applyAlignment="1"/>
    <xf numFmtId="0" fontId="19" fillId="0" borderId="0" xfId="0" applyFont="1" applyFill="1"/>
    <xf numFmtId="166" fontId="19" fillId="0" borderId="0" xfId="1" applyNumberFormat="1" applyFont="1" applyFill="1" applyAlignment="1">
      <alignment vertical="top"/>
    </xf>
    <xf numFmtId="166" fontId="25" fillId="0" borderId="7" xfId="1" applyNumberFormat="1" applyFont="1" applyFill="1" applyBorder="1" applyAlignment="1">
      <alignment horizontal="center" vertical="center" wrapText="1"/>
    </xf>
    <xf numFmtId="166" fontId="25" fillId="0" borderId="0" xfId="1" quotePrefix="1" applyNumberFormat="1" applyFont="1" applyFill="1" applyBorder="1" applyAlignment="1">
      <alignment horizontal="center" vertical="top" wrapText="1"/>
    </xf>
    <xf numFmtId="166" fontId="23" fillId="0" borderId="0" xfId="1" applyNumberFormat="1" applyFont="1" applyFill="1" applyBorder="1" applyAlignment="1">
      <alignment vertical="top"/>
    </xf>
    <xf numFmtId="166" fontId="25" fillId="8" borderId="11" xfId="1" applyNumberFormat="1" applyFont="1" applyFill="1" applyBorder="1" applyAlignment="1">
      <alignment horizontal="left" vertical="top" wrapText="1"/>
    </xf>
    <xf numFmtId="166" fontId="25" fillId="9" borderId="11" xfId="1" applyNumberFormat="1" applyFont="1" applyFill="1" applyBorder="1" applyAlignment="1">
      <alignment horizontal="left" vertical="top" wrapText="1"/>
    </xf>
    <xf numFmtId="43" fontId="25" fillId="0" borderId="7" xfId="1" applyFont="1" applyFill="1" applyBorder="1" applyAlignment="1">
      <alignment vertical="top"/>
    </xf>
    <xf numFmtId="166" fontId="25" fillId="0" borderId="9" xfId="1" applyNumberFormat="1" applyFont="1" applyFill="1" applyBorder="1" applyAlignment="1">
      <alignment vertical="top" wrapText="1"/>
    </xf>
    <xf numFmtId="166" fontId="25" fillId="0" borderId="9" xfId="1" applyNumberFormat="1" applyFont="1" applyFill="1" applyBorder="1" applyAlignment="1">
      <alignment horizontal="left" vertical="top"/>
    </xf>
    <xf numFmtId="166" fontId="19" fillId="0" borderId="17" xfId="1" applyNumberFormat="1" applyFont="1" applyFill="1" applyBorder="1" applyAlignment="1">
      <alignment horizontal="left" vertical="top"/>
    </xf>
    <xf numFmtId="166" fontId="25" fillId="0" borderId="17" xfId="1" applyNumberFormat="1" applyFont="1" applyFill="1" applyBorder="1" applyAlignment="1">
      <alignment vertical="top" wrapText="1"/>
    </xf>
    <xf numFmtId="166" fontId="25" fillId="0" borderId="7" xfId="1" applyNumberFormat="1" applyFont="1" applyFill="1" applyBorder="1" applyAlignment="1">
      <alignment horizontal="center" vertical="top"/>
    </xf>
    <xf numFmtId="0" fontId="25" fillId="0" borderId="15" xfId="0" applyFont="1" applyFill="1" applyBorder="1" applyAlignment="1">
      <alignment vertical="top" wrapText="1"/>
    </xf>
    <xf numFmtId="43" fontId="25" fillId="0" borderId="7" xfId="1" applyNumberFormat="1" applyFont="1" applyFill="1" applyBorder="1" applyAlignment="1">
      <alignment vertical="top" wrapText="1"/>
    </xf>
    <xf numFmtId="166" fontId="9" fillId="0" borderId="0" xfId="0" applyNumberFormat="1" applyFont="1"/>
    <xf numFmtId="43" fontId="25" fillId="9" borderId="5" xfId="1" applyNumberFormat="1" applyFont="1" applyFill="1" applyBorder="1" applyAlignment="1">
      <alignment horizontal="left" vertical="top" wrapText="1"/>
    </xf>
    <xf numFmtId="43" fontId="25" fillId="9" borderId="2" xfId="1" applyNumberFormat="1" applyFont="1" applyFill="1" applyBorder="1" applyAlignment="1">
      <alignment vertical="top" wrapText="1"/>
    </xf>
    <xf numFmtId="43" fontId="2" fillId="0" borderId="0" xfId="1" applyFont="1" applyFill="1"/>
    <xf numFmtId="43" fontId="13" fillId="0" borderId="0" xfId="1" applyFont="1" applyFill="1"/>
    <xf numFmtId="166" fontId="21" fillId="0" borderId="0" xfId="0" applyNumberFormat="1" applyFont="1" applyFill="1" applyBorder="1" applyAlignment="1">
      <alignment horizontal="center" vertical="top"/>
    </xf>
    <xf numFmtId="166" fontId="28" fillId="0" borderId="0" xfId="0" applyNumberFormat="1" applyFont="1" applyFill="1"/>
    <xf numFmtId="166" fontId="29" fillId="0" borderId="0" xfId="0" applyNumberFormat="1" applyFont="1"/>
    <xf numFmtId="43" fontId="9" fillId="0" borderId="0" xfId="1" applyNumberFormat="1" applyFont="1" applyFill="1" applyBorder="1"/>
    <xf numFmtId="43" fontId="8" fillId="0" borderId="0" xfId="1" applyNumberFormat="1" applyFont="1"/>
    <xf numFmtId="0" fontId="25" fillId="7" borderId="14" xfId="0" applyFont="1" applyFill="1" applyBorder="1" applyAlignment="1">
      <alignment horizontal="center" vertical="center" wrapText="1"/>
    </xf>
    <xf numFmtId="0" fontId="25" fillId="0" borderId="2" xfId="0" quotePrefix="1" applyFont="1" applyFill="1" applyBorder="1" applyAlignment="1">
      <alignment horizontal="left" vertical="top"/>
    </xf>
    <xf numFmtId="43" fontId="25" fillId="0" borderId="2" xfId="1" applyFont="1" applyFill="1" applyBorder="1" applyAlignment="1">
      <alignment vertical="top" wrapText="1"/>
    </xf>
    <xf numFmtId="0" fontId="19" fillId="0" borderId="1" xfId="0" quotePrefix="1" applyFont="1" applyFill="1" applyBorder="1" applyAlignment="1">
      <alignment horizontal="left" vertical="top"/>
    </xf>
    <xf numFmtId="166" fontId="25" fillId="0" borderId="1" xfId="1" quotePrefix="1" applyNumberFormat="1" applyFont="1" applyFill="1" applyBorder="1" applyAlignment="1">
      <alignment horizontal="center"/>
    </xf>
    <xf numFmtId="0" fontId="25" fillId="0" borderId="0" xfId="0" applyFont="1" applyFill="1"/>
    <xf numFmtId="0" fontId="19" fillId="0" borderId="15" xfId="0" quotePrefix="1" applyFont="1" applyFill="1" applyBorder="1" applyAlignment="1">
      <alignment horizontal="left" vertical="top"/>
    </xf>
    <xf numFmtId="166" fontId="25" fillId="0" borderId="15" xfId="1" quotePrefix="1" applyNumberFormat="1" applyFont="1" applyFill="1" applyBorder="1" applyAlignment="1">
      <alignment horizontal="center"/>
    </xf>
    <xf numFmtId="43" fontId="25" fillId="0" borderId="15" xfId="1" applyFont="1" applyFill="1" applyBorder="1" applyAlignment="1">
      <alignment horizontal="left" vertical="top"/>
    </xf>
    <xf numFmtId="0" fontId="19" fillId="0" borderId="15" xfId="0" applyFont="1" applyFill="1" applyBorder="1" applyAlignment="1">
      <alignment vertical="top" wrapText="1"/>
    </xf>
    <xf numFmtId="43" fontId="25" fillId="0" borderId="15" xfId="1" applyFont="1" applyFill="1" applyBorder="1" applyAlignment="1">
      <alignment horizontal="center" vertical="top"/>
    </xf>
    <xf numFmtId="166" fontId="19" fillId="0" borderId="15" xfId="1" applyNumberFormat="1" applyFont="1" applyFill="1" applyBorder="1" applyAlignment="1">
      <alignment horizontal="left" vertical="top" wrapText="1"/>
    </xf>
    <xf numFmtId="43" fontId="19" fillId="0" borderId="15" xfId="1" applyFont="1" applyFill="1" applyBorder="1" applyAlignment="1">
      <alignment horizontal="left" vertical="top" wrapText="1"/>
    </xf>
    <xf numFmtId="43" fontId="19" fillId="0" borderId="6" xfId="1" applyFont="1" applyFill="1" applyBorder="1" applyAlignment="1">
      <alignment vertical="top"/>
    </xf>
    <xf numFmtId="166" fontId="25" fillId="0" borderId="15" xfId="1" applyNumberFormat="1" applyFont="1" applyFill="1" applyBorder="1" applyAlignment="1">
      <alignment horizontal="left" vertical="top" wrapText="1"/>
    </xf>
    <xf numFmtId="43" fontId="25" fillId="0" borderId="15" xfId="1" applyFont="1" applyFill="1" applyBorder="1" applyAlignment="1">
      <alignment horizontal="left" vertical="top" wrapText="1"/>
    </xf>
    <xf numFmtId="43" fontId="19" fillId="0" borderId="15" xfId="1" applyFont="1" applyFill="1" applyBorder="1" applyAlignment="1">
      <alignment vertical="top"/>
    </xf>
    <xf numFmtId="49" fontId="19" fillId="0" borderId="15" xfId="0" applyNumberFormat="1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horizontal="left"/>
    </xf>
    <xf numFmtId="166" fontId="19" fillId="0" borderId="13" xfId="1" applyNumberFormat="1" applyFont="1" applyFill="1" applyBorder="1"/>
    <xf numFmtId="49" fontId="25" fillId="0" borderId="15" xfId="0" applyNumberFormat="1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/>
    </xf>
    <xf numFmtId="43" fontId="25" fillId="0" borderId="12" xfId="1" applyNumberFormat="1" applyFont="1" applyFill="1" applyBorder="1" applyAlignment="1">
      <alignment vertical="top" wrapText="1"/>
    </xf>
    <xf numFmtId="43" fontId="30" fillId="0" borderId="0" xfId="1" applyFont="1"/>
    <xf numFmtId="166" fontId="13" fillId="0" borderId="0" xfId="0" applyNumberFormat="1" applyFont="1" applyFill="1"/>
    <xf numFmtId="43" fontId="13" fillId="0" borderId="0" xfId="0" applyNumberFormat="1" applyFont="1" applyFill="1"/>
    <xf numFmtId="43" fontId="8" fillId="2" borderId="0" xfId="1" applyNumberFormat="1" applyFont="1" applyFill="1" applyBorder="1"/>
    <xf numFmtId="0" fontId="25" fillId="7" borderId="5" xfId="1" applyNumberFormat="1" applyFont="1" applyFill="1" applyBorder="1" applyAlignment="1">
      <alignment horizontal="center" vertical="center" wrapText="1"/>
    </xf>
    <xf numFmtId="43" fontId="25" fillId="0" borderId="5" xfId="1" applyNumberFormat="1" applyFont="1" applyFill="1" applyBorder="1" applyAlignment="1">
      <alignment vertical="top"/>
    </xf>
    <xf numFmtId="0" fontId="21" fillId="7" borderId="1" xfId="1" applyNumberFormat="1" applyFont="1" applyFill="1" applyBorder="1" applyAlignment="1">
      <alignment horizontal="center" vertical="center" wrapText="1"/>
    </xf>
    <xf numFmtId="43" fontId="25" fillId="0" borderId="5" xfId="1" applyNumberFormat="1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left" vertical="top"/>
    </xf>
    <xf numFmtId="0" fontId="25" fillId="7" borderId="0" xfId="1" applyNumberFormat="1" applyFont="1" applyFill="1" applyBorder="1" applyAlignment="1">
      <alignment horizontal="center" vertical="center" wrapText="1"/>
    </xf>
    <xf numFmtId="43" fontId="17" fillId="0" borderId="0" xfId="0" applyNumberFormat="1" applyFont="1" applyFill="1"/>
    <xf numFmtId="43" fontId="15" fillId="0" borderId="0" xfId="1" applyNumberFormat="1" applyFont="1" applyFill="1" applyBorder="1" applyAlignment="1">
      <alignment vertical="top" wrapText="1"/>
    </xf>
    <xf numFmtId="166" fontId="19" fillId="0" borderId="14" xfId="1" applyNumberFormat="1" applyFont="1" applyFill="1" applyBorder="1" applyAlignment="1">
      <alignment horizontal="left" vertical="top" wrapText="1"/>
    </xf>
    <xf numFmtId="0" fontId="21" fillId="7" borderId="0" xfId="0" applyFont="1" applyFill="1" applyBorder="1" applyAlignment="1">
      <alignment horizontal="center" vertical="center" wrapText="1"/>
    </xf>
    <xf numFmtId="167" fontId="6" fillId="0" borderId="0" xfId="1" applyNumberFormat="1" applyFont="1" applyFill="1" applyBorder="1" applyAlignment="1">
      <alignment vertical="top" wrapText="1"/>
    </xf>
    <xf numFmtId="43" fontId="9" fillId="2" borderId="0" xfId="1" applyFont="1" applyFill="1" applyBorder="1"/>
    <xf numFmtId="166" fontId="17" fillId="0" borderId="0" xfId="0" applyNumberFormat="1" applyFont="1" applyFill="1"/>
    <xf numFmtId="168" fontId="8" fillId="2" borderId="0" xfId="1" applyNumberFormat="1" applyFont="1" applyFill="1"/>
    <xf numFmtId="43" fontId="15" fillId="3" borderId="0" xfId="1" applyNumberFormat="1" applyFont="1" applyFill="1" applyBorder="1" applyAlignment="1">
      <alignment vertical="top" wrapText="1"/>
    </xf>
    <xf numFmtId="43" fontId="15" fillId="4" borderId="0" xfId="1" applyNumberFormat="1" applyFont="1" applyFill="1" applyBorder="1" applyAlignment="1">
      <alignment vertical="top" wrapText="1"/>
    </xf>
    <xf numFmtId="43" fontId="25" fillId="8" borderId="10" xfId="1" applyNumberFormat="1" applyFont="1" applyFill="1" applyBorder="1" applyAlignment="1">
      <alignment horizontal="left" vertical="top" wrapText="1"/>
    </xf>
    <xf numFmtId="166" fontId="25" fillId="8" borderId="10" xfId="1" applyNumberFormat="1" applyFont="1" applyFill="1" applyBorder="1" applyAlignment="1">
      <alignment horizontal="left" vertical="top" wrapText="1"/>
    </xf>
    <xf numFmtId="43" fontId="18" fillId="0" borderId="0" xfId="0" applyNumberFormat="1" applyFont="1" applyFill="1" applyBorder="1"/>
    <xf numFmtId="43" fontId="25" fillId="0" borderId="9" xfId="1" applyNumberFormat="1" applyFont="1" applyFill="1" applyBorder="1" applyAlignment="1">
      <alignment vertical="top" wrapText="1"/>
    </xf>
    <xf numFmtId="43" fontId="8" fillId="0" borderId="0" xfId="0" applyNumberFormat="1" applyFont="1"/>
    <xf numFmtId="43" fontId="19" fillId="0" borderId="15" xfId="1" applyFont="1" applyFill="1" applyBorder="1" applyAlignment="1">
      <alignment vertical="top" wrapText="1"/>
    </xf>
    <xf numFmtId="0" fontId="19" fillId="0" borderId="8" xfId="0" applyFont="1" applyFill="1" applyBorder="1" applyAlignment="1">
      <alignment vertical="top" wrapText="1"/>
    </xf>
    <xf numFmtId="166" fontId="19" fillId="0" borderId="14" xfId="1" applyNumberFormat="1" applyFont="1" applyFill="1" applyBorder="1" applyAlignment="1">
      <alignment vertical="top" wrapText="1"/>
    </xf>
    <xf numFmtId="43" fontId="19" fillId="0" borderId="7" xfId="1" applyFont="1" applyFill="1" applyBorder="1" applyAlignment="1">
      <alignment vertical="top" wrapText="1"/>
    </xf>
    <xf numFmtId="43" fontId="17" fillId="0" borderId="0" xfId="0" applyNumberFormat="1" applyFont="1" applyFill="1" applyAlignment="1">
      <alignment vertical="center"/>
    </xf>
    <xf numFmtId="0" fontId="25" fillId="7" borderId="14" xfId="1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top" wrapText="1"/>
    </xf>
    <xf numFmtId="43" fontId="19" fillId="0" borderId="2" xfId="1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166" fontId="9" fillId="10" borderId="0" xfId="0" applyNumberFormat="1" applyFont="1" applyFill="1"/>
    <xf numFmtId="0" fontId="9" fillId="10" borderId="0" xfId="0" applyFont="1" applyFill="1"/>
    <xf numFmtId="166" fontId="29" fillId="11" borderId="0" xfId="0" applyNumberFormat="1" applyFont="1" applyFill="1"/>
    <xf numFmtId="0" fontId="29" fillId="11" borderId="0" xfId="0" applyFont="1" applyFill="1"/>
    <xf numFmtId="9" fontId="29" fillId="11" borderId="0" xfId="9" applyFont="1" applyFill="1"/>
    <xf numFmtId="0" fontId="9" fillId="2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0" fillId="0" borderId="0" xfId="0" applyFont="1" applyFill="1" applyAlignment="1">
      <alignment horizontal="center" vertical="top"/>
    </xf>
    <xf numFmtId="0" fontId="21" fillId="0" borderId="0" xfId="0" applyFont="1" applyFill="1" applyBorder="1" applyAlignment="1">
      <alignment horizontal="left" vertical="top"/>
    </xf>
  </cellXfs>
  <cellStyles count="10">
    <cellStyle name="Comma" xfId="1" builtinId="3"/>
    <cellStyle name="Comma 2" xfId="2"/>
    <cellStyle name="Comma 2 2" xfId="3"/>
    <cellStyle name="Comma 3" xfId="4"/>
    <cellStyle name="Comma 5" xfId="5"/>
    <cellStyle name="Currency 2" xfId="6"/>
    <cellStyle name="Currency 3" xfId="7"/>
    <cellStyle name="Normal" xfId="0" builtinId="0"/>
    <cellStyle name="Normal 2" xfId="8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Draft%20Revised%20Budget%20Recurrent%20&amp;%20Capital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 Total Budget"/>
      <sheetName val="MDAs Sum of Rec &amp; Cap"/>
      <sheetName val="Admin Sector"/>
      <sheetName val="Economic Sector"/>
      <sheetName val="Law &amp; Justice"/>
      <sheetName val="Social Sector"/>
    </sheetNames>
    <sheetDataSet>
      <sheetData sheetId="0">
        <row r="6">
          <cell r="C6">
            <v>5775500000</v>
          </cell>
          <cell r="D6">
            <v>1982753557.8</v>
          </cell>
          <cell r="E6">
            <v>3614700000</v>
          </cell>
        </row>
        <row r="15">
          <cell r="C15">
            <v>27346150000</v>
          </cell>
          <cell r="D15">
            <v>3592920056.5300002</v>
          </cell>
          <cell r="E15">
            <v>11704334544.07</v>
          </cell>
        </row>
        <row r="21">
          <cell r="C21">
            <v>872100000</v>
          </cell>
          <cell r="D21">
            <v>15751000</v>
          </cell>
          <cell r="E21">
            <v>630276500</v>
          </cell>
        </row>
        <row r="28">
          <cell r="C28">
            <v>15780926003.869999</v>
          </cell>
          <cell r="D28">
            <v>2104988467.9400003</v>
          </cell>
          <cell r="E28">
            <v>10316321330.099998</v>
          </cell>
        </row>
        <row r="32">
          <cell r="C32">
            <v>26890400810.055</v>
          </cell>
          <cell r="D32">
            <v>9219930550.9199982</v>
          </cell>
          <cell r="E32">
            <v>17365248783.313999</v>
          </cell>
        </row>
        <row r="33">
          <cell r="C33">
            <v>23228642170.709999</v>
          </cell>
          <cell r="D33">
            <v>4927493621.6300001</v>
          </cell>
          <cell r="E33">
            <v>13738512351.665001</v>
          </cell>
        </row>
        <row r="34">
          <cell r="C34">
            <v>1271415482</v>
          </cell>
          <cell r="D34">
            <v>270050383.40999997</v>
          </cell>
          <cell r="E34">
            <v>840151150.23000002</v>
          </cell>
        </row>
        <row r="35">
          <cell r="C35">
            <v>3000000000</v>
          </cell>
          <cell r="D35">
            <v>1504988940.3499999</v>
          </cell>
          <cell r="E35">
            <v>1895011059.6500001</v>
          </cell>
        </row>
      </sheetData>
      <sheetData sheetId="1"/>
      <sheetData sheetId="2"/>
      <sheetData sheetId="3">
        <row r="711">
          <cell r="F711">
            <v>350000000</v>
          </cell>
          <cell r="G711">
            <v>179664773.27999997</v>
          </cell>
          <cell r="I711">
            <v>170335226.72000003</v>
          </cell>
        </row>
        <row r="712">
          <cell r="F712">
            <v>1400000000</v>
          </cell>
          <cell r="G712">
            <v>757634646.76000011</v>
          </cell>
          <cell r="I712">
            <v>642365353.23999989</v>
          </cell>
        </row>
        <row r="713">
          <cell r="F713"/>
          <cell r="G713"/>
          <cell r="I713"/>
        </row>
        <row r="714">
          <cell r="F714">
            <v>0</v>
          </cell>
          <cell r="G714"/>
          <cell r="I714">
            <v>0</v>
          </cell>
        </row>
        <row r="715">
          <cell r="F715">
            <v>1000000000</v>
          </cell>
          <cell r="G715">
            <v>374168018.49000001</v>
          </cell>
          <cell r="I715">
            <v>625831981.50999999</v>
          </cell>
        </row>
        <row r="716">
          <cell r="F716">
            <v>450000000</v>
          </cell>
          <cell r="G716">
            <v>171657605.10000002</v>
          </cell>
          <cell r="I716">
            <v>278342394.89999998</v>
          </cell>
        </row>
        <row r="717">
          <cell r="F717">
            <v>1079671147.0799999</v>
          </cell>
          <cell r="G717">
            <v>1032753683.8199999</v>
          </cell>
          <cell r="I717">
            <v>946917463.25999999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81"/>
  <sheetViews>
    <sheetView tabSelected="1" view="pageLayout" topLeftCell="A51" zoomScaleNormal="100" zoomScaleSheetLayoutView="130" workbookViewId="0">
      <selection activeCell="D58" sqref="D58"/>
    </sheetView>
  </sheetViews>
  <sheetFormatPr defaultColWidth="8.85546875" defaultRowHeight="15" x14ac:dyDescent="0.25"/>
  <cols>
    <col min="1" max="1" width="4.7109375" style="12" customWidth="1"/>
    <col min="2" max="2" width="40.7109375" customWidth="1"/>
    <col min="3" max="3" width="1.7109375" customWidth="1"/>
    <col min="4" max="4" width="21.28515625" customWidth="1"/>
    <col min="5" max="5" width="3.28515625" customWidth="1"/>
    <col min="6" max="6" width="21" customWidth="1"/>
    <col min="7" max="7" width="3.42578125" customWidth="1"/>
    <col min="8" max="8" width="21.85546875" style="95" customWidth="1"/>
    <col min="9" max="9" width="4" customWidth="1"/>
    <col min="10" max="10" width="19.28515625" bestFit="1" customWidth="1"/>
    <col min="11" max="11" width="11.42578125" bestFit="1" customWidth="1"/>
    <col min="13" max="13" width="27.42578125" customWidth="1"/>
  </cols>
  <sheetData>
    <row r="1" spans="1:11" x14ac:dyDescent="0.25">
      <c r="A1" s="9" t="s">
        <v>348</v>
      </c>
      <c r="B1" s="10"/>
      <c r="C1" s="10"/>
      <c r="D1" s="10"/>
      <c r="E1" s="10"/>
      <c r="F1" s="10"/>
      <c r="G1" s="10"/>
      <c r="H1" s="88"/>
      <c r="I1" s="10"/>
    </row>
    <row r="2" spans="1:11" ht="15.75" x14ac:dyDescent="0.25">
      <c r="A2" s="9"/>
      <c r="B2" s="35" t="s">
        <v>249</v>
      </c>
      <c r="C2" s="10"/>
      <c r="D2" s="10"/>
      <c r="E2" s="10"/>
      <c r="F2" s="10"/>
      <c r="G2" s="10"/>
      <c r="H2" s="88"/>
      <c r="I2" s="10"/>
    </row>
    <row r="3" spans="1:11" ht="12" customHeight="1" x14ac:dyDescent="0.35">
      <c r="A3" s="9"/>
      <c r="B3" s="11"/>
      <c r="C3" s="10"/>
      <c r="D3" s="10"/>
      <c r="E3" s="10"/>
      <c r="F3" s="10"/>
      <c r="G3" s="10"/>
      <c r="H3" s="88"/>
      <c r="I3" s="10"/>
    </row>
    <row r="4" spans="1:11" s="15" customFormat="1" ht="33" customHeight="1" x14ac:dyDescent="0.25">
      <c r="A4" s="531"/>
      <c r="B4" s="531"/>
      <c r="C4" s="13"/>
      <c r="D4" s="14" t="s">
        <v>619</v>
      </c>
      <c r="E4" s="13"/>
      <c r="F4" s="14" t="s">
        <v>636</v>
      </c>
      <c r="G4" s="13"/>
      <c r="H4" s="89" t="s">
        <v>642</v>
      </c>
      <c r="I4" s="13"/>
    </row>
    <row r="5" spans="1:11" s="15" customFormat="1" ht="14.25" customHeight="1" x14ac:dyDescent="0.25">
      <c r="A5" s="531"/>
      <c r="B5" s="531"/>
      <c r="C5" s="13"/>
      <c r="D5" s="16" t="s">
        <v>405</v>
      </c>
      <c r="E5" s="13"/>
      <c r="F5" s="16" t="s">
        <v>405</v>
      </c>
      <c r="G5" s="13"/>
      <c r="H5" s="90" t="s">
        <v>405</v>
      </c>
      <c r="I5" s="13"/>
    </row>
    <row r="6" spans="1:11" s="19" customFormat="1" ht="9" customHeight="1" x14ac:dyDescent="0.25">
      <c r="A6" s="17"/>
      <c r="B6" s="18"/>
      <c r="C6" s="18"/>
      <c r="D6" s="18"/>
      <c r="E6" s="18"/>
      <c r="F6" s="18"/>
      <c r="G6" s="18"/>
      <c r="H6" s="91"/>
      <c r="I6" s="18"/>
    </row>
    <row r="7" spans="1:11" s="23" customFormat="1" ht="18.75" customHeight="1" x14ac:dyDescent="0.25">
      <c r="A7" s="20">
        <v>1</v>
      </c>
      <c r="B7" s="21" t="s">
        <v>250</v>
      </c>
      <c r="C7" s="13"/>
      <c r="D7" s="48">
        <v>6925198223</v>
      </c>
      <c r="E7" s="49"/>
      <c r="F7" s="92">
        <f>'Summary of Rev'!D28</f>
        <v>3378145652.0700002</v>
      </c>
      <c r="G7" s="49"/>
      <c r="H7" s="92">
        <f>F58</f>
        <v>3890668901.8262253</v>
      </c>
      <c r="I7" s="22"/>
    </row>
    <row r="8" spans="1:11" s="23" customFormat="1" ht="21.6" customHeight="1" x14ac:dyDescent="0.25">
      <c r="A8" s="20">
        <v>2</v>
      </c>
      <c r="B8" s="21" t="s">
        <v>251</v>
      </c>
      <c r="C8" s="13"/>
      <c r="D8" s="63"/>
      <c r="E8" s="13"/>
      <c r="F8" s="495"/>
      <c r="G8" s="13"/>
      <c r="H8" s="64"/>
      <c r="I8" s="22"/>
    </row>
    <row r="9" spans="1:11" s="19" customFormat="1" ht="21.6" customHeight="1" x14ac:dyDescent="0.25">
      <c r="A9" s="17">
        <v>3</v>
      </c>
      <c r="B9" s="18" t="s">
        <v>252</v>
      </c>
      <c r="C9" s="13"/>
      <c r="D9" s="50">
        <f>'Detailed Revenue'!E8</f>
        <v>44000000000</v>
      </c>
      <c r="E9" s="51"/>
      <c r="F9" s="50">
        <f>'Detailed Revenue'!F8</f>
        <v>13781122890.210001</v>
      </c>
      <c r="G9" s="51"/>
      <c r="H9" s="93">
        <f>'Detailed Revenue'!G8</f>
        <v>18450000000</v>
      </c>
      <c r="I9" s="22"/>
      <c r="J9" s="516"/>
    </row>
    <row r="10" spans="1:11" s="19" customFormat="1" ht="21.6" customHeight="1" x14ac:dyDescent="0.25">
      <c r="A10" s="17">
        <v>4</v>
      </c>
      <c r="B10" s="18" t="s">
        <v>253</v>
      </c>
      <c r="C10" s="13"/>
      <c r="D10" s="50">
        <f>'Detailed Revenue'!E9</f>
        <v>12500000000</v>
      </c>
      <c r="E10" s="51"/>
      <c r="F10" s="50">
        <f>'Detailed Revenue'!F9</f>
        <v>4540157311.5500002</v>
      </c>
      <c r="G10" s="51"/>
      <c r="H10" s="93">
        <f>'Detailed Revenue'!G9</f>
        <v>6534828931</v>
      </c>
      <c r="I10" s="22"/>
    </row>
    <row r="11" spans="1:11" s="29" customFormat="1" ht="21.6" customHeight="1" x14ac:dyDescent="0.25">
      <c r="A11" s="17">
        <v>5</v>
      </c>
      <c r="B11" s="26" t="s">
        <v>289</v>
      </c>
      <c r="C11" s="27"/>
      <c r="D11" s="52">
        <f>'Detailed Revenue'!E10</f>
        <v>950000000</v>
      </c>
      <c r="E11" s="53"/>
      <c r="F11" s="52">
        <f>'Detailed Revenue'!F10</f>
        <v>540251296.69999993</v>
      </c>
      <c r="G11" s="53"/>
      <c r="H11" s="52">
        <f>'Detailed Revenue'!G10</f>
        <v>814930074</v>
      </c>
      <c r="I11" s="28"/>
    </row>
    <row r="12" spans="1:11" s="29" customFormat="1" ht="21.6" customHeight="1" x14ac:dyDescent="0.25">
      <c r="A12" s="17">
        <v>6</v>
      </c>
      <c r="B12" s="26" t="s">
        <v>290</v>
      </c>
      <c r="C12" s="27"/>
      <c r="D12" s="52">
        <f>'Detailed Revenue'!E11</f>
        <v>3000000000</v>
      </c>
      <c r="E12" s="53"/>
      <c r="F12" s="52">
        <f>'Detailed Revenue'!F11</f>
        <v>773072982.91000009</v>
      </c>
      <c r="G12" s="53"/>
      <c r="H12" s="52">
        <f>'Detailed Revenue'!G11</f>
        <v>1100000000</v>
      </c>
      <c r="I12" s="28"/>
    </row>
    <row r="13" spans="1:11" s="19" customFormat="1" ht="21.6" customHeight="1" x14ac:dyDescent="0.25">
      <c r="A13" s="17">
        <v>7</v>
      </c>
      <c r="B13" s="18" t="s">
        <v>254</v>
      </c>
      <c r="C13" s="13"/>
      <c r="D13" s="50">
        <f>'Detailed Revenue'!E28</f>
        <v>28260991359.049999</v>
      </c>
      <c r="E13" s="49"/>
      <c r="F13" s="50">
        <f>'Detailed Revenue'!F28</f>
        <v>6459637180.3162212</v>
      </c>
      <c r="G13" s="49"/>
      <c r="H13" s="93">
        <f>'Detailed Revenue'!G28</f>
        <v>13014488398.82</v>
      </c>
      <c r="I13" s="22"/>
      <c r="J13" s="492"/>
      <c r="K13" s="97">
        <f>F13/D13*100</f>
        <v>22.857079209458288</v>
      </c>
    </row>
    <row r="14" spans="1:11" s="19" customFormat="1" ht="21.6" customHeight="1" x14ac:dyDescent="0.25">
      <c r="A14" s="17">
        <v>8</v>
      </c>
      <c r="B14" s="18" t="s">
        <v>255</v>
      </c>
      <c r="C14" s="13"/>
      <c r="D14" s="50">
        <f>SUM('Summary of Rev'!C26:C27)</f>
        <v>10157814254.49</v>
      </c>
      <c r="E14" s="51"/>
      <c r="F14" s="50">
        <f>SUM('Summary of Rev'!D26:D27)</f>
        <v>553036894.10000002</v>
      </c>
      <c r="G14" s="51"/>
      <c r="H14" s="50">
        <f>SUM('Summary of Rev'!E26:E27)</f>
        <v>10923889327</v>
      </c>
      <c r="I14" s="22"/>
    </row>
    <row r="15" spans="1:11" s="19" customFormat="1" ht="21.6" customHeight="1" x14ac:dyDescent="0.25">
      <c r="A15" s="17">
        <v>9</v>
      </c>
      <c r="B15" s="18" t="s">
        <v>256</v>
      </c>
      <c r="C15" s="13"/>
      <c r="D15" s="50">
        <v>0</v>
      </c>
      <c r="E15" s="13"/>
      <c r="F15" s="50">
        <v>0</v>
      </c>
      <c r="G15" s="13"/>
      <c r="H15" s="93">
        <v>0</v>
      </c>
      <c r="I15" s="22"/>
    </row>
    <row r="16" spans="1:11" s="23" customFormat="1" ht="21.6" customHeight="1" x14ac:dyDescent="0.25">
      <c r="A16" s="30">
        <v>10</v>
      </c>
      <c r="B16" s="21" t="s">
        <v>257</v>
      </c>
      <c r="C16" s="13"/>
      <c r="D16" s="54">
        <f>SUM(D9:D15)</f>
        <v>98868805613.540009</v>
      </c>
      <c r="E16" s="51"/>
      <c r="F16" s="54">
        <f>SUM(F9:F15)</f>
        <v>26647278555.786224</v>
      </c>
      <c r="G16" s="51"/>
      <c r="H16" s="55">
        <f>SUM(H9:H15)</f>
        <v>50838136730.82</v>
      </c>
      <c r="I16" s="22"/>
    </row>
    <row r="17" spans="1:13" s="19" customFormat="1" ht="12.75" customHeight="1" x14ac:dyDescent="0.25">
      <c r="A17" s="17"/>
      <c r="B17" s="18"/>
      <c r="C17" s="13"/>
      <c r="D17" s="57"/>
      <c r="E17" s="13"/>
      <c r="F17" s="57"/>
      <c r="G17" s="13"/>
      <c r="H17" s="58"/>
      <c r="I17" s="22"/>
    </row>
    <row r="18" spans="1:13" s="23" customFormat="1" ht="18.75" customHeight="1" thickBot="1" x14ac:dyDescent="0.3">
      <c r="A18" s="20">
        <v>11</v>
      </c>
      <c r="B18" s="21" t="s">
        <v>258</v>
      </c>
      <c r="C18" s="13"/>
      <c r="D18" s="56">
        <f>+D7+D16</f>
        <v>105794003836.54001</v>
      </c>
      <c r="E18" s="51"/>
      <c r="F18" s="56">
        <f>+F7+F16</f>
        <v>30025424207.856224</v>
      </c>
      <c r="G18" s="51"/>
      <c r="H18" s="94">
        <f>+H7+H16</f>
        <v>54728805632.646225</v>
      </c>
      <c r="I18" s="22"/>
      <c r="J18" s="458"/>
    </row>
    <row r="19" spans="1:13" s="19" customFormat="1" ht="13.5" customHeight="1" x14ac:dyDescent="0.25">
      <c r="A19" s="17"/>
      <c r="B19" s="18"/>
      <c r="C19" s="13"/>
      <c r="D19" s="57"/>
      <c r="E19" s="13"/>
      <c r="F19" s="57"/>
      <c r="G19" s="13"/>
      <c r="H19" s="58"/>
      <c r="I19" s="22"/>
      <c r="M19" s="24"/>
    </row>
    <row r="20" spans="1:13" s="19" customFormat="1" ht="18.75" customHeight="1" x14ac:dyDescent="0.25">
      <c r="A20" s="17">
        <v>12</v>
      </c>
      <c r="B20" s="21" t="s">
        <v>259</v>
      </c>
      <c r="C20" s="13"/>
      <c r="D20" s="57"/>
      <c r="E20" s="13"/>
      <c r="F20" s="57"/>
      <c r="G20" s="13"/>
      <c r="H20" s="58"/>
      <c r="I20" s="22"/>
    </row>
    <row r="21" spans="1:13" s="19" customFormat="1" ht="18.75" customHeight="1" x14ac:dyDescent="0.25">
      <c r="A21" s="17">
        <v>13</v>
      </c>
      <c r="B21" s="21" t="s">
        <v>260</v>
      </c>
      <c r="C21" s="13"/>
      <c r="D21" s="57"/>
      <c r="E21" s="13"/>
      <c r="F21" s="57"/>
      <c r="G21" s="13"/>
      <c r="H21" s="58"/>
      <c r="I21" s="22"/>
    </row>
    <row r="22" spans="1:13" s="32" customFormat="1" ht="18.75" customHeight="1" x14ac:dyDescent="0.25">
      <c r="A22" s="25">
        <v>14</v>
      </c>
      <c r="B22" s="26" t="s">
        <v>304</v>
      </c>
      <c r="C22" s="27"/>
      <c r="D22" s="99">
        <v>0</v>
      </c>
      <c r="E22" s="59"/>
      <c r="F22" s="58">
        <v>0</v>
      </c>
      <c r="G22" s="99"/>
      <c r="H22" s="99">
        <v>0</v>
      </c>
      <c r="I22" s="31"/>
    </row>
    <row r="23" spans="1:13" s="19" customFormat="1" ht="18.75" customHeight="1" x14ac:dyDescent="0.25">
      <c r="A23" s="17">
        <v>16</v>
      </c>
      <c r="B23" s="18" t="s">
        <v>404</v>
      </c>
      <c r="C23" s="13"/>
      <c r="D23" s="57">
        <f>SUM('[1]Economic Sector'!$F$712:$F$717)</f>
        <v>3929671147.0799999</v>
      </c>
      <c r="E23" s="51"/>
      <c r="F23" s="57">
        <f>SUM('[1]Economic Sector'!$G$712:$G$717)</f>
        <v>2336213954.1700001</v>
      </c>
      <c r="G23" s="51"/>
      <c r="H23" s="57">
        <f>SUM('[1]Economic Sector'!$I$712:$I$717)</f>
        <v>2493457192.9099998</v>
      </c>
      <c r="I23" s="22"/>
    </row>
    <row r="24" spans="1:13" s="19" customFormat="1" ht="18.75" customHeight="1" x14ac:dyDescent="0.25">
      <c r="A24" s="17">
        <v>17</v>
      </c>
      <c r="B24" s="18" t="s">
        <v>403</v>
      </c>
      <c r="C24" s="13"/>
      <c r="D24" s="57">
        <f>SUM('[1]Economic Sector'!$F$711)</f>
        <v>350000000</v>
      </c>
      <c r="E24" s="51"/>
      <c r="F24" s="57">
        <f>SUM('[1]Economic Sector'!$G$711)</f>
        <v>179664773.27999997</v>
      </c>
      <c r="G24" s="51"/>
      <c r="H24" s="57">
        <f>SUM('[1]Economic Sector'!$I$711)</f>
        <v>170335226.72000003</v>
      </c>
      <c r="I24" s="22"/>
    </row>
    <row r="25" spans="1:13" s="23" customFormat="1" ht="18.75" customHeight="1" x14ac:dyDescent="0.25">
      <c r="A25" s="20">
        <v>18</v>
      </c>
      <c r="B25" s="21" t="s">
        <v>261</v>
      </c>
      <c r="C25" s="13"/>
      <c r="D25" s="54">
        <f>SUM(D22:D24)</f>
        <v>4279671147.0799999</v>
      </c>
      <c r="E25" s="51"/>
      <c r="F25" s="54">
        <f>SUM(F22:F24)</f>
        <v>2515878727.4499998</v>
      </c>
      <c r="G25" s="51"/>
      <c r="H25" s="55">
        <f>SUM(H22:H24)</f>
        <v>2663792419.6300001</v>
      </c>
      <c r="I25" s="22"/>
    </row>
    <row r="26" spans="1:13" s="23" customFormat="1" ht="18.75" customHeight="1" x14ac:dyDescent="0.25">
      <c r="A26" s="20"/>
      <c r="B26" s="21"/>
      <c r="C26" s="13"/>
      <c r="D26" s="63"/>
      <c r="E26" s="13"/>
      <c r="F26" s="63"/>
      <c r="G26" s="13"/>
      <c r="H26" s="64"/>
      <c r="I26" s="22"/>
    </row>
    <row r="27" spans="1:13" s="23" customFormat="1" ht="18.75" customHeight="1" x14ac:dyDescent="0.25">
      <c r="A27" s="20"/>
      <c r="B27" s="21"/>
      <c r="C27" s="13"/>
      <c r="D27" s="63"/>
      <c r="E27" s="66" t="s">
        <v>525</v>
      </c>
      <c r="F27" s="63"/>
      <c r="H27" s="64"/>
      <c r="I27" s="22"/>
    </row>
    <row r="28" spans="1:13" s="15" customFormat="1" ht="33" customHeight="1" x14ac:dyDescent="0.25">
      <c r="A28" s="531"/>
      <c r="B28" s="531"/>
      <c r="C28" s="13"/>
      <c r="D28" s="14" t="s">
        <v>619</v>
      </c>
      <c r="E28" s="13"/>
      <c r="F28" s="14" t="s">
        <v>636</v>
      </c>
      <c r="G28" s="13"/>
      <c r="H28" s="89" t="s">
        <v>642</v>
      </c>
      <c r="I28" s="13"/>
    </row>
    <row r="29" spans="1:13" s="15" customFormat="1" ht="14.25" customHeight="1" x14ac:dyDescent="0.25">
      <c r="A29" s="531"/>
      <c r="B29" s="531"/>
      <c r="C29" s="13"/>
      <c r="D29" s="16" t="s">
        <v>405</v>
      </c>
      <c r="E29" s="13"/>
      <c r="F29" s="16" t="s">
        <v>405</v>
      </c>
      <c r="G29" s="13"/>
      <c r="H29" s="90" t="s">
        <v>405</v>
      </c>
      <c r="I29" s="13"/>
    </row>
    <row r="30" spans="1:13" s="23" customFormat="1" ht="21.6" customHeight="1" x14ac:dyDescent="0.25">
      <c r="A30" s="20">
        <v>19</v>
      </c>
      <c r="B30" s="21" t="s">
        <v>262</v>
      </c>
      <c r="C30" s="13"/>
      <c r="D30" s="63"/>
      <c r="E30" s="13"/>
      <c r="F30" s="63"/>
      <c r="G30" s="13"/>
      <c r="H30" s="64"/>
      <c r="I30" s="22"/>
    </row>
    <row r="31" spans="1:13" s="19" customFormat="1" ht="21.6" customHeight="1" x14ac:dyDescent="0.25">
      <c r="A31" s="17">
        <v>20</v>
      </c>
      <c r="B31" s="18" t="s">
        <v>263</v>
      </c>
      <c r="C31" s="13"/>
      <c r="D31" s="57">
        <f>SUM('[1]Sum Total Budget'!$C$32)</f>
        <v>26890400810.055</v>
      </c>
      <c r="E31" s="51"/>
      <c r="F31" s="58">
        <f>SUM('[1]Sum Total Budget'!$D$32)</f>
        <v>9219930550.9199982</v>
      </c>
      <c r="G31" s="59"/>
      <c r="H31" s="58">
        <f>SUM('[1]Sum Total Budget'!$E$32)</f>
        <v>17365248783.313999</v>
      </c>
      <c r="I31" s="22"/>
    </row>
    <row r="32" spans="1:13" s="19" customFormat="1" ht="35.25" customHeight="1" x14ac:dyDescent="0.25">
      <c r="A32" s="33">
        <v>21</v>
      </c>
      <c r="B32" s="34" t="s">
        <v>286</v>
      </c>
      <c r="C32" s="13"/>
      <c r="D32" s="57">
        <f>SUM('[1]Sum Total Budget'!$C$34)</f>
        <v>1271415482</v>
      </c>
      <c r="E32" s="51"/>
      <c r="F32" s="57">
        <f>SUM('[1]Sum Total Budget'!$D$34)</f>
        <v>270050383.40999997</v>
      </c>
      <c r="G32" s="59"/>
      <c r="H32" s="57">
        <f>SUM('[1]Sum Total Budget'!$E$34)</f>
        <v>840151150.23000002</v>
      </c>
      <c r="I32" s="22"/>
    </row>
    <row r="33" spans="1:10" s="19" customFormat="1" ht="21.75" customHeight="1" x14ac:dyDescent="0.25">
      <c r="A33" s="17">
        <v>22</v>
      </c>
      <c r="B33" s="34" t="s">
        <v>607</v>
      </c>
      <c r="C33" s="13"/>
      <c r="D33" s="57">
        <f>SUM('[1]Sum Total Budget'!$C$35)</f>
        <v>3000000000</v>
      </c>
      <c r="E33" s="51"/>
      <c r="F33" s="57">
        <f>SUM('[1]Sum Total Budget'!$D$35)</f>
        <v>1504988940.3499999</v>
      </c>
      <c r="G33" s="59"/>
      <c r="H33" s="57">
        <f>SUM('[1]Sum Total Budget'!$E$35)</f>
        <v>1895011059.6500001</v>
      </c>
      <c r="I33" s="22"/>
    </row>
    <row r="34" spans="1:10" s="19" customFormat="1" ht="21.6" customHeight="1" x14ac:dyDescent="0.25">
      <c r="A34" s="17">
        <v>23</v>
      </c>
      <c r="B34" s="18" t="s">
        <v>264</v>
      </c>
      <c r="C34" s="13"/>
      <c r="D34" s="57">
        <f>SUM('[1]Sum Total Budget'!$C$33)</f>
        <v>23228642170.709999</v>
      </c>
      <c r="E34" s="51"/>
      <c r="F34" s="58">
        <f>SUM('[1]Sum Total Budget'!$D$33)</f>
        <v>4927493621.6300001</v>
      </c>
      <c r="G34" s="59"/>
      <c r="H34" s="58">
        <f>SUM('[1]Sum Total Budget'!$E$33)</f>
        <v>13738512351.665001</v>
      </c>
      <c r="I34" s="22"/>
    </row>
    <row r="35" spans="1:10" s="23" customFormat="1" ht="21.6" customHeight="1" x14ac:dyDescent="0.25">
      <c r="A35" s="20">
        <v>24</v>
      </c>
      <c r="B35" s="21" t="s">
        <v>265</v>
      </c>
      <c r="C35" s="13"/>
      <c r="D35" s="54">
        <f>SUM(D31:D34)</f>
        <v>54390458462.764999</v>
      </c>
      <c r="E35" s="51"/>
      <c r="F35" s="55">
        <f>SUM(F31:F34)</f>
        <v>15922463496.309998</v>
      </c>
      <c r="G35" s="59"/>
      <c r="H35" s="55">
        <f>SUM(H31:H34)</f>
        <v>33838923344.859001</v>
      </c>
      <c r="I35" s="22"/>
    </row>
    <row r="36" spans="1:10" s="23" customFormat="1" ht="21.6" customHeight="1" x14ac:dyDescent="0.25">
      <c r="A36" s="20"/>
      <c r="B36" s="21"/>
      <c r="C36" s="13"/>
      <c r="D36" s="63"/>
      <c r="E36" s="13"/>
      <c r="F36" s="64"/>
      <c r="G36" s="22"/>
      <c r="H36" s="64"/>
      <c r="I36" s="22"/>
    </row>
    <row r="37" spans="1:10" s="23" customFormat="1" ht="21.6" customHeight="1" x14ac:dyDescent="0.25">
      <c r="A37" s="20">
        <v>25</v>
      </c>
      <c r="B37" s="21" t="s">
        <v>266</v>
      </c>
      <c r="C37" s="13"/>
      <c r="D37" s="54">
        <f>+D25+D35</f>
        <v>58670129609.845001</v>
      </c>
      <c r="E37" s="51"/>
      <c r="F37" s="55">
        <f>+F25+F35</f>
        <v>18438342223.759998</v>
      </c>
      <c r="G37" s="59"/>
      <c r="H37" s="55">
        <f>+H25+H35</f>
        <v>36502715764.488998</v>
      </c>
      <c r="I37" s="22"/>
    </row>
    <row r="38" spans="1:10" s="19" customFormat="1" ht="13.5" customHeight="1" x14ac:dyDescent="0.25">
      <c r="A38" s="17"/>
      <c r="B38" s="18"/>
      <c r="C38" s="13"/>
      <c r="D38" s="57"/>
      <c r="E38" s="13"/>
      <c r="F38" s="58"/>
      <c r="G38" s="22"/>
      <c r="H38" s="58"/>
      <c r="I38" s="22"/>
    </row>
    <row r="39" spans="1:10" s="23" customFormat="1" ht="21.6" customHeight="1" x14ac:dyDescent="0.25">
      <c r="A39" s="20">
        <v>26</v>
      </c>
      <c r="B39" s="21" t="s">
        <v>267</v>
      </c>
      <c r="C39" s="13"/>
      <c r="D39" s="63"/>
      <c r="E39" s="13"/>
      <c r="F39" s="466"/>
      <c r="G39" s="22"/>
      <c r="H39" s="466"/>
      <c r="I39" s="22"/>
    </row>
    <row r="40" spans="1:10" s="19" customFormat="1" ht="21.6" customHeight="1" x14ac:dyDescent="0.25">
      <c r="A40" s="17">
        <v>27</v>
      </c>
      <c r="B40" s="18" t="s">
        <v>268</v>
      </c>
      <c r="C40" s="13"/>
      <c r="D40" s="58">
        <f>SUM('[1]Sum Total Budget'!$C$6)</f>
        <v>5775500000</v>
      </c>
      <c r="E40" s="59"/>
      <c r="F40" s="58">
        <f>SUM('[1]Sum Total Budget'!$D$6)</f>
        <v>1982753557.8</v>
      </c>
      <c r="G40" s="59"/>
      <c r="H40" s="58">
        <f>SUM('[1]Sum Total Budget'!$E$6)</f>
        <v>3614700000</v>
      </c>
      <c r="I40" s="22"/>
    </row>
    <row r="41" spans="1:10" s="19" customFormat="1" ht="21.6" customHeight="1" x14ac:dyDescent="0.25">
      <c r="A41" s="17">
        <v>28</v>
      </c>
      <c r="B41" s="18" t="s">
        <v>269</v>
      </c>
      <c r="C41" s="13"/>
      <c r="D41" s="58">
        <f>SUM('[1]Sum Total Budget'!$C$15)</f>
        <v>27346150000</v>
      </c>
      <c r="E41" s="59"/>
      <c r="F41" s="58">
        <f>SUM('[1]Sum Total Budget'!$D$15)</f>
        <v>3592920056.5300002</v>
      </c>
      <c r="G41" s="59"/>
      <c r="H41" s="58">
        <f>SUM('[1]Sum Total Budget'!$E$15)</f>
        <v>11704334544.07</v>
      </c>
      <c r="I41" s="22"/>
    </row>
    <row r="42" spans="1:10" s="19" customFormat="1" ht="21.6" customHeight="1" x14ac:dyDescent="0.25">
      <c r="A42" s="17">
        <v>30</v>
      </c>
      <c r="B42" s="18" t="s">
        <v>270</v>
      </c>
      <c r="C42" s="13"/>
      <c r="D42" s="58">
        <f>SUM('[1]Sum Total Budget'!$C$21)</f>
        <v>872100000</v>
      </c>
      <c r="E42" s="59"/>
      <c r="F42" s="58">
        <f>SUM('[1]Sum Total Budget'!$D$21)</f>
        <v>15751000</v>
      </c>
      <c r="G42" s="59"/>
      <c r="H42" s="58">
        <f>SUM('[1]Sum Total Budget'!$E$21)</f>
        <v>630276500</v>
      </c>
      <c r="I42" s="22"/>
    </row>
    <row r="43" spans="1:10" s="19" customFormat="1" ht="21.6" customHeight="1" x14ac:dyDescent="0.25">
      <c r="A43" s="17">
        <v>31</v>
      </c>
      <c r="B43" s="18" t="s">
        <v>271</v>
      </c>
      <c r="C43" s="13"/>
      <c r="D43" s="58">
        <v>0</v>
      </c>
      <c r="E43" s="22"/>
      <c r="F43" s="58">
        <v>0</v>
      </c>
      <c r="G43" s="22"/>
      <c r="H43" s="58">
        <v>0</v>
      </c>
      <c r="I43" s="22"/>
    </row>
    <row r="44" spans="1:10" s="19" customFormat="1" ht="21.6" customHeight="1" x14ac:dyDescent="0.25">
      <c r="A44" s="17">
        <v>32</v>
      </c>
      <c r="B44" s="18" t="s">
        <v>272</v>
      </c>
      <c r="C44" s="13"/>
      <c r="D44" s="58">
        <f>SUM('[1]Sum Total Budget'!$C$28)</f>
        <v>15780926003.869999</v>
      </c>
      <c r="E44" s="59"/>
      <c r="F44" s="58">
        <f>SUM('[1]Sum Total Budget'!$D$28)</f>
        <v>2104988467.9400003</v>
      </c>
      <c r="G44" s="59"/>
      <c r="H44" s="58">
        <f>SUM('[1]Sum Total Budget'!$E$28)</f>
        <v>10316321330.099998</v>
      </c>
      <c r="I44" s="22"/>
    </row>
    <row r="45" spans="1:10" s="23" customFormat="1" ht="21.6" customHeight="1" x14ac:dyDescent="0.25">
      <c r="A45" s="20">
        <v>33</v>
      </c>
      <c r="B45" s="21" t="s">
        <v>273</v>
      </c>
      <c r="C45" s="13"/>
      <c r="D45" s="55">
        <f>SUM(D40:D44)</f>
        <v>49774676003.869995</v>
      </c>
      <c r="E45" s="59"/>
      <c r="F45" s="55">
        <f>SUM(F40:F44)</f>
        <v>7696413082.2700005</v>
      </c>
      <c r="G45" s="59"/>
      <c r="H45" s="55">
        <f>SUM(H40:H44)</f>
        <v>26265632374.169998</v>
      </c>
      <c r="I45" s="22"/>
    </row>
    <row r="46" spans="1:10" s="19" customFormat="1" ht="21.6" customHeight="1" x14ac:dyDescent="0.25">
      <c r="A46" s="17"/>
      <c r="B46" s="18"/>
      <c r="C46" s="13"/>
      <c r="D46" s="58"/>
      <c r="E46" s="22"/>
      <c r="F46" s="58"/>
      <c r="G46" s="22"/>
      <c r="H46" s="58"/>
      <c r="I46" s="22"/>
    </row>
    <row r="47" spans="1:10" s="23" customFormat="1" ht="21.6" customHeight="1" x14ac:dyDescent="0.25">
      <c r="A47" s="20">
        <v>34</v>
      </c>
      <c r="B47" s="21" t="s">
        <v>274</v>
      </c>
      <c r="C47" s="13"/>
      <c r="D47" s="62">
        <f>+D37+D45</f>
        <v>108444805613.715</v>
      </c>
      <c r="E47" s="51"/>
      <c r="F47" s="62">
        <f>+F37+F45</f>
        <v>26134755306.029999</v>
      </c>
      <c r="G47" s="59"/>
      <c r="H47" s="62">
        <f>+H37+H45</f>
        <v>62768348138.658997</v>
      </c>
      <c r="I47" s="22"/>
      <c r="J47" s="458"/>
    </row>
    <row r="48" spans="1:10" s="23" customFormat="1" ht="21.6" customHeight="1" x14ac:dyDescent="0.25">
      <c r="A48" s="20"/>
      <c r="B48" s="21"/>
      <c r="C48" s="13"/>
      <c r="D48" s="507"/>
      <c r="E48" s="51"/>
      <c r="F48" s="64"/>
      <c r="G48" s="59"/>
      <c r="H48" s="64"/>
      <c r="I48" s="22"/>
    </row>
    <row r="49" spans="1:10" s="23" customFormat="1" ht="21.6" customHeight="1" x14ac:dyDescent="0.25">
      <c r="A49" s="20">
        <v>35</v>
      </c>
      <c r="B49" s="21" t="s">
        <v>275</v>
      </c>
      <c r="C49" s="13"/>
      <c r="D49" s="54">
        <f>+D18-D47-5849198223</f>
        <v>-8500000000.1749878</v>
      </c>
      <c r="E49" s="51"/>
      <c r="F49" s="55">
        <f>+F18-F47</f>
        <v>3890668901.8262253</v>
      </c>
      <c r="G49" s="59"/>
      <c r="H49" s="55">
        <f>+H18-H47-812457494+2000000</f>
        <v>-8850000000.0127716</v>
      </c>
      <c r="I49" s="22"/>
      <c r="J49" s="465">
        <f>H49+H56</f>
        <v>-1.27716064453125E-2</v>
      </c>
    </row>
    <row r="50" spans="1:10" s="23" customFormat="1" ht="21.6" customHeight="1" x14ac:dyDescent="0.25">
      <c r="A50" s="20"/>
      <c r="B50" s="21"/>
      <c r="C50" s="13"/>
      <c r="D50" s="63"/>
      <c r="E50" s="66" t="s">
        <v>526</v>
      </c>
      <c r="F50" s="64"/>
      <c r="H50" s="64"/>
      <c r="I50" s="22"/>
      <c r="J50" s="458"/>
    </row>
    <row r="51" spans="1:10" s="15" customFormat="1" ht="33" customHeight="1" x14ac:dyDescent="0.25">
      <c r="A51" s="531"/>
      <c r="B51" s="531"/>
      <c r="C51" s="13"/>
      <c r="D51" s="14" t="s">
        <v>619</v>
      </c>
      <c r="E51" s="13"/>
      <c r="F51" s="14" t="s">
        <v>636</v>
      </c>
      <c r="G51" s="13"/>
      <c r="H51" s="89" t="s">
        <v>642</v>
      </c>
      <c r="I51" s="13"/>
    </row>
    <row r="52" spans="1:10" s="15" customFormat="1" ht="14.25" customHeight="1" x14ac:dyDescent="0.25">
      <c r="A52" s="531"/>
      <c r="B52" s="531"/>
      <c r="C52" s="13"/>
      <c r="D52" s="16" t="s">
        <v>405</v>
      </c>
      <c r="E52" s="13"/>
      <c r="F52" s="16" t="s">
        <v>405</v>
      </c>
      <c r="G52" s="13"/>
      <c r="H52" s="90" t="s">
        <v>405</v>
      </c>
      <c r="I52" s="13"/>
    </row>
    <row r="53" spans="1:10" s="19" customFormat="1" ht="21.6" customHeight="1" x14ac:dyDescent="0.25">
      <c r="A53" s="17">
        <v>36</v>
      </c>
      <c r="B53" s="21" t="s">
        <v>276</v>
      </c>
      <c r="C53" s="13"/>
      <c r="D53" s="57"/>
      <c r="E53" s="13"/>
      <c r="F53" s="57"/>
      <c r="G53" s="13"/>
      <c r="H53" s="57"/>
      <c r="I53" s="13"/>
    </row>
    <row r="54" spans="1:10" s="19" customFormat="1" ht="21.6" customHeight="1" x14ac:dyDescent="0.25">
      <c r="A54" s="17">
        <v>37</v>
      </c>
      <c r="B54" s="18" t="s">
        <v>277</v>
      </c>
      <c r="C54" s="13"/>
      <c r="D54" s="57">
        <f>'Summary of Rev'!C29</f>
        <v>5000000000</v>
      </c>
      <c r="E54" s="51"/>
      <c r="F54" s="58">
        <f>'Detailed Revenue'!F721</f>
        <v>0</v>
      </c>
      <c r="G54" s="51"/>
      <c r="H54" s="57">
        <f>'Summary of Rev'!E29</f>
        <v>6000000000</v>
      </c>
      <c r="I54" s="13"/>
    </row>
    <row r="55" spans="1:10" s="19" customFormat="1" ht="21.6" customHeight="1" x14ac:dyDescent="0.25">
      <c r="A55" s="17">
        <v>38</v>
      </c>
      <c r="B55" s="18" t="s">
        <v>278</v>
      </c>
      <c r="C55" s="13"/>
      <c r="D55" s="57">
        <f>'Summary of Rev'!C30</f>
        <v>3500000000</v>
      </c>
      <c r="E55" s="51"/>
      <c r="F55" s="57">
        <f>'Summary of Rev'!D30</f>
        <v>0</v>
      </c>
      <c r="G55" s="51"/>
      <c r="H55" s="57">
        <f>'Summary of Rev'!E30</f>
        <v>2850000000</v>
      </c>
      <c r="I55" s="13"/>
    </row>
    <row r="56" spans="1:10" s="19" customFormat="1" ht="21.6" customHeight="1" x14ac:dyDescent="0.25">
      <c r="A56" s="17">
        <v>39</v>
      </c>
      <c r="B56" s="21" t="s">
        <v>279</v>
      </c>
      <c r="C56" s="13"/>
      <c r="D56" s="54">
        <f>SUM(D54:D55)</f>
        <v>8500000000</v>
      </c>
      <c r="E56" s="60"/>
      <c r="F56" s="54">
        <f>SUM(F54:F55)</f>
        <v>0</v>
      </c>
      <c r="G56" s="60"/>
      <c r="H56" s="54">
        <f>SUM(H54:H55)</f>
        <v>8850000000</v>
      </c>
      <c r="I56" s="35"/>
      <c r="J56" s="67"/>
    </row>
    <row r="57" spans="1:10" s="19" customFormat="1" ht="21.6" customHeight="1" x14ac:dyDescent="0.25">
      <c r="A57" s="17"/>
      <c r="B57" s="18"/>
      <c r="C57" s="13"/>
      <c r="D57" s="57"/>
      <c r="E57" s="51"/>
      <c r="F57" s="57"/>
      <c r="G57" s="51"/>
      <c r="H57" s="57"/>
      <c r="I57" s="13"/>
    </row>
    <row r="58" spans="1:10" s="23" customFormat="1" ht="21.6" customHeight="1" thickBot="1" x14ac:dyDescent="0.3">
      <c r="A58" s="20">
        <v>40</v>
      </c>
      <c r="B58" s="21" t="s">
        <v>280</v>
      </c>
      <c r="C58" s="13"/>
      <c r="D58" s="61">
        <f>D49+D56</f>
        <v>-0.17498779296875</v>
      </c>
      <c r="E58" s="51"/>
      <c r="F58" s="61">
        <f>F49+F56</f>
        <v>3890668901.8262253</v>
      </c>
      <c r="G58" s="51"/>
      <c r="H58" s="61">
        <f>H49+H56</f>
        <v>-1.27716064453125E-2</v>
      </c>
      <c r="I58" s="13"/>
    </row>
    <row r="59" spans="1:10" s="19" customFormat="1" ht="16.5" thickTop="1" x14ac:dyDescent="0.25">
      <c r="A59" s="36"/>
      <c r="B59" s="13"/>
      <c r="C59" s="13"/>
      <c r="D59" s="49"/>
      <c r="E59" s="51"/>
      <c r="F59" s="51"/>
      <c r="G59" s="51"/>
      <c r="H59" s="509"/>
      <c r="I59" s="13"/>
    </row>
    <row r="60" spans="1:10" s="19" customFormat="1" ht="15.75" x14ac:dyDescent="0.25">
      <c r="A60" s="37"/>
      <c r="D60" s="67"/>
      <c r="F60" s="67"/>
      <c r="H60" s="467"/>
    </row>
    <row r="61" spans="1:10" s="23" customFormat="1" ht="15.75" x14ac:dyDescent="0.25">
      <c r="A61" s="525"/>
      <c r="B61" s="527" t="s">
        <v>645</v>
      </c>
      <c r="C61" s="527" t="s">
        <v>646</v>
      </c>
      <c r="D61" s="526">
        <v>6600000000</v>
      </c>
      <c r="F61" s="528" t="s">
        <v>647</v>
      </c>
      <c r="G61" s="529"/>
      <c r="H61" s="530">
        <f>D61/H47</f>
        <v>0.10514853737141862</v>
      </c>
    </row>
    <row r="62" spans="1:10" s="19" customFormat="1" ht="15.75" x14ac:dyDescent="0.25">
      <c r="A62" s="37"/>
      <c r="F62" s="68"/>
      <c r="H62" s="68"/>
    </row>
    <row r="63" spans="1:10" s="19" customFormat="1" ht="15.75" x14ac:dyDescent="0.25">
      <c r="A63" s="37"/>
      <c r="F63" s="67"/>
      <c r="H63" s="68"/>
    </row>
    <row r="64" spans="1:10" s="19" customFormat="1" ht="15.75" x14ac:dyDescent="0.25">
      <c r="A64" s="37"/>
      <c r="H64" s="68"/>
    </row>
    <row r="65" spans="1:8" s="19" customFormat="1" ht="15.75" x14ac:dyDescent="0.25">
      <c r="A65" s="37"/>
      <c r="H65" s="68"/>
    </row>
    <row r="66" spans="1:8" s="19" customFormat="1" ht="15.75" x14ac:dyDescent="0.25">
      <c r="A66" s="37"/>
      <c r="H66" s="68"/>
    </row>
    <row r="67" spans="1:8" s="19" customFormat="1" ht="15.75" x14ac:dyDescent="0.25">
      <c r="A67" s="37"/>
      <c r="H67" s="68"/>
    </row>
    <row r="68" spans="1:8" s="19" customFormat="1" ht="15.75" x14ac:dyDescent="0.25">
      <c r="A68" s="37"/>
      <c r="H68" s="68"/>
    </row>
    <row r="69" spans="1:8" x14ac:dyDescent="0.25">
      <c r="H69" s="96"/>
    </row>
    <row r="81" spans="5:5" x14ac:dyDescent="0.25">
      <c r="E81" s="65" t="s">
        <v>527</v>
      </c>
    </row>
  </sheetData>
  <mergeCells count="6">
    <mergeCell ref="A4:A5"/>
    <mergeCell ref="B4:B5"/>
    <mergeCell ref="A28:A29"/>
    <mergeCell ref="B28:B29"/>
    <mergeCell ref="A51:A52"/>
    <mergeCell ref="B51:B52"/>
  </mergeCells>
  <pageMargins left="1.2204724409448819" right="0.43307086614173229" top="0.39370078740157483" bottom="0.669291338582677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952"/>
  <sheetViews>
    <sheetView view="pageBreakPreview" topLeftCell="A23" zoomScale="140" zoomScaleSheetLayoutView="140" workbookViewId="0">
      <selection activeCell="C28" sqref="C28"/>
    </sheetView>
  </sheetViews>
  <sheetFormatPr defaultColWidth="8.85546875" defaultRowHeight="12.75" x14ac:dyDescent="0.2"/>
  <cols>
    <col min="1" max="1" width="15.42578125" style="1" customWidth="1"/>
    <col min="2" max="2" width="46.42578125" style="5" customWidth="1"/>
    <col min="3" max="3" width="17.85546875" style="2" customWidth="1"/>
    <col min="4" max="4" width="18.42578125" style="2" customWidth="1"/>
    <col min="5" max="5" width="18.28515625" style="2" customWidth="1"/>
    <col min="6" max="6" width="18.140625" style="3" hidden="1" customWidth="1"/>
    <col min="7" max="7" width="19.42578125" style="3" bestFit="1" customWidth="1"/>
    <col min="8" max="16384" width="8.85546875" style="3"/>
  </cols>
  <sheetData>
    <row r="1" spans="1:7" ht="21.95" customHeight="1" x14ac:dyDescent="0.2">
      <c r="A1" s="532" t="s">
        <v>613</v>
      </c>
      <c r="B1" s="532"/>
      <c r="C1" s="532"/>
      <c r="D1" s="532"/>
      <c r="E1" s="532"/>
    </row>
    <row r="2" spans="1:7" ht="6.75" customHeight="1" x14ac:dyDescent="0.2">
      <c r="A2" s="72"/>
      <c r="B2" s="73"/>
      <c r="C2" s="73"/>
      <c r="D2" s="73"/>
      <c r="E2" s="73"/>
    </row>
    <row r="3" spans="1:7" s="38" customFormat="1" ht="38.25" x14ac:dyDescent="0.25">
      <c r="A3" s="74" t="s">
        <v>309</v>
      </c>
      <c r="B3" s="74" t="s">
        <v>0</v>
      </c>
      <c r="C3" s="501" t="s">
        <v>618</v>
      </c>
      <c r="D3" s="501" t="s">
        <v>638</v>
      </c>
      <c r="E3" s="501" t="s">
        <v>637</v>
      </c>
    </row>
    <row r="4" spans="1:7" s="41" customFormat="1" ht="23.1" customHeight="1" x14ac:dyDescent="0.25">
      <c r="A4" s="75">
        <v>11000000</v>
      </c>
      <c r="B4" s="76" t="s">
        <v>1</v>
      </c>
      <c r="C4" s="77"/>
      <c r="D4" s="77"/>
      <c r="E4" s="77"/>
    </row>
    <row r="5" spans="1:7" s="43" customFormat="1" ht="23.1" customHeight="1" x14ac:dyDescent="0.25">
      <c r="A5" s="78">
        <v>110101</v>
      </c>
      <c r="B5" s="79" t="s">
        <v>2</v>
      </c>
      <c r="C5" s="80">
        <f>'Detailed Revenue'!E8</f>
        <v>44000000000</v>
      </c>
      <c r="D5" s="69">
        <f>'Detailed Revenue'!F8</f>
        <v>13781122890.210001</v>
      </c>
      <c r="E5" s="80">
        <f>'Detailed Revenue'!G8</f>
        <v>18450000000</v>
      </c>
      <c r="F5" s="98">
        <f>D5/C5*100</f>
        <v>31.320733841386367</v>
      </c>
      <c r="G5" s="493"/>
    </row>
    <row r="6" spans="1:7" s="43" customFormat="1" ht="23.1" customHeight="1" x14ac:dyDescent="0.25">
      <c r="A6" s="78">
        <v>110102</v>
      </c>
      <c r="B6" s="79" t="s">
        <v>3</v>
      </c>
      <c r="C6" s="80">
        <f>'Detailed Revenue'!E9</f>
        <v>12500000000</v>
      </c>
      <c r="D6" s="69">
        <f>'Detailed Revenue'!F9</f>
        <v>4540157311.5500002</v>
      </c>
      <c r="E6" s="80">
        <f>'Detailed Revenue'!G9</f>
        <v>6534828931</v>
      </c>
      <c r="F6" s="98">
        <f t="shared" ref="F6:F32" si="0">D6/C6*100</f>
        <v>36.321258492399998</v>
      </c>
    </row>
    <row r="7" spans="1:7" s="43" customFormat="1" ht="23.1" customHeight="1" x14ac:dyDescent="0.25">
      <c r="A7" s="78">
        <v>11010403</v>
      </c>
      <c r="B7" s="79" t="s">
        <v>289</v>
      </c>
      <c r="C7" s="80">
        <f>'Detailed Revenue'!E10</f>
        <v>950000000</v>
      </c>
      <c r="D7" s="69">
        <f>'Detailed Revenue'!F10</f>
        <v>540251296.69999993</v>
      </c>
      <c r="E7" s="80">
        <f>'Detailed Revenue'!G10</f>
        <v>814930074</v>
      </c>
      <c r="F7" s="98">
        <f t="shared" si="0"/>
        <v>56.868557547368411</v>
      </c>
    </row>
    <row r="8" spans="1:7" s="43" customFormat="1" ht="23.1" customHeight="1" x14ac:dyDescent="0.25">
      <c r="A8" s="78">
        <v>11010404</v>
      </c>
      <c r="B8" s="79" t="s">
        <v>290</v>
      </c>
      <c r="C8" s="80">
        <f>'Detailed Revenue'!E11</f>
        <v>3000000000</v>
      </c>
      <c r="D8" s="69">
        <f>'Detailed Revenue'!F11</f>
        <v>773072982.91000009</v>
      </c>
      <c r="E8" s="80">
        <f>'Detailed Revenue'!G11</f>
        <v>1100000000</v>
      </c>
      <c r="F8" s="98">
        <f t="shared" si="0"/>
        <v>25.769099430333338</v>
      </c>
      <c r="G8" s="493"/>
    </row>
    <row r="9" spans="1:7" s="43" customFormat="1" ht="29.25" customHeight="1" x14ac:dyDescent="0.25">
      <c r="A9" s="78"/>
      <c r="B9" s="81" t="s">
        <v>4</v>
      </c>
      <c r="C9" s="82">
        <f>SUM(C5:C8)</f>
        <v>60450000000</v>
      </c>
      <c r="D9" s="510">
        <f t="shared" ref="D9:E9" si="1">SUM(D5:D8)</f>
        <v>19634604481.370003</v>
      </c>
      <c r="E9" s="82">
        <f t="shared" si="1"/>
        <v>26899759005</v>
      </c>
      <c r="F9" s="98">
        <f t="shared" si="0"/>
        <v>32.480735287626146</v>
      </c>
      <c r="G9" s="494"/>
    </row>
    <row r="10" spans="1:7" s="43" customFormat="1" ht="21.6" customHeight="1" x14ac:dyDescent="0.25">
      <c r="A10" s="78"/>
      <c r="B10" s="79"/>
      <c r="C10" s="80"/>
      <c r="D10" s="69"/>
      <c r="E10" s="80"/>
      <c r="F10" s="98"/>
    </row>
    <row r="11" spans="1:7" s="43" customFormat="1" ht="23.1" customHeight="1" x14ac:dyDescent="0.25">
      <c r="A11" s="75">
        <v>12000000</v>
      </c>
      <c r="B11" s="76" t="s">
        <v>5</v>
      </c>
      <c r="C11" s="77"/>
      <c r="D11" s="69"/>
      <c r="E11" s="80"/>
      <c r="F11" s="98"/>
    </row>
    <row r="12" spans="1:7" s="43" customFormat="1" ht="23.1" customHeight="1" x14ac:dyDescent="0.25">
      <c r="A12" s="78">
        <v>120101</v>
      </c>
      <c r="B12" s="79" t="s">
        <v>246</v>
      </c>
      <c r="C12" s="80">
        <f>'Detailed Revenue'!E30</f>
        <v>12870100000</v>
      </c>
      <c r="D12" s="421">
        <f>'Detailed Revenue'!F30</f>
        <v>1925721018.1700003</v>
      </c>
      <c r="E12" s="80">
        <f>'Detailed Revenue'!G30</f>
        <v>7040413358</v>
      </c>
      <c r="F12" s="98">
        <f t="shared" si="0"/>
        <v>14.962751013356543</v>
      </c>
    </row>
    <row r="13" spans="1:7" s="43" customFormat="1" ht="23.1" customHeight="1" x14ac:dyDescent="0.25">
      <c r="A13" s="78">
        <v>120201</v>
      </c>
      <c r="B13" s="79" t="s">
        <v>6</v>
      </c>
      <c r="C13" s="80">
        <f>'Detailed Revenue'!E46</f>
        <v>311160000</v>
      </c>
      <c r="D13" s="421">
        <f>'Detailed Revenue'!F46</f>
        <v>56583422.75</v>
      </c>
      <c r="E13" s="80">
        <f>'Detailed Revenue'!G46</f>
        <v>124094000</v>
      </c>
      <c r="F13" s="98">
        <f t="shared" si="0"/>
        <v>18.184671149890733</v>
      </c>
    </row>
    <row r="14" spans="1:7" s="43" customFormat="1" ht="23.1" customHeight="1" x14ac:dyDescent="0.25">
      <c r="A14" s="78">
        <v>120204</v>
      </c>
      <c r="B14" s="79" t="s">
        <v>7</v>
      </c>
      <c r="C14" s="80">
        <f>'Detailed Revenue'!E67</f>
        <v>9029317602.0499992</v>
      </c>
      <c r="D14" s="69">
        <f>'Detailed Revenue'!F67</f>
        <v>1512327023.2100003</v>
      </c>
      <c r="E14" s="80">
        <f>'Detailed Revenue'!G67</f>
        <v>3433719040.8199997</v>
      </c>
      <c r="F14" s="98">
        <f t="shared" si="0"/>
        <v>16.749073295047729</v>
      </c>
      <c r="G14" s="493"/>
    </row>
    <row r="15" spans="1:7" s="43" customFormat="1" ht="23.1" customHeight="1" x14ac:dyDescent="0.25">
      <c r="A15" s="78">
        <v>120205</v>
      </c>
      <c r="B15" s="79" t="s">
        <v>8</v>
      </c>
      <c r="C15" s="80">
        <f>'Detailed Revenue'!E330</f>
        <v>58450000</v>
      </c>
      <c r="D15" s="69">
        <f>'Detailed Revenue'!F330</f>
        <v>1599000</v>
      </c>
      <c r="E15" s="80">
        <f>'Detailed Revenue'!G330</f>
        <v>23980000</v>
      </c>
      <c r="F15" s="98">
        <f t="shared" si="0"/>
        <v>2.7356715141146277</v>
      </c>
    </row>
    <row r="16" spans="1:7" s="43" customFormat="1" ht="23.1" customHeight="1" x14ac:dyDescent="0.25">
      <c r="A16" s="78">
        <v>120206</v>
      </c>
      <c r="B16" s="79" t="s">
        <v>9</v>
      </c>
      <c r="C16" s="80">
        <f>'Detailed Revenue'!E352</f>
        <v>2008600000</v>
      </c>
      <c r="D16" s="69">
        <f>'Detailed Revenue'!F352</f>
        <v>274824719.99000001</v>
      </c>
      <c r="E16" s="80">
        <f>'Detailed Revenue'!G352</f>
        <v>779516000</v>
      </c>
      <c r="F16" s="98">
        <f t="shared" si="0"/>
        <v>13.682401672309071</v>
      </c>
    </row>
    <row r="17" spans="1:7" s="43" customFormat="1" ht="23.1" customHeight="1" x14ac:dyDescent="0.25">
      <c r="A17" s="78">
        <v>120207</v>
      </c>
      <c r="B17" s="79" t="s">
        <v>10</v>
      </c>
      <c r="C17" s="80">
        <f>'Detailed Revenue'!E501</f>
        <v>517545000</v>
      </c>
      <c r="D17" s="69">
        <f>'Detailed Revenue'!F501</f>
        <v>199929367.04000002</v>
      </c>
      <c r="E17" s="80">
        <f>'Detailed Revenue'!G501</f>
        <v>296598000</v>
      </c>
      <c r="F17" s="98">
        <f t="shared" si="0"/>
        <v>38.630334954448408</v>
      </c>
    </row>
    <row r="18" spans="1:7" s="43" customFormat="1" ht="23.1" customHeight="1" x14ac:dyDescent="0.25">
      <c r="A18" s="78">
        <v>120208</v>
      </c>
      <c r="B18" s="79" t="s">
        <v>11</v>
      </c>
      <c r="C18" s="80">
        <f>'Detailed Revenue'!E595</f>
        <v>90420000</v>
      </c>
      <c r="D18" s="69">
        <f>'Detailed Revenue'!F595</f>
        <v>10720170.939999999</v>
      </c>
      <c r="E18" s="80">
        <f>'Detailed Revenue'!G595</f>
        <v>21168000</v>
      </c>
      <c r="F18" s="98">
        <f t="shared" si="0"/>
        <v>11.855973169652732</v>
      </c>
    </row>
    <row r="19" spans="1:7" s="43" customFormat="1" ht="23.1" customHeight="1" x14ac:dyDescent="0.25">
      <c r="A19" s="78">
        <v>120209</v>
      </c>
      <c r="B19" s="79" t="s">
        <v>12</v>
      </c>
      <c r="C19" s="80">
        <f>'Detailed Revenue'!E626</f>
        <v>510600000</v>
      </c>
      <c r="D19" s="69">
        <f>'Detailed Revenue'!F626</f>
        <v>81076008.306220949</v>
      </c>
      <c r="E19" s="80">
        <f>'Detailed Revenue'!G626</f>
        <v>126000000</v>
      </c>
      <c r="F19" s="98">
        <f>D19/C19*100</f>
        <v>15.878575853157257</v>
      </c>
    </row>
    <row r="20" spans="1:7" s="43" customFormat="1" ht="23.1" customHeight="1" x14ac:dyDescent="0.25">
      <c r="A20" s="78">
        <v>120210</v>
      </c>
      <c r="B20" s="79" t="s">
        <v>13</v>
      </c>
      <c r="C20" s="80">
        <f>'Detailed Revenue'!E633</f>
        <v>2863798757</v>
      </c>
      <c r="D20" s="69">
        <f>'Detailed Revenue'!F633</f>
        <v>2396856449.9100003</v>
      </c>
      <c r="E20" s="80">
        <f>'Detailed Revenue'!G633</f>
        <v>1169000000</v>
      </c>
      <c r="F20" s="98">
        <f t="shared" si="0"/>
        <v>83.695002801832715</v>
      </c>
      <c r="G20" s="493"/>
    </row>
    <row r="21" spans="1:7" s="43" customFormat="1" ht="23.1" customHeight="1" x14ac:dyDescent="0.25">
      <c r="A21" s="78">
        <v>120211</v>
      </c>
      <c r="B21" s="79" t="s">
        <v>14</v>
      </c>
      <c r="C21" s="80">
        <f>'Detailed Revenue'!E645</f>
        <v>1000000</v>
      </c>
      <c r="D21" s="69">
        <f>'Detailed Revenue'!F645</f>
        <v>0</v>
      </c>
      <c r="E21" s="80">
        <f>'Detailed Revenue'!G645</f>
        <v>0</v>
      </c>
      <c r="F21" s="98">
        <f t="shared" si="0"/>
        <v>0</v>
      </c>
    </row>
    <row r="22" spans="1:7" s="41" customFormat="1" ht="23.1" customHeight="1" x14ac:dyDescent="0.25">
      <c r="A22" s="75"/>
      <c r="B22" s="81" t="s">
        <v>15</v>
      </c>
      <c r="C22" s="82">
        <f>SUM(C12:C21)</f>
        <v>28260991359.049999</v>
      </c>
      <c r="D22" s="510">
        <f>SUM(D12:D21)</f>
        <v>6459637180.3162222</v>
      </c>
      <c r="E22" s="82">
        <f>SUM(E12:E21)</f>
        <v>13014488398.82</v>
      </c>
      <c r="F22" s="98">
        <f t="shared" si="0"/>
        <v>22.857079209458295</v>
      </c>
    </row>
    <row r="23" spans="1:7" s="44" customFormat="1" ht="21.6" customHeight="1" x14ac:dyDescent="0.25">
      <c r="A23" s="78"/>
      <c r="B23" s="79"/>
      <c r="C23" s="83" t="s">
        <v>528</v>
      </c>
      <c r="D23" s="70"/>
      <c r="E23" s="80"/>
      <c r="F23" s="461">
        <v>20349528255.52</v>
      </c>
    </row>
    <row r="24" spans="1:7" s="38" customFormat="1" ht="38.25" x14ac:dyDescent="0.25">
      <c r="A24" s="74" t="s">
        <v>309</v>
      </c>
      <c r="B24" s="74" t="s">
        <v>0</v>
      </c>
      <c r="C24" s="501" t="s">
        <v>618</v>
      </c>
      <c r="D24" s="501" t="s">
        <v>638</v>
      </c>
      <c r="E24" s="501" t="s">
        <v>637</v>
      </c>
      <c r="F24" s="462">
        <f>C22-F23</f>
        <v>7911463103.5299988</v>
      </c>
    </row>
    <row r="25" spans="1:7" s="43" customFormat="1" ht="24.95" customHeight="1" x14ac:dyDescent="0.25">
      <c r="A25" s="78"/>
      <c r="B25" s="76" t="s">
        <v>16</v>
      </c>
      <c r="C25" s="506"/>
      <c r="D25" s="69"/>
      <c r="E25" s="87"/>
      <c r="F25" s="98"/>
    </row>
    <row r="26" spans="1:7" s="43" customFormat="1" ht="23.1" customHeight="1" x14ac:dyDescent="0.25">
      <c r="A26" s="78">
        <v>140101</v>
      </c>
      <c r="B26" s="79" t="s">
        <v>17</v>
      </c>
      <c r="C26" s="80">
        <f>'Detailed Revenue'!E652-100000000</f>
        <v>9537814254.4899998</v>
      </c>
      <c r="D26" s="69">
        <f>'Detailed Revenue'!F652</f>
        <v>553036894.10000002</v>
      </c>
      <c r="E26" s="80">
        <f>'Detailed Revenue'!G652</f>
        <v>10849889327</v>
      </c>
      <c r="F26" s="98">
        <f t="shared" si="0"/>
        <v>5.7983609173312809</v>
      </c>
    </row>
    <row r="27" spans="1:7" s="43" customFormat="1" ht="23.1" customHeight="1" x14ac:dyDescent="0.25">
      <c r="A27" s="78">
        <v>140102</v>
      </c>
      <c r="B27" s="79" t="s">
        <v>18</v>
      </c>
      <c r="C27" s="80">
        <f>'Detailed Revenue'!E689</f>
        <v>620000000</v>
      </c>
      <c r="D27" s="69">
        <f>'Detailed Revenue'!F689</f>
        <v>0</v>
      </c>
      <c r="E27" s="80">
        <f>'Detailed Revenue'!G689</f>
        <v>74000000</v>
      </c>
      <c r="F27" s="98">
        <f t="shared" si="0"/>
        <v>0</v>
      </c>
    </row>
    <row r="28" spans="1:7" s="43" customFormat="1" ht="23.1" customHeight="1" x14ac:dyDescent="0.25">
      <c r="A28" s="78">
        <v>14020101</v>
      </c>
      <c r="B28" s="79" t="s">
        <v>220</v>
      </c>
      <c r="C28" s="80">
        <f>'Detailed Revenue'!E714</f>
        <v>1076000000</v>
      </c>
      <c r="D28" s="69">
        <f>'Detailed Revenue'!F714</f>
        <v>3378145652.0700002</v>
      </c>
      <c r="E28" s="80">
        <f>'Detailed Revenue'!G714</f>
        <v>3078211408</v>
      </c>
      <c r="F28" s="98">
        <f t="shared" si="0"/>
        <v>313.95405688382903</v>
      </c>
    </row>
    <row r="29" spans="1:7" s="43" customFormat="1" ht="23.1" customHeight="1" x14ac:dyDescent="0.25">
      <c r="A29" s="78">
        <v>140301</v>
      </c>
      <c r="B29" s="79" t="s">
        <v>616</v>
      </c>
      <c r="C29" s="80">
        <f>'Detailed Revenue'!E719</f>
        <v>5000000000</v>
      </c>
      <c r="D29" s="69">
        <f>'Detailed Revenue'!F719</f>
        <v>0</v>
      </c>
      <c r="E29" s="80">
        <f>'Detailed Revenue'!G719</f>
        <v>6000000000</v>
      </c>
      <c r="F29" s="98">
        <f t="shared" si="0"/>
        <v>0</v>
      </c>
    </row>
    <row r="30" spans="1:7" s="43" customFormat="1" ht="23.1" customHeight="1" x14ac:dyDescent="0.25">
      <c r="A30" s="78">
        <v>140302</v>
      </c>
      <c r="B30" s="79" t="s">
        <v>602</v>
      </c>
      <c r="C30" s="80">
        <f>'Detailed Revenue'!E725</f>
        <v>3500000000</v>
      </c>
      <c r="D30" s="421">
        <f>'Detailed Revenue'!F725</f>
        <v>0</v>
      </c>
      <c r="E30" s="80">
        <f>'Detailed Revenue'!G725</f>
        <v>2850000000</v>
      </c>
      <c r="F30" s="98"/>
    </row>
    <row r="31" spans="1:7" s="41" customFormat="1" ht="24.95" customHeight="1" x14ac:dyDescent="0.25">
      <c r="A31" s="75"/>
      <c r="B31" s="76" t="s">
        <v>20</v>
      </c>
      <c r="C31" s="77">
        <f>SUM(C26:C30)</f>
        <v>19733814254.489998</v>
      </c>
      <c r="D31" s="503">
        <f t="shared" ref="D31" si="2">SUM(D26:D30)</f>
        <v>3931182546.1700001</v>
      </c>
      <c r="E31" s="77">
        <f>SUM(E26:E30)</f>
        <v>22852100735</v>
      </c>
      <c r="F31" s="98">
        <f t="shared" si="0"/>
        <v>19.92104767721499</v>
      </c>
    </row>
    <row r="32" spans="1:7" s="43" customFormat="1" ht="24.95" customHeight="1" x14ac:dyDescent="0.25">
      <c r="A32" s="84"/>
      <c r="B32" s="85" t="s">
        <v>21</v>
      </c>
      <c r="C32" s="86">
        <f>C9+C22+C31</f>
        <v>108444805613.54001</v>
      </c>
      <c r="D32" s="511">
        <f t="shared" ref="D32:E32" si="3">D9+D22+D31</f>
        <v>30025424207.856224</v>
      </c>
      <c r="E32" s="86">
        <f t="shared" si="3"/>
        <v>62766348138.82</v>
      </c>
      <c r="F32" s="98">
        <f t="shared" si="0"/>
        <v>27.687286668995942</v>
      </c>
      <c r="G32" s="493"/>
    </row>
    <row r="33" spans="1:5" s="43" customFormat="1" ht="23.1" customHeight="1" x14ac:dyDescent="0.25">
      <c r="A33" s="75"/>
      <c r="B33" s="79"/>
      <c r="C33" s="77"/>
      <c r="D33" s="503"/>
      <c r="E33" s="77">
        <f>'Master Bgt'!H47-'Summary of Rev'!E32</f>
        <v>1999999.8389968872</v>
      </c>
    </row>
    <row r="34" spans="1:5" s="43" customFormat="1" ht="23.1" customHeight="1" x14ac:dyDescent="0.25">
      <c r="A34" s="75"/>
      <c r="B34" s="79"/>
      <c r="C34" s="77"/>
      <c r="D34" s="71"/>
      <c r="E34" s="77"/>
    </row>
    <row r="35" spans="1:5" s="43" customFormat="1" ht="18" customHeight="1" x14ac:dyDescent="0.25">
      <c r="A35" s="75"/>
      <c r="B35" s="79"/>
      <c r="C35" s="77"/>
      <c r="D35" s="77"/>
      <c r="E35" s="77"/>
    </row>
    <row r="36" spans="1:5" s="43" customFormat="1" ht="18" customHeight="1" x14ac:dyDescent="0.25">
      <c r="A36" s="75"/>
      <c r="B36" s="79"/>
      <c r="C36" s="77"/>
      <c r="D36" s="77"/>
      <c r="E36" s="77"/>
    </row>
    <row r="37" spans="1:5" s="43" customFormat="1" ht="18" customHeight="1" x14ac:dyDescent="0.25">
      <c r="A37" s="75"/>
      <c r="B37" s="79"/>
      <c r="C37" s="77"/>
      <c r="D37" s="77"/>
      <c r="E37" s="77"/>
    </row>
    <row r="38" spans="1:5" s="43" customFormat="1" ht="18" customHeight="1" x14ac:dyDescent="0.25">
      <c r="A38" s="39"/>
      <c r="B38" s="42"/>
      <c r="C38" s="40"/>
      <c r="D38" s="40"/>
      <c r="E38" s="40"/>
    </row>
    <row r="39" spans="1:5" s="43" customFormat="1" ht="18" customHeight="1" x14ac:dyDescent="0.25">
      <c r="A39" s="39"/>
      <c r="B39" s="42"/>
      <c r="C39" s="40"/>
      <c r="D39" s="40"/>
      <c r="E39" s="40"/>
    </row>
    <row r="40" spans="1:5" s="43" customFormat="1" ht="18" customHeight="1" x14ac:dyDescent="0.25">
      <c r="A40" s="39"/>
      <c r="B40" s="42"/>
      <c r="C40" s="40"/>
      <c r="D40" s="40"/>
      <c r="E40" s="40"/>
    </row>
    <row r="41" spans="1:5" s="43" customFormat="1" ht="18" customHeight="1" x14ac:dyDescent="0.25">
      <c r="A41" s="39"/>
      <c r="B41" s="42"/>
      <c r="C41" s="40"/>
      <c r="D41" s="40"/>
      <c r="E41" s="40"/>
    </row>
    <row r="42" spans="1:5" s="43" customFormat="1" ht="18" customHeight="1" x14ac:dyDescent="0.25">
      <c r="A42" s="39"/>
      <c r="B42" s="42"/>
      <c r="C42" s="40"/>
      <c r="D42" s="40"/>
      <c r="E42" s="40"/>
    </row>
    <row r="43" spans="1:5" s="43" customFormat="1" ht="18" customHeight="1" x14ac:dyDescent="0.25">
      <c r="A43" s="39"/>
      <c r="B43" s="42"/>
      <c r="C43" s="40"/>
      <c r="D43" s="40"/>
      <c r="E43" s="40"/>
    </row>
    <row r="44" spans="1:5" s="43" customFormat="1" ht="18" customHeight="1" x14ac:dyDescent="0.25">
      <c r="A44" s="39"/>
      <c r="B44" s="42"/>
      <c r="C44" s="40"/>
      <c r="D44" s="40"/>
      <c r="E44" s="40"/>
    </row>
    <row r="45" spans="1:5" s="43" customFormat="1" ht="18" customHeight="1" x14ac:dyDescent="0.25">
      <c r="A45" s="39"/>
      <c r="B45" s="42"/>
      <c r="C45" s="40"/>
      <c r="E45" s="40"/>
    </row>
    <row r="46" spans="1:5" s="43" customFormat="1" ht="18" customHeight="1" x14ac:dyDescent="0.25">
      <c r="A46" s="39"/>
      <c r="B46" s="42"/>
      <c r="C46" s="40"/>
      <c r="D46" s="45"/>
      <c r="E46" s="40"/>
    </row>
    <row r="47" spans="1:5" s="43" customFormat="1" ht="15.75" x14ac:dyDescent="0.25">
      <c r="A47" s="46"/>
      <c r="B47" s="47"/>
      <c r="C47" s="45"/>
      <c r="D47" s="45"/>
      <c r="E47" s="45"/>
    </row>
    <row r="48" spans="1:5" s="43" customFormat="1" ht="15.75" x14ac:dyDescent="0.25">
      <c r="A48" s="46"/>
      <c r="B48" s="47"/>
      <c r="C48" s="8" t="s">
        <v>529</v>
      </c>
      <c r="E48" s="45"/>
    </row>
    <row r="85" spans="3:5" x14ac:dyDescent="0.2">
      <c r="C85" s="3"/>
      <c r="D85" s="3"/>
      <c r="E85" s="3"/>
    </row>
    <row r="108" spans="3:5" x14ac:dyDescent="0.2">
      <c r="C108" s="3"/>
      <c r="D108" s="3"/>
      <c r="E108" s="3"/>
    </row>
    <row r="233" spans="3:5" x14ac:dyDescent="0.2">
      <c r="C233" s="3"/>
      <c r="D233" s="3"/>
      <c r="E233" s="3"/>
    </row>
    <row r="234" spans="3:5" x14ac:dyDescent="0.2">
      <c r="C234" s="3"/>
      <c r="D234" s="3"/>
      <c r="E234" s="3"/>
    </row>
    <row r="263" spans="3:5" x14ac:dyDescent="0.2">
      <c r="C263" s="3"/>
      <c r="D263" s="3"/>
      <c r="E263" s="3"/>
    </row>
    <row r="272" spans="3:5" x14ac:dyDescent="0.2">
      <c r="C272" s="3"/>
      <c r="D272" s="3"/>
      <c r="E272" s="3"/>
    </row>
    <row r="285" spans="3:5" x14ac:dyDescent="0.2">
      <c r="C285" s="3"/>
      <c r="D285" s="3"/>
      <c r="E285" s="3"/>
    </row>
    <row r="290" spans="3:5" x14ac:dyDescent="0.2">
      <c r="C290" s="3"/>
      <c r="D290" s="3"/>
      <c r="E290" s="3"/>
    </row>
    <row r="307" spans="1:5" x14ac:dyDescent="0.2">
      <c r="B307" s="6"/>
      <c r="C307" s="7"/>
      <c r="D307" s="7"/>
      <c r="E307" s="7"/>
    </row>
    <row r="308" spans="1:5" x14ac:dyDescent="0.2">
      <c r="B308" s="6"/>
      <c r="C308" s="7"/>
      <c r="D308" s="7"/>
      <c r="E308" s="7"/>
    </row>
    <row r="309" spans="1:5" x14ac:dyDescent="0.2">
      <c r="B309" s="6"/>
      <c r="C309" s="7"/>
      <c r="D309" s="7"/>
      <c r="E309" s="7"/>
    </row>
    <row r="310" spans="1:5" x14ac:dyDescent="0.2">
      <c r="A310" s="4"/>
      <c r="B310" s="6"/>
      <c r="C310" s="7"/>
      <c r="D310" s="7"/>
      <c r="E310" s="7"/>
    </row>
    <row r="311" spans="1:5" x14ac:dyDescent="0.2">
      <c r="A311" s="4"/>
    </row>
    <row r="312" spans="1:5" x14ac:dyDescent="0.2">
      <c r="A312" s="4"/>
    </row>
    <row r="313" spans="1:5" x14ac:dyDescent="0.2">
      <c r="A313" s="4"/>
    </row>
    <row r="315" spans="1:5" x14ac:dyDescent="0.2">
      <c r="C315" s="3"/>
      <c r="D315" s="3"/>
      <c r="E315" s="3"/>
    </row>
    <row r="331" spans="3:5" x14ac:dyDescent="0.2">
      <c r="C331" s="3"/>
      <c r="D331" s="3"/>
      <c r="E331" s="3"/>
    </row>
    <row r="343" spans="3:5" x14ac:dyDescent="0.2">
      <c r="C343" s="3"/>
      <c r="D343" s="3"/>
      <c r="E343" s="3"/>
    </row>
    <row r="449" spans="3:5" x14ac:dyDescent="0.2">
      <c r="C449" s="3"/>
      <c r="D449" s="3"/>
      <c r="E449" s="3"/>
    </row>
    <row r="463" spans="3:5" x14ac:dyDescent="0.2">
      <c r="C463" s="3"/>
      <c r="D463" s="3"/>
      <c r="E463" s="3"/>
    </row>
    <row r="476" spans="3:5" x14ac:dyDescent="0.2">
      <c r="C476" s="3"/>
      <c r="D476" s="3"/>
      <c r="E476" s="3"/>
    </row>
    <row r="504" spans="3:5" x14ac:dyDescent="0.2">
      <c r="C504" s="3"/>
      <c r="D504" s="3"/>
      <c r="E504" s="3"/>
    </row>
    <row r="609" spans="3:5" x14ac:dyDescent="0.2">
      <c r="C609" s="3"/>
      <c r="D609" s="3"/>
      <c r="E609" s="3"/>
    </row>
    <row r="619" spans="3:5" x14ac:dyDescent="0.2">
      <c r="C619" s="3"/>
      <c r="D619" s="3"/>
      <c r="E619" s="3"/>
    </row>
    <row r="631" spans="3:5" x14ac:dyDescent="0.2">
      <c r="C631" s="3"/>
      <c r="D631" s="3"/>
      <c r="E631" s="3"/>
    </row>
    <row r="645" spans="3:5" x14ac:dyDescent="0.2">
      <c r="C645" s="3"/>
      <c r="D645" s="3"/>
      <c r="E645" s="3"/>
    </row>
    <row r="755" spans="3:5" x14ac:dyDescent="0.2">
      <c r="C755" s="3"/>
      <c r="D755" s="3"/>
      <c r="E755" s="3"/>
    </row>
    <row r="760" spans="3:5" x14ac:dyDescent="0.2">
      <c r="C760" s="3"/>
      <c r="D760" s="3"/>
      <c r="E760" s="3"/>
    </row>
    <row r="761" spans="3:5" x14ac:dyDescent="0.2">
      <c r="C761" s="3"/>
      <c r="D761" s="3"/>
      <c r="E761" s="3"/>
    </row>
    <row r="762" spans="3:5" x14ac:dyDescent="0.2">
      <c r="C762" s="3"/>
      <c r="D762" s="3"/>
      <c r="E762" s="3"/>
    </row>
    <row r="765" spans="3:5" x14ac:dyDescent="0.2">
      <c r="C765" s="3"/>
      <c r="D765" s="3"/>
      <c r="E765" s="3"/>
    </row>
    <row r="775" spans="3:5" x14ac:dyDescent="0.2">
      <c r="C775" s="3"/>
      <c r="D775" s="3"/>
      <c r="E775" s="3"/>
    </row>
    <row r="811" spans="3:5" x14ac:dyDescent="0.2">
      <c r="C811" s="3"/>
      <c r="D811" s="3"/>
      <c r="E811" s="3"/>
    </row>
    <row r="925" spans="3:5" x14ac:dyDescent="0.2">
      <c r="C925" s="3"/>
      <c r="D925" s="3"/>
      <c r="E925" s="3"/>
    </row>
    <row r="934" spans="3:5" x14ac:dyDescent="0.2">
      <c r="C934" s="3"/>
      <c r="D934" s="3"/>
      <c r="E934" s="3"/>
    </row>
    <row r="938" spans="3:5" x14ac:dyDescent="0.2">
      <c r="C938" s="3"/>
      <c r="D938" s="3"/>
      <c r="E938" s="3"/>
    </row>
    <row r="939" spans="3:5" x14ac:dyDescent="0.2">
      <c r="C939" s="3"/>
      <c r="D939" s="3"/>
      <c r="E939" s="3"/>
    </row>
    <row r="940" spans="3:5" x14ac:dyDescent="0.2">
      <c r="C940" s="3"/>
      <c r="D940" s="3"/>
      <c r="E940" s="3"/>
    </row>
    <row r="941" spans="3:5" x14ac:dyDescent="0.2">
      <c r="C941" s="3"/>
      <c r="D941" s="3"/>
      <c r="E941" s="3"/>
    </row>
    <row r="942" spans="3:5" x14ac:dyDescent="0.2">
      <c r="C942" s="3"/>
      <c r="D942" s="3"/>
      <c r="E942" s="3"/>
    </row>
    <row r="952" spans="3:5" x14ac:dyDescent="0.2">
      <c r="C952" s="3"/>
      <c r="D952" s="3"/>
      <c r="E952" s="3"/>
    </row>
  </sheetData>
  <mergeCells count="1">
    <mergeCell ref="A1:E1"/>
  </mergeCells>
  <pageMargins left="1.2204724409448819" right="0.23622047244094491" top="0.55118110236220474" bottom="0.47244094488188981" header="0.23622047244094491" footer="0.3543307086614173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F1094"/>
  <sheetViews>
    <sheetView view="pageBreakPreview" topLeftCell="A48" zoomScale="134" zoomScaleNormal="170" zoomScaleSheetLayoutView="120" zoomScalePageLayoutView="170" workbookViewId="0">
      <selection activeCell="D57" sqref="D57"/>
    </sheetView>
  </sheetViews>
  <sheetFormatPr defaultColWidth="8.85546875" defaultRowHeight="12.75" x14ac:dyDescent="0.2"/>
  <cols>
    <col min="1" max="1" width="15" style="394" customWidth="1"/>
    <col min="2" max="2" width="42.7109375" style="442" customWidth="1"/>
    <col min="3" max="3" width="19.85546875" style="393" customWidth="1"/>
    <col min="4" max="4" width="20.7109375" style="393" customWidth="1"/>
    <col min="5" max="5" width="19.85546875" style="393" customWidth="1"/>
    <col min="6" max="6" width="17.140625" style="443" customWidth="1"/>
    <col min="7" max="16384" width="8.85546875" style="443"/>
  </cols>
  <sheetData>
    <row r="1" spans="1:6" s="422" customFormat="1" ht="21.95" customHeight="1" x14ac:dyDescent="0.25">
      <c r="A1" s="533" t="s">
        <v>225</v>
      </c>
      <c r="B1" s="533"/>
      <c r="C1" s="533"/>
      <c r="D1" s="533"/>
      <c r="E1" s="533"/>
    </row>
    <row r="2" spans="1:6" s="422" customFormat="1" ht="10.5" customHeight="1" x14ac:dyDescent="0.25">
      <c r="A2" s="423"/>
      <c r="B2" s="423"/>
      <c r="C2" s="463"/>
      <c r="D2" s="423"/>
      <c r="E2" s="423"/>
    </row>
    <row r="3" spans="1:6" s="425" customFormat="1" ht="47.25" x14ac:dyDescent="0.25">
      <c r="A3" s="424" t="s">
        <v>22</v>
      </c>
      <c r="B3" s="424" t="s">
        <v>23</v>
      </c>
      <c r="C3" s="498" t="s">
        <v>618</v>
      </c>
      <c r="D3" s="498" t="s">
        <v>638</v>
      </c>
      <c r="E3" s="498" t="s">
        <v>637</v>
      </c>
    </row>
    <row r="4" spans="1:6" s="422" customFormat="1" ht="23.1" customHeight="1" x14ac:dyDescent="0.25">
      <c r="A4" s="426" t="s">
        <v>24</v>
      </c>
      <c r="B4" s="427" t="s">
        <v>25</v>
      </c>
      <c r="C4" s="428">
        <f>'Detailed Revenue'!E39+'Detailed Revenue'!E54+'Detailed Revenue'!E71+'Detailed Revenue'!E419+'Detailed Revenue'!E643</f>
        <v>15674898757</v>
      </c>
      <c r="D4" s="428">
        <f>'Detailed Revenue'!F39+'Detailed Revenue'!F54+'Detailed Revenue'!F71+'Detailed Revenue'!F419+'Detailed Revenue'!F643</f>
        <v>4606643836.3700008</v>
      </c>
      <c r="E4" s="428">
        <f>'Detailed Revenue'!G39+'Detailed Revenue'!G54+'Detailed Revenue'!G71+'Detailed Revenue'!G419+'Detailed Revenue'!G643</f>
        <v>8547413358</v>
      </c>
    </row>
    <row r="5" spans="1:6" s="422" customFormat="1" ht="23.1" customHeight="1" x14ac:dyDescent="0.25">
      <c r="A5" s="426" t="s">
        <v>26</v>
      </c>
      <c r="B5" s="429" t="s">
        <v>350</v>
      </c>
      <c r="C5" s="428">
        <f>'Detailed Revenue'!E42+'Detailed Revenue'!E126+'Detailed Revenue'!E359+'Detailed Revenue'!E509</f>
        <v>247250000</v>
      </c>
      <c r="D5" s="428">
        <f>'Detailed Revenue'!F42+'Detailed Revenue'!F126+'Detailed Revenue'!F359+'Detailed Revenue'!F509</f>
        <v>5327600</v>
      </c>
      <c r="E5" s="428">
        <f>'Detailed Revenue'!G42+'Detailed Revenue'!G126+'Detailed Revenue'!G359+'Detailed Revenue'!G509</f>
        <v>160840000</v>
      </c>
    </row>
    <row r="6" spans="1:6" s="422" customFormat="1" ht="23.1" customHeight="1" x14ac:dyDescent="0.25">
      <c r="A6" s="426" t="s">
        <v>27</v>
      </c>
      <c r="B6" s="429" t="s">
        <v>28</v>
      </c>
      <c r="C6" s="428">
        <f>'Detailed Revenue'!E59+'Detailed Revenue'!E129+'Detailed Revenue'!E411</f>
        <v>79050000</v>
      </c>
      <c r="D6" s="428">
        <f>'Detailed Revenue'!F59+'Detailed Revenue'!F129+'Detailed Revenue'!F411</f>
        <v>1963000</v>
      </c>
      <c r="E6" s="428">
        <f>'Detailed Revenue'!G59+'Detailed Revenue'!G129+'Detailed Revenue'!G411</f>
        <v>27250000</v>
      </c>
      <c r="F6" s="464"/>
    </row>
    <row r="7" spans="1:6" s="422" customFormat="1" ht="23.1" customHeight="1" x14ac:dyDescent="0.25">
      <c r="A7" s="426" t="s">
        <v>29</v>
      </c>
      <c r="B7" s="429" t="s">
        <v>300</v>
      </c>
      <c r="C7" s="428">
        <f>'Detailed Revenue'!E62+'Detailed Revenue'!E213+'Detailed Revenue'!E365+'Detailed Revenue'!E505+'Detailed Revenue'!F605</f>
        <v>6250000</v>
      </c>
      <c r="D7" s="428">
        <f>'Detailed Revenue'!F62+'Detailed Revenue'!F213+'Detailed Revenue'!F365+'Detailed Revenue'!F505+'Detailed Revenue'!G605</f>
        <v>1223400</v>
      </c>
      <c r="E7" s="428">
        <f>'Detailed Revenue'!G62+'Detailed Revenue'!G213+'Detailed Revenue'!G365+'Detailed Revenue'!G505+'Detailed Revenue'!H605</f>
        <v>2600000</v>
      </c>
      <c r="F7" s="464"/>
    </row>
    <row r="8" spans="1:6" s="422" customFormat="1" ht="23.1" customHeight="1" x14ac:dyDescent="0.25">
      <c r="A8" s="426" t="s">
        <v>30</v>
      </c>
      <c r="B8" s="429" t="s">
        <v>31</v>
      </c>
      <c r="C8" s="428">
        <f>'Detailed Revenue'!E107+'Detailed Revenue'!E347+'Detailed Revenue'!E625</f>
        <v>9700000</v>
      </c>
      <c r="D8" s="428">
        <f>'Detailed Revenue'!F107+'Detailed Revenue'!F347+'Detailed Revenue'!F625</f>
        <v>392000</v>
      </c>
      <c r="E8" s="428">
        <f>'Detailed Revenue'!G107+'Detailed Revenue'!G347+'Detailed Revenue'!G625</f>
        <v>3680000</v>
      </c>
    </row>
    <row r="9" spans="1:6" s="422" customFormat="1" ht="36" customHeight="1" x14ac:dyDescent="0.25">
      <c r="A9" s="426" t="s">
        <v>32</v>
      </c>
      <c r="B9" s="429" t="s">
        <v>33</v>
      </c>
      <c r="C9" s="428">
        <f>'Detailed Revenue'!E65+'Detailed Revenue'!E142</f>
        <v>20000</v>
      </c>
      <c r="D9" s="428">
        <f>'Detailed Revenue'!F65+'Detailed Revenue'!F142</f>
        <v>0</v>
      </c>
      <c r="E9" s="428">
        <f>'Detailed Revenue'!G65+'Detailed Revenue'!G142</f>
        <v>4000</v>
      </c>
    </row>
    <row r="10" spans="1:6" s="422" customFormat="1" ht="23.1" customHeight="1" x14ac:dyDescent="0.25">
      <c r="A10" s="426" t="s">
        <v>34</v>
      </c>
      <c r="B10" s="500" t="s">
        <v>623</v>
      </c>
      <c r="C10" s="428">
        <f>'Detailed Revenue'!E86+'Detailed Revenue'!E389+'Detailed Revenue'!E629</f>
        <v>1743700000</v>
      </c>
      <c r="D10" s="428">
        <f>'Detailed Revenue'!F86+'Detailed Revenue'!F389+'Detailed Revenue'!F629</f>
        <v>264935575.82622093</v>
      </c>
      <c r="E10" s="428">
        <f>'Detailed Revenue'!G86+'Detailed Revenue'!G389+'Detailed Revenue'!G629</f>
        <v>669300000</v>
      </c>
    </row>
    <row r="11" spans="1:6" s="422" customFormat="1" ht="23.1" customHeight="1" x14ac:dyDescent="0.25">
      <c r="A11" s="426" t="s">
        <v>35</v>
      </c>
      <c r="B11" s="429" t="s">
        <v>36</v>
      </c>
      <c r="C11" s="428">
        <f>'Detailed Revenue'!E91+'Detailed Revenue'!E343</f>
        <v>69000000</v>
      </c>
      <c r="D11" s="428">
        <f>'Detailed Revenue'!F91+'Detailed Revenue'!F343</f>
        <v>11436280</v>
      </c>
      <c r="E11" s="428">
        <f>'Detailed Revenue'!G91+'Detailed Revenue'!G343</f>
        <v>29000000</v>
      </c>
    </row>
    <row r="12" spans="1:6" s="422" customFormat="1" ht="23.1" customHeight="1" x14ac:dyDescent="0.25">
      <c r="A12" s="426" t="s">
        <v>37</v>
      </c>
      <c r="B12" s="429" t="s">
        <v>38</v>
      </c>
      <c r="C12" s="428">
        <f>'Detailed Revenue'!E95</f>
        <v>800000</v>
      </c>
      <c r="D12" s="428">
        <f>'Detailed Revenue'!F95</f>
        <v>51000</v>
      </c>
      <c r="E12" s="428">
        <f>'Detailed Revenue'!G95</f>
        <v>400000</v>
      </c>
    </row>
    <row r="13" spans="1:6" s="422" customFormat="1" ht="23.1" customHeight="1" x14ac:dyDescent="0.25">
      <c r="A13" s="426" t="s">
        <v>39</v>
      </c>
      <c r="B13" s="429" t="s">
        <v>40</v>
      </c>
      <c r="C13" s="428">
        <f>'Detailed Revenue'!E98</f>
        <v>200000</v>
      </c>
      <c r="D13" s="428">
        <f>'Detailed Revenue'!F98</f>
        <v>47150</v>
      </c>
      <c r="E13" s="428">
        <f>'Detailed Revenue'!G98</f>
        <v>80000</v>
      </c>
    </row>
    <row r="14" spans="1:6" s="422" customFormat="1" ht="23.1" customHeight="1" x14ac:dyDescent="0.25">
      <c r="A14" s="426" t="s">
        <v>41</v>
      </c>
      <c r="B14" s="429" t="s">
        <v>567</v>
      </c>
      <c r="C14" s="428">
        <f>'Detailed Revenue'!E103+'Detailed Revenue'!E496+'Detailed Revenue'!E514+'Detailed Revenue'!E638+'Detailed Revenue'!E647</f>
        <v>947600000</v>
      </c>
      <c r="D14" s="428">
        <f>'Detailed Revenue'!F103+'Detailed Revenue'!F496+'Detailed Revenue'!F514+'Detailed Revenue'!F638+'Detailed Revenue'!F647</f>
        <v>13309964.77</v>
      </c>
      <c r="E14" s="428">
        <f>'Detailed Revenue'!G103+'Detailed Revenue'!G496+'Detailed Revenue'!G514+'Detailed Revenue'!G638+'Detailed Revenue'!G647</f>
        <v>76700000</v>
      </c>
    </row>
    <row r="15" spans="1:6" s="422" customFormat="1" ht="23.1" customHeight="1" x14ac:dyDescent="0.25">
      <c r="A15" s="426" t="s">
        <v>42</v>
      </c>
      <c r="B15" s="429" t="s">
        <v>523</v>
      </c>
      <c r="C15" s="428">
        <f>'Detailed Revenue'!E113+'Detailed Revenue'!E341+'Detailed Revenue'!E591</f>
        <v>275750000</v>
      </c>
      <c r="D15" s="428">
        <f>'Detailed Revenue'!F113+'Detailed Revenue'!F341+'Detailed Revenue'!F591</f>
        <v>52281544.039999999</v>
      </c>
      <c r="E15" s="428">
        <f>'Detailed Revenue'!G113+'Detailed Revenue'!G341+'Detailed Revenue'!G591</f>
        <v>102200000</v>
      </c>
    </row>
    <row r="16" spans="1:6" s="422" customFormat="1" ht="23.1" customHeight="1" x14ac:dyDescent="0.25">
      <c r="A16" s="426" t="s">
        <v>366</v>
      </c>
      <c r="B16" s="429" t="s">
        <v>367</v>
      </c>
      <c r="C16" s="428">
        <f>'Detailed Revenue'!E120+'Detailed Revenue'!E341</f>
        <v>9000000</v>
      </c>
      <c r="D16" s="428">
        <f>'Detailed Revenue'!F120+'Detailed Revenue'!F341</f>
        <v>0</v>
      </c>
      <c r="E16" s="428">
        <f>'Detailed Revenue'!G120+'Detailed Revenue'!G341</f>
        <v>3600000</v>
      </c>
    </row>
    <row r="17" spans="1:6" s="422" customFormat="1" ht="23.1" customHeight="1" x14ac:dyDescent="0.25">
      <c r="A17" s="431">
        <v>52100100100</v>
      </c>
      <c r="B17" s="427" t="s">
        <v>226</v>
      </c>
      <c r="C17" s="428">
        <f>'Detailed Revenue'!E133+'Detailed Revenue'!E413</f>
        <v>29000000</v>
      </c>
      <c r="D17" s="428">
        <f>'Detailed Revenue'!F133+'Detailed Revenue'!F413</f>
        <v>0</v>
      </c>
      <c r="E17" s="428">
        <f>'Detailed Revenue'!G133+'Detailed Revenue'!G413</f>
        <v>11600000</v>
      </c>
    </row>
    <row r="18" spans="1:6" s="422" customFormat="1" ht="23.1" customHeight="1" x14ac:dyDescent="0.25">
      <c r="A18" s="431">
        <v>52100100100</v>
      </c>
      <c r="B18" s="427" t="s">
        <v>229</v>
      </c>
      <c r="C18" s="428">
        <f>'Detailed Revenue'!E417+'Detailed Revenue'!E139</f>
        <v>16700000</v>
      </c>
      <c r="D18" s="428">
        <f>'Detailed Revenue'!F417+'Detailed Revenue'!F139</f>
        <v>3130000</v>
      </c>
      <c r="E18" s="428">
        <f>'Detailed Revenue'!G417+'Detailed Revenue'!G139</f>
        <v>6680000</v>
      </c>
      <c r="F18" s="464"/>
    </row>
    <row r="19" spans="1:6" s="422" customFormat="1" ht="23.1" customHeight="1" x14ac:dyDescent="0.25">
      <c r="A19" s="426" t="s">
        <v>43</v>
      </c>
      <c r="B19" s="429" t="s">
        <v>400</v>
      </c>
      <c r="C19" s="428">
        <f>'Detailed Revenue'!E148+'Detailed Revenue'!E253+'Detailed Revenue'!E615</f>
        <v>2320000</v>
      </c>
      <c r="D19" s="428">
        <f>'Detailed Revenue'!F148+'Detailed Revenue'!F253+'Detailed Revenue'!F615</f>
        <v>0</v>
      </c>
      <c r="E19" s="428">
        <f>'Detailed Revenue'!G148+'Detailed Revenue'!G253+'Detailed Revenue'!G615</f>
        <v>478000</v>
      </c>
    </row>
    <row r="20" spans="1:6" s="422" customFormat="1" ht="36" customHeight="1" x14ac:dyDescent="0.25">
      <c r="A20" s="426" t="s">
        <v>44</v>
      </c>
      <c r="B20" s="429" t="s">
        <v>45</v>
      </c>
      <c r="C20" s="428">
        <f>'Detailed Revenue'!E172+'Detailed Revenue'!E367</f>
        <v>234620000</v>
      </c>
      <c r="D20" s="428">
        <f>'Detailed Revenue'!F172+'Detailed Revenue'!F367</f>
        <v>46227800</v>
      </c>
      <c r="E20" s="428">
        <f>'Detailed Revenue'!G172+'Detailed Revenue'!G367</f>
        <v>88114000</v>
      </c>
    </row>
    <row r="21" spans="1:6" s="422" customFormat="1" ht="37.5" customHeight="1" x14ac:dyDescent="0.25">
      <c r="A21" s="426"/>
      <c r="B21" s="429"/>
      <c r="C21" s="155" t="s">
        <v>530</v>
      </c>
      <c r="E21" s="428"/>
    </row>
    <row r="22" spans="1:6" s="425" customFormat="1" ht="38.25" x14ac:dyDescent="0.25">
      <c r="A22" s="505" t="s">
        <v>22</v>
      </c>
      <c r="B22" s="505" t="s">
        <v>23</v>
      </c>
      <c r="C22" s="501" t="s">
        <v>618</v>
      </c>
      <c r="D22" s="501" t="s">
        <v>638</v>
      </c>
      <c r="E22" s="501" t="s">
        <v>637</v>
      </c>
    </row>
    <row r="23" spans="1:6" s="422" customFormat="1" ht="23.1" customHeight="1" x14ac:dyDescent="0.25">
      <c r="A23" s="426" t="s">
        <v>46</v>
      </c>
      <c r="B23" s="429" t="s">
        <v>47</v>
      </c>
      <c r="C23" s="428">
        <f>'Detailed Revenue'!E188+'Detailed Revenue'!E350+'Detailed Revenue'!E423+'Detailed Revenue'!E558</f>
        <v>524210000</v>
      </c>
      <c r="D23" s="428">
        <f>'Detailed Revenue'!F188+'Detailed Revenue'!F350+'Detailed Revenue'!F423+'Detailed Revenue'!F558</f>
        <v>18996858.829999998</v>
      </c>
      <c r="E23" s="428">
        <f>'Detailed Revenue'!G188+'Detailed Revenue'!G350+'Detailed Revenue'!G423+'Detailed Revenue'!G558</f>
        <v>68244000</v>
      </c>
    </row>
    <row r="24" spans="1:6" s="422" customFormat="1" ht="36" customHeight="1" x14ac:dyDescent="0.25">
      <c r="A24" s="426" t="s">
        <v>48</v>
      </c>
      <c r="B24" s="429" t="s">
        <v>49</v>
      </c>
      <c r="C24" s="428">
        <f>'Detailed Revenue'!E195+'Detailed Revenue'!E511</f>
        <v>5800000</v>
      </c>
      <c r="D24" s="428">
        <f>'Detailed Revenue'!F195+'Detailed Revenue'!F511</f>
        <v>0</v>
      </c>
      <c r="E24" s="428">
        <f>'Detailed Revenue'!G195+'Detailed Revenue'!G511</f>
        <v>1620000</v>
      </c>
    </row>
    <row r="25" spans="1:6" s="422" customFormat="1" ht="23.1" customHeight="1" x14ac:dyDescent="0.25">
      <c r="A25" s="426" t="s">
        <v>50</v>
      </c>
      <c r="B25" s="429" t="s">
        <v>608</v>
      </c>
      <c r="C25" s="428">
        <f>'Detailed Revenue'!E201+'Detailed Revenue'!E460</f>
        <v>13100000</v>
      </c>
      <c r="D25" s="428">
        <f>'Detailed Revenue'!F201+'Detailed Revenue'!F460</f>
        <v>45260676.5</v>
      </c>
      <c r="E25" s="428">
        <f>'Detailed Revenue'!G201+'Detailed Revenue'!G460</f>
        <v>21200000</v>
      </c>
    </row>
    <row r="26" spans="1:6" s="422" customFormat="1" ht="23.1" customHeight="1" x14ac:dyDescent="0.25">
      <c r="A26" s="426" t="s">
        <v>51</v>
      </c>
      <c r="B26" s="429" t="s">
        <v>524</v>
      </c>
      <c r="C26" s="428">
        <f>'Detailed Revenue'!E206</f>
        <v>300000</v>
      </c>
      <c r="D26" s="428">
        <f>'Detailed Revenue'!F206</f>
        <v>75000</v>
      </c>
      <c r="E26" s="428">
        <f>'Detailed Revenue'!G206</f>
        <v>120000</v>
      </c>
    </row>
    <row r="27" spans="1:6" s="422" customFormat="1" ht="36" customHeight="1" x14ac:dyDescent="0.25">
      <c r="A27" s="426" t="s">
        <v>52</v>
      </c>
      <c r="B27" s="429" t="s">
        <v>329</v>
      </c>
      <c r="C27" s="428">
        <f>'Detailed Revenue'!E210</f>
        <v>650000</v>
      </c>
      <c r="D27" s="428">
        <f>'Detailed Revenue'!F210</f>
        <v>80000</v>
      </c>
      <c r="E27" s="428">
        <f>'Detailed Revenue'!G210</f>
        <v>260000</v>
      </c>
    </row>
    <row r="28" spans="1:6" s="422" customFormat="1" ht="23.1" customHeight="1" x14ac:dyDescent="0.25">
      <c r="A28" s="426" t="s">
        <v>54</v>
      </c>
      <c r="B28" s="429" t="s">
        <v>55</v>
      </c>
      <c r="C28" s="428">
        <f>'Detailed Revenue'!E217+'Detailed Revenue'!E457</f>
        <v>131000000</v>
      </c>
      <c r="D28" s="428">
        <f>'Detailed Revenue'!F217+'Detailed Revenue'!F457</f>
        <v>58907901.260000005</v>
      </c>
      <c r="E28" s="428">
        <f>'Detailed Revenue'!G217+'Detailed Revenue'!G457</f>
        <v>108400000</v>
      </c>
    </row>
    <row r="29" spans="1:6" s="422" customFormat="1" ht="36" customHeight="1" x14ac:dyDescent="0.25">
      <c r="A29" s="426" t="s">
        <v>56</v>
      </c>
      <c r="B29" s="429" t="s">
        <v>401</v>
      </c>
      <c r="C29" s="428">
        <f>'Detailed Revenue'!E221+'Detailed Revenue'!E469+'Detailed Revenue'!E550</f>
        <v>100000</v>
      </c>
      <c r="D29" s="428">
        <f>'Detailed Revenue'!F221+'Detailed Revenue'!F469+'Detailed Revenue'!F550</f>
        <v>160000</v>
      </c>
      <c r="E29" s="428">
        <f>'Detailed Revenue'!G221+'Detailed Revenue'!G469+'Detailed Revenue'!G550</f>
        <v>340000</v>
      </c>
      <c r="F29" s="464"/>
    </row>
    <row r="30" spans="1:6" s="422" customFormat="1" ht="23.1" customHeight="1" x14ac:dyDescent="0.25">
      <c r="A30" s="426" t="s">
        <v>57</v>
      </c>
      <c r="B30" s="429" t="s">
        <v>58</v>
      </c>
      <c r="C30" s="428">
        <f>'Detailed Revenue'!E229+'Detailed Revenue'!E435+'Detailed Revenue'!E518+'Detailed Revenue'!E611</f>
        <v>50570000</v>
      </c>
      <c r="D30" s="428">
        <f>'Detailed Revenue'!F229+'Detailed Revenue'!F435+'Detailed Revenue'!F518+'Detailed Revenue'!F611</f>
        <v>7456900</v>
      </c>
      <c r="E30" s="428">
        <f>'Detailed Revenue'!G229+'Detailed Revenue'!G435+'Detailed Revenue'!G518+'Detailed Revenue'!G611</f>
        <v>15544000</v>
      </c>
    </row>
    <row r="31" spans="1:6" s="422" customFormat="1" ht="22.5" customHeight="1" x14ac:dyDescent="0.25">
      <c r="A31" s="426" t="s">
        <v>59</v>
      </c>
      <c r="B31" s="429" t="s">
        <v>60</v>
      </c>
      <c r="C31" s="428">
        <f>'Detailed Revenue'!E235+'Detailed Revenue'!E442+'Detailed Revenue'!E542</f>
        <v>358550000</v>
      </c>
      <c r="D31" s="428">
        <f>'Detailed Revenue'!F235+'Detailed Revenue'!F442+'Detailed Revenue'!F542</f>
        <v>142953179</v>
      </c>
      <c r="E31" s="428">
        <f>'Detailed Revenue'!G235+'Detailed Revenue'!G442+'Detailed Revenue'!G542</f>
        <v>213620000</v>
      </c>
    </row>
    <row r="32" spans="1:6" s="422" customFormat="1" ht="21.75" customHeight="1" x14ac:dyDescent="0.25">
      <c r="A32" s="426" t="s">
        <v>61</v>
      </c>
      <c r="B32" s="430" t="s">
        <v>402</v>
      </c>
      <c r="C32" s="428">
        <f>'Detailed Revenue'!E240+'Detailed Revenue'!E447</f>
        <v>25600000</v>
      </c>
      <c r="D32" s="428">
        <f>'Detailed Revenue'!F240+'Detailed Revenue'!F447</f>
        <v>19455850.010000002</v>
      </c>
      <c r="E32" s="428">
        <f>'Detailed Revenue'!G240+'Detailed Revenue'!G447</f>
        <v>18010000</v>
      </c>
    </row>
    <row r="33" spans="1:6" s="422" customFormat="1" ht="36" customHeight="1" x14ac:dyDescent="0.25">
      <c r="A33" s="426" t="s">
        <v>62</v>
      </c>
      <c r="B33" s="429" t="s">
        <v>63</v>
      </c>
      <c r="C33" s="428">
        <f>'Detailed Revenue'!E243</f>
        <v>5000000</v>
      </c>
      <c r="D33" s="428">
        <f>'Detailed Revenue'!F243</f>
        <v>0</v>
      </c>
      <c r="E33" s="428">
        <f>'Detailed Revenue'!G243</f>
        <v>2000000</v>
      </c>
    </row>
    <row r="34" spans="1:6" s="422" customFormat="1" ht="36" customHeight="1" x14ac:dyDescent="0.25">
      <c r="A34" s="426" t="s">
        <v>90</v>
      </c>
      <c r="B34" s="429" t="s">
        <v>91</v>
      </c>
      <c r="C34" s="428">
        <f>'Detailed Revenue'!E250+'Detailed Revenue'!E466+'Detailed Revenue'!E619</f>
        <v>3550000</v>
      </c>
      <c r="D34" s="428">
        <f>'Detailed Revenue'!F250+'Detailed Revenue'!F466+'Detailed Revenue'!F619</f>
        <v>241800</v>
      </c>
      <c r="E34" s="428">
        <f>'Detailed Revenue'!G250+'Detailed Revenue'!G466+'Detailed Revenue'!G619</f>
        <v>1420000</v>
      </c>
    </row>
    <row r="35" spans="1:6" s="422" customFormat="1" ht="27.75" customHeight="1" x14ac:dyDescent="0.25">
      <c r="A35" s="432" t="s">
        <v>414</v>
      </c>
      <c r="B35" s="431" t="s">
        <v>643</v>
      </c>
      <c r="C35" s="428">
        <f>'Detailed Revenue'!E259+'Detailed Revenue'!E476+'Detailed Revenue'!E569</f>
        <v>63095000</v>
      </c>
      <c r="D35" s="428">
        <f>'Detailed Revenue'!F259+'Detailed Revenue'!F476+'Detailed Revenue'!F569</f>
        <v>35714199.130000003</v>
      </c>
      <c r="E35" s="428">
        <f>'Detailed Revenue'!G259+'Detailed Revenue'!G476+'Detailed Revenue'!G569</f>
        <v>26998000</v>
      </c>
    </row>
    <row r="36" spans="1:6" s="422" customFormat="1" ht="23.1" customHeight="1" x14ac:dyDescent="0.25">
      <c r="A36" s="432" t="s">
        <v>424</v>
      </c>
      <c r="B36" s="430" t="s">
        <v>425</v>
      </c>
      <c r="C36" s="428">
        <f>'Detailed Revenue'!E297+'Detailed Revenue'!E482+'Detailed Revenue'!E580</f>
        <v>554900000</v>
      </c>
      <c r="D36" s="428">
        <f>'Detailed Revenue'!F297+'Detailed Revenue'!F482+'Detailed Revenue'!F580</f>
        <v>82790756</v>
      </c>
      <c r="E36" s="428">
        <f>'Detailed Revenue'!G297+'Detailed Revenue'!G482+'Detailed Revenue'!G580</f>
        <v>242860000</v>
      </c>
    </row>
    <row r="37" spans="1:6" s="422" customFormat="1" ht="23.1" customHeight="1" x14ac:dyDescent="0.25">
      <c r="A37" s="432" t="s">
        <v>440</v>
      </c>
      <c r="B37" s="430" t="s">
        <v>441</v>
      </c>
      <c r="C37" s="428">
        <f>'Detailed Revenue'!E315+'Detailed Revenue'!E489+'Detailed Revenue'!E588+'Detailed Revenue'!E622+'Detailed Revenue'!E631</f>
        <v>600330000</v>
      </c>
      <c r="D37" s="428">
        <f>'Detailed Revenue'!F315+'Detailed Revenue'!F489+'Detailed Revenue'!F588+'Detailed Revenue'!F622+'Detailed Revenue'!F631</f>
        <v>267925135.11000004</v>
      </c>
      <c r="E37" s="428">
        <f>'Detailed Revenue'!G315+'Detailed Revenue'!G489+'Detailed Revenue'!G588+'Detailed Revenue'!G622+'Detailed Revenue'!G631</f>
        <v>229552000</v>
      </c>
    </row>
    <row r="38" spans="1:6" s="422" customFormat="1" ht="23.1" customHeight="1" x14ac:dyDescent="0.25">
      <c r="A38" s="432" t="s">
        <v>454</v>
      </c>
      <c r="B38" s="430" t="s">
        <v>455</v>
      </c>
      <c r="C38" s="428">
        <f>'Detailed Revenue'!E325+'Detailed Revenue'!E492+1150000+200000.55</f>
        <v>5889277602.6000004</v>
      </c>
      <c r="D38" s="428">
        <f>'Detailed Revenue'!F325+'Detailed Revenue'!F492</f>
        <v>625901392.06000006</v>
      </c>
      <c r="E38" s="428">
        <f>'Detailed Revenue'!G325+'Detailed Revenue'!G492</f>
        <v>2095171040.8199999</v>
      </c>
      <c r="F38" s="464"/>
    </row>
    <row r="39" spans="1:6" s="422" customFormat="1" ht="23.1" customHeight="1" x14ac:dyDescent="0.25">
      <c r="A39" s="433" t="s">
        <v>492</v>
      </c>
      <c r="B39" s="430" t="s">
        <v>493</v>
      </c>
      <c r="C39" s="428">
        <f>'Detailed Revenue'!E328</f>
        <v>300000000</v>
      </c>
      <c r="D39" s="428">
        <f>'Detailed Revenue'!F328</f>
        <v>4075860.01</v>
      </c>
      <c r="E39" s="428">
        <f>'Detailed Revenue'!G328</f>
        <v>8000000</v>
      </c>
    </row>
    <row r="40" spans="1:6" s="422" customFormat="1" ht="39.75" customHeight="1" x14ac:dyDescent="0.25">
      <c r="A40" s="426"/>
      <c r="B40" s="429"/>
      <c r="C40" s="155" t="s">
        <v>531</v>
      </c>
      <c r="D40" s="428"/>
      <c r="E40" s="428"/>
    </row>
    <row r="41" spans="1:6" s="425" customFormat="1" ht="38.25" x14ac:dyDescent="0.25">
      <c r="A41" s="505" t="s">
        <v>22</v>
      </c>
      <c r="B41" s="505" t="s">
        <v>23</v>
      </c>
      <c r="C41" s="501" t="s">
        <v>618</v>
      </c>
      <c r="D41" s="501" t="s">
        <v>638</v>
      </c>
      <c r="E41" s="501" t="s">
        <v>637</v>
      </c>
    </row>
    <row r="42" spans="1:6" s="422" customFormat="1" ht="36" customHeight="1" x14ac:dyDescent="0.25">
      <c r="A42" s="426" t="s">
        <v>64</v>
      </c>
      <c r="B42" s="429" t="s">
        <v>65</v>
      </c>
      <c r="C42" s="428">
        <f>'Detailed Revenue'!E334</f>
        <v>42000000</v>
      </c>
      <c r="D42" s="428">
        <f>'Detailed Revenue'!F334</f>
        <v>0</v>
      </c>
      <c r="E42" s="428">
        <f>'Detailed Revenue'!G334</f>
        <v>16800000</v>
      </c>
    </row>
    <row r="43" spans="1:6" s="422" customFormat="1" ht="23.1" customHeight="1" x14ac:dyDescent="0.25">
      <c r="A43" s="426" t="s">
        <v>66</v>
      </c>
      <c r="B43" s="429" t="s">
        <v>67</v>
      </c>
      <c r="C43" s="428">
        <f>'Detailed Revenue'!E370</f>
        <v>2000000</v>
      </c>
      <c r="D43" s="428">
        <f>'Detailed Revenue'!F370</f>
        <v>0</v>
      </c>
      <c r="E43" s="428">
        <f>'Detailed Revenue'!G370</f>
        <v>800000</v>
      </c>
    </row>
    <row r="44" spans="1:6" s="422" customFormat="1" ht="23.1" customHeight="1" x14ac:dyDescent="0.25">
      <c r="A44" s="426" t="s">
        <v>68</v>
      </c>
      <c r="B44" s="429" t="s">
        <v>69</v>
      </c>
      <c r="C44" s="428">
        <f>'Detailed Revenue'!E373</f>
        <v>50000</v>
      </c>
      <c r="D44" s="428">
        <f>'Detailed Revenue'!F373</f>
        <v>0</v>
      </c>
      <c r="E44" s="428">
        <f>'Detailed Revenue'!G373</f>
        <v>0</v>
      </c>
    </row>
    <row r="45" spans="1:6" s="422" customFormat="1" ht="23.1" customHeight="1" x14ac:dyDescent="0.25">
      <c r="A45" s="426" t="s">
        <v>70</v>
      </c>
      <c r="B45" s="429" t="s">
        <v>71</v>
      </c>
      <c r="C45" s="428">
        <f>'Detailed Revenue'!E393</f>
        <v>5250000</v>
      </c>
      <c r="D45" s="428">
        <f>'Detailed Revenue'!F393</f>
        <v>13500</v>
      </c>
      <c r="E45" s="428">
        <f>'Detailed Revenue'!G393</f>
        <v>2100000</v>
      </c>
    </row>
    <row r="46" spans="1:6" s="422" customFormat="1" ht="23.1" customHeight="1" x14ac:dyDescent="0.25">
      <c r="A46" s="426" t="s">
        <v>72</v>
      </c>
      <c r="B46" s="429" t="s">
        <v>73</v>
      </c>
      <c r="C46" s="428">
        <f>'Detailed Revenue'!E397</f>
        <v>350000</v>
      </c>
      <c r="D46" s="428">
        <f>'Detailed Revenue'!F397</f>
        <v>25000</v>
      </c>
      <c r="E46" s="428">
        <f>'Detailed Revenue'!G397</f>
        <v>140000</v>
      </c>
    </row>
    <row r="47" spans="1:6" s="422" customFormat="1" ht="23.1" customHeight="1" x14ac:dyDescent="0.25">
      <c r="A47" s="426" t="s">
        <v>74</v>
      </c>
      <c r="B47" s="429" t="s">
        <v>75</v>
      </c>
      <c r="C47" s="428">
        <f>'Detailed Revenue'!E400</f>
        <v>300000</v>
      </c>
      <c r="D47" s="428">
        <f>'Detailed Revenue'!F400</f>
        <v>34000</v>
      </c>
      <c r="E47" s="428">
        <f>'Detailed Revenue'!G400</f>
        <v>120000</v>
      </c>
    </row>
    <row r="48" spans="1:6" s="422" customFormat="1" ht="23.1" customHeight="1" x14ac:dyDescent="0.25">
      <c r="A48" s="426" t="s">
        <v>76</v>
      </c>
      <c r="B48" s="429" t="s">
        <v>77</v>
      </c>
      <c r="C48" s="428">
        <f>'Detailed Revenue'!E405</f>
        <v>1500000</v>
      </c>
      <c r="D48" s="428">
        <f>'Detailed Revenue'!F405</f>
        <v>6000</v>
      </c>
      <c r="E48" s="428">
        <f>'Detailed Revenue'!G405</f>
        <v>600000</v>
      </c>
    </row>
    <row r="49" spans="1:6" s="422" customFormat="1" ht="23.1" customHeight="1" x14ac:dyDescent="0.25">
      <c r="A49" s="426" t="s">
        <v>78</v>
      </c>
      <c r="B49" s="429" t="s">
        <v>79</v>
      </c>
      <c r="C49" s="428">
        <f>'Detailed Revenue'!E427</f>
        <v>200000</v>
      </c>
      <c r="D49" s="428">
        <f>'Detailed Revenue'!F427</f>
        <v>1000</v>
      </c>
      <c r="E49" s="428">
        <f>'Detailed Revenue'!G427</f>
        <v>10000</v>
      </c>
    </row>
    <row r="50" spans="1:6" s="422" customFormat="1" ht="29.25" customHeight="1" x14ac:dyDescent="0.25">
      <c r="A50" s="426" t="s">
        <v>80</v>
      </c>
      <c r="B50" s="429" t="s">
        <v>81</v>
      </c>
      <c r="C50" s="428">
        <f>'Detailed Revenue'!E430+'Detailed Revenue'!E600</f>
        <v>56000000</v>
      </c>
      <c r="D50" s="428">
        <f>'Detailed Revenue'!F430+'Detailed Revenue'!F600</f>
        <v>139800</v>
      </c>
      <c r="E50" s="428">
        <f>'Detailed Revenue'!G430+'Detailed Revenue'!G600</f>
        <v>7400000</v>
      </c>
      <c r="F50" s="464"/>
    </row>
    <row r="51" spans="1:6" s="422" customFormat="1" ht="23.1" customHeight="1" x14ac:dyDescent="0.25">
      <c r="A51" s="426" t="s">
        <v>82</v>
      </c>
      <c r="B51" s="429" t="s">
        <v>83</v>
      </c>
      <c r="C51" s="428">
        <f>'Detailed Revenue'!E438+'Detailed Revenue'!E528</f>
        <v>240000000</v>
      </c>
      <c r="D51" s="428">
        <f>'Detailed Revenue'!F438+'Detailed Revenue'!F528</f>
        <v>128345550.46000001</v>
      </c>
      <c r="E51" s="428">
        <f>'Detailed Revenue'!G438+'Detailed Revenue'!G528</f>
        <v>184500000</v>
      </c>
    </row>
    <row r="52" spans="1:6" s="422" customFormat="1" ht="23.1" customHeight="1" x14ac:dyDescent="0.25">
      <c r="A52" s="426" t="s">
        <v>84</v>
      </c>
      <c r="B52" s="429" t="s">
        <v>85</v>
      </c>
      <c r="C52" s="428">
        <f>'Detailed Revenue'!E449</f>
        <v>2000000</v>
      </c>
      <c r="D52" s="428">
        <f>'Detailed Revenue'!F449</f>
        <v>0</v>
      </c>
      <c r="E52" s="428">
        <f>'Detailed Revenue'!G449</f>
        <v>0</v>
      </c>
    </row>
    <row r="53" spans="1:6" s="422" customFormat="1" ht="23.1" customHeight="1" x14ac:dyDescent="0.25">
      <c r="A53" s="426" t="s">
        <v>248</v>
      </c>
      <c r="B53" s="427" t="s">
        <v>227</v>
      </c>
      <c r="C53" s="428">
        <f>'Detailed Revenue'!E452</f>
        <v>500000</v>
      </c>
      <c r="D53" s="428">
        <f>'Detailed Revenue'!F452</f>
        <v>0</v>
      </c>
      <c r="E53" s="428">
        <f>'Detailed Revenue'!G452</f>
        <v>0</v>
      </c>
    </row>
    <row r="54" spans="1:6" s="422" customFormat="1" ht="23.1" customHeight="1" x14ac:dyDescent="0.25">
      <c r="A54" s="426" t="s">
        <v>86</v>
      </c>
      <c r="B54" s="429" t="s">
        <v>87</v>
      </c>
      <c r="C54" s="428">
        <f>'Detailed Revenue'!E547</f>
        <v>10000000</v>
      </c>
      <c r="D54" s="428">
        <f>'Detailed Revenue'!F547</f>
        <v>4434000</v>
      </c>
      <c r="E54" s="428">
        <f>'Detailed Revenue'!G547</f>
        <v>6000000</v>
      </c>
    </row>
    <row r="55" spans="1:6" s="422" customFormat="1" ht="23.1" customHeight="1" x14ac:dyDescent="0.25">
      <c r="A55" s="426" t="s">
        <v>88</v>
      </c>
      <c r="B55" s="429" t="s">
        <v>89</v>
      </c>
      <c r="C55" s="428">
        <f>'Detailed Revenue'!E608</f>
        <v>30000000</v>
      </c>
      <c r="D55" s="428">
        <f>'Detailed Revenue'!F608</f>
        <v>8793670.9399999995</v>
      </c>
      <c r="E55" s="428">
        <f>'Detailed Revenue'!G608</f>
        <v>12000000</v>
      </c>
      <c r="F55" s="464"/>
    </row>
    <row r="56" spans="1:6" s="438" customFormat="1" ht="23.1" customHeight="1" x14ac:dyDescent="0.25">
      <c r="A56" s="434"/>
      <c r="B56" s="435" t="s">
        <v>92</v>
      </c>
      <c r="C56" s="436">
        <f>SUM(C4:C55)</f>
        <v>28262041359.599998</v>
      </c>
      <c r="D56" s="436">
        <f>SUM(D4:D55)</f>
        <v>6458757180.3162222</v>
      </c>
      <c r="E56" s="436">
        <f>SUM(E4:E55)</f>
        <v>13013768398.82</v>
      </c>
      <c r="F56" s="437"/>
    </row>
    <row r="57" spans="1:6" s="422" customFormat="1" ht="21.95" customHeight="1" x14ac:dyDescent="0.25">
      <c r="A57" s="431"/>
      <c r="B57" s="429"/>
      <c r="D57" s="428"/>
      <c r="E57" s="428"/>
    </row>
    <row r="58" spans="1:6" s="422" customFormat="1" ht="21.95" customHeight="1" x14ac:dyDescent="0.25">
      <c r="A58" s="431"/>
      <c r="B58" s="429"/>
      <c r="C58" s="428"/>
      <c r="D58" s="428"/>
      <c r="E58" s="428"/>
    </row>
    <row r="59" spans="1:6" s="422" customFormat="1" ht="21.95" customHeight="1" x14ac:dyDescent="0.25">
      <c r="A59" s="431"/>
      <c r="B59" s="429"/>
      <c r="C59" s="428"/>
      <c r="D59" s="428"/>
      <c r="E59" s="428"/>
    </row>
    <row r="60" spans="1:6" s="422" customFormat="1" ht="15.75" x14ac:dyDescent="0.25">
      <c r="A60" s="439"/>
      <c r="B60" s="440"/>
      <c r="C60" s="441"/>
      <c r="D60" s="441"/>
      <c r="E60" s="441"/>
    </row>
    <row r="61" spans="1:6" s="422" customFormat="1" ht="15.75" x14ac:dyDescent="0.25">
      <c r="A61" s="439"/>
      <c r="B61" s="440"/>
      <c r="D61" s="441"/>
      <c r="E61" s="441"/>
    </row>
    <row r="62" spans="1:6" s="422" customFormat="1" ht="15.75" x14ac:dyDescent="0.25">
      <c r="A62" s="439"/>
      <c r="B62" s="440"/>
      <c r="D62" s="441"/>
      <c r="E62" s="441"/>
    </row>
    <row r="63" spans="1:6" s="422" customFormat="1" ht="15.75" x14ac:dyDescent="0.25">
      <c r="A63" s="439"/>
      <c r="B63" s="440"/>
      <c r="C63" s="155" t="s">
        <v>532</v>
      </c>
      <c r="D63" s="441"/>
      <c r="E63" s="441"/>
    </row>
    <row r="64" spans="1:6" s="422" customFormat="1" ht="15.75" x14ac:dyDescent="0.25">
      <c r="A64" s="439"/>
      <c r="B64" s="440"/>
      <c r="C64" s="441"/>
      <c r="D64" s="441"/>
      <c r="E64" s="441"/>
    </row>
    <row r="65" spans="1:5" s="422" customFormat="1" ht="15.75" x14ac:dyDescent="0.25">
      <c r="A65" s="439"/>
      <c r="B65" s="440"/>
      <c r="C65" s="441"/>
      <c r="E65" s="441"/>
    </row>
    <row r="66" spans="1:5" s="422" customFormat="1" ht="15.75" x14ac:dyDescent="0.25">
      <c r="A66" s="439"/>
      <c r="B66" s="440"/>
      <c r="C66" s="441"/>
      <c r="D66" s="441"/>
      <c r="E66" s="441"/>
    </row>
    <row r="67" spans="1:5" s="422" customFormat="1" ht="15.75" x14ac:dyDescent="0.25">
      <c r="A67" s="439"/>
      <c r="B67" s="440"/>
      <c r="C67" s="441"/>
      <c r="D67" s="441"/>
      <c r="E67" s="441"/>
    </row>
    <row r="68" spans="1:5" s="422" customFormat="1" ht="15.75" x14ac:dyDescent="0.25">
      <c r="A68" s="439"/>
      <c r="B68" s="440"/>
      <c r="D68" s="441"/>
      <c r="E68" s="441"/>
    </row>
    <row r="69" spans="1:5" s="422" customFormat="1" ht="15.75" x14ac:dyDescent="0.25">
      <c r="A69" s="439"/>
      <c r="B69" s="440"/>
      <c r="C69" s="441"/>
      <c r="D69" s="441"/>
      <c r="E69" s="441"/>
    </row>
    <row r="70" spans="1:5" s="422" customFormat="1" ht="15.75" x14ac:dyDescent="0.25">
      <c r="A70" s="439"/>
      <c r="B70" s="440"/>
      <c r="C70" s="441"/>
      <c r="D70" s="441"/>
      <c r="E70" s="441"/>
    </row>
    <row r="71" spans="1:5" s="422" customFormat="1" ht="15.75" x14ac:dyDescent="0.25">
      <c r="A71" s="439"/>
      <c r="B71" s="440"/>
      <c r="C71" s="441"/>
      <c r="D71" s="441"/>
      <c r="E71" s="441"/>
    </row>
    <row r="72" spans="1:5" s="422" customFormat="1" ht="15.75" x14ac:dyDescent="0.25">
      <c r="A72" s="439"/>
      <c r="B72" s="440"/>
      <c r="C72" s="441"/>
      <c r="D72" s="441"/>
      <c r="E72" s="441"/>
    </row>
    <row r="73" spans="1:5" s="422" customFormat="1" ht="15.75" x14ac:dyDescent="0.25">
      <c r="A73" s="439"/>
      <c r="B73" s="440"/>
      <c r="C73" s="441"/>
      <c r="D73" s="441"/>
      <c r="E73" s="441"/>
    </row>
    <row r="74" spans="1:5" s="422" customFormat="1" ht="15.75" x14ac:dyDescent="0.25">
      <c r="A74" s="439"/>
      <c r="B74" s="440"/>
      <c r="C74" s="441"/>
      <c r="E74" s="441"/>
    </row>
    <row r="75" spans="1:5" s="422" customFormat="1" ht="15.75" x14ac:dyDescent="0.25">
      <c r="A75" s="439"/>
      <c r="B75" s="440"/>
      <c r="C75" s="441"/>
      <c r="D75" s="441"/>
      <c r="E75" s="441"/>
    </row>
    <row r="76" spans="1:5" s="422" customFormat="1" ht="15.75" x14ac:dyDescent="0.25">
      <c r="A76" s="439"/>
      <c r="B76" s="440"/>
      <c r="C76" s="441"/>
      <c r="D76" s="441"/>
      <c r="E76" s="441"/>
    </row>
    <row r="77" spans="1:5" s="422" customFormat="1" ht="15.75" x14ac:dyDescent="0.25">
      <c r="A77" s="439"/>
      <c r="B77" s="440"/>
      <c r="C77" s="441"/>
      <c r="D77" s="441"/>
      <c r="E77" s="441"/>
    </row>
    <row r="78" spans="1:5" s="422" customFormat="1" ht="15.75" x14ac:dyDescent="0.25">
      <c r="A78" s="439"/>
      <c r="B78" s="440"/>
      <c r="C78" s="441"/>
      <c r="D78" s="441"/>
      <c r="E78" s="441"/>
    </row>
    <row r="79" spans="1:5" s="422" customFormat="1" ht="15.75" x14ac:dyDescent="0.25">
      <c r="A79" s="439"/>
      <c r="B79" s="440"/>
      <c r="C79" s="441"/>
      <c r="D79" s="441"/>
      <c r="E79" s="441"/>
    </row>
    <row r="80" spans="1:5" s="422" customFormat="1" ht="15.75" x14ac:dyDescent="0.25">
      <c r="A80" s="439"/>
      <c r="B80" s="440"/>
      <c r="C80" s="441"/>
      <c r="D80" s="441"/>
      <c r="E80" s="441"/>
    </row>
    <row r="81" spans="1:5" s="422" customFormat="1" ht="15.75" x14ac:dyDescent="0.25">
      <c r="A81" s="439"/>
      <c r="B81" s="440"/>
      <c r="C81" s="441"/>
      <c r="D81" s="441"/>
      <c r="E81" s="441"/>
    </row>
    <row r="82" spans="1:5" s="422" customFormat="1" ht="15.75" x14ac:dyDescent="0.25">
      <c r="A82" s="439"/>
      <c r="B82" s="440"/>
      <c r="C82" s="441"/>
      <c r="D82" s="441"/>
      <c r="E82" s="441"/>
    </row>
    <row r="83" spans="1:5" s="422" customFormat="1" ht="15.75" x14ac:dyDescent="0.25">
      <c r="A83" s="439"/>
      <c r="B83" s="440"/>
      <c r="C83" s="441"/>
      <c r="D83" s="441"/>
      <c r="E83" s="441"/>
    </row>
    <row r="84" spans="1:5" s="422" customFormat="1" ht="15.75" x14ac:dyDescent="0.25">
      <c r="A84" s="439"/>
      <c r="B84" s="440"/>
      <c r="C84" s="441"/>
      <c r="D84" s="441"/>
      <c r="E84" s="441"/>
    </row>
    <row r="85" spans="1:5" s="422" customFormat="1" ht="15.75" x14ac:dyDescent="0.25">
      <c r="A85" s="439"/>
      <c r="B85" s="440"/>
      <c r="C85" s="441"/>
      <c r="D85" s="441"/>
      <c r="E85" s="441"/>
    </row>
    <row r="86" spans="1:5" s="422" customFormat="1" ht="15.75" x14ac:dyDescent="0.25">
      <c r="A86" s="439"/>
      <c r="B86" s="440"/>
      <c r="C86" s="441"/>
      <c r="D86" s="441"/>
      <c r="E86" s="441"/>
    </row>
    <row r="87" spans="1:5" s="422" customFormat="1" ht="15.75" x14ac:dyDescent="0.25">
      <c r="A87" s="439"/>
      <c r="B87" s="440"/>
      <c r="C87" s="441"/>
      <c r="D87" s="441"/>
      <c r="E87" s="441"/>
    </row>
    <row r="88" spans="1:5" s="422" customFormat="1" ht="15.75" x14ac:dyDescent="0.25">
      <c r="A88" s="439"/>
      <c r="B88" s="440"/>
      <c r="C88" s="441"/>
      <c r="D88" s="441"/>
      <c r="E88" s="441"/>
    </row>
    <row r="89" spans="1:5" s="422" customFormat="1" ht="15.75" x14ac:dyDescent="0.25">
      <c r="A89" s="439"/>
      <c r="B89" s="440"/>
      <c r="C89" s="441"/>
      <c r="D89" s="441"/>
      <c r="E89" s="441"/>
    </row>
    <row r="90" spans="1:5" s="422" customFormat="1" ht="15.75" x14ac:dyDescent="0.25">
      <c r="A90" s="439"/>
      <c r="B90" s="440"/>
      <c r="C90" s="441"/>
      <c r="D90" s="441"/>
      <c r="E90" s="441"/>
    </row>
    <row r="91" spans="1:5" s="422" customFormat="1" ht="15.75" x14ac:dyDescent="0.25">
      <c r="A91" s="439"/>
      <c r="B91" s="440"/>
      <c r="C91" s="441"/>
      <c r="D91" s="441"/>
      <c r="E91" s="441"/>
    </row>
    <row r="92" spans="1:5" s="422" customFormat="1" ht="15.75" x14ac:dyDescent="0.25">
      <c r="A92" s="439"/>
      <c r="B92" s="440"/>
      <c r="C92" s="441"/>
      <c r="D92" s="441"/>
      <c r="E92" s="441"/>
    </row>
    <row r="93" spans="1:5" s="422" customFormat="1" ht="15.75" x14ac:dyDescent="0.25">
      <c r="A93" s="439"/>
      <c r="B93" s="440"/>
      <c r="C93" s="441"/>
      <c r="D93" s="441"/>
      <c r="E93" s="441"/>
    </row>
    <row r="94" spans="1:5" s="422" customFormat="1" ht="15.75" x14ac:dyDescent="0.25">
      <c r="A94" s="439"/>
      <c r="B94" s="440"/>
      <c r="C94" s="441"/>
      <c r="D94" s="441"/>
      <c r="E94" s="441"/>
    </row>
    <row r="95" spans="1:5" s="422" customFormat="1" ht="15.75" x14ac:dyDescent="0.25">
      <c r="A95" s="439"/>
      <c r="B95" s="440"/>
      <c r="C95" s="441"/>
      <c r="D95" s="441"/>
      <c r="E95" s="441"/>
    </row>
    <row r="96" spans="1:5" s="422" customFormat="1" ht="15.75" x14ac:dyDescent="0.25">
      <c r="A96" s="439"/>
      <c r="B96" s="440"/>
      <c r="C96" s="441"/>
      <c r="D96" s="441"/>
      <c r="E96" s="441"/>
    </row>
    <row r="97" spans="1:5" s="422" customFormat="1" ht="15.75" x14ac:dyDescent="0.25">
      <c r="A97" s="439"/>
      <c r="B97" s="440"/>
      <c r="C97" s="441"/>
      <c r="D97" s="441"/>
      <c r="E97" s="441"/>
    </row>
    <row r="98" spans="1:5" s="422" customFormat="1" ht="15.75" x14ac:dyDescent="0.25">
      <c r="A98" s="439"/>
      <c r="B98" s="440"/>
      <c r="C98" s="441"/>
      <c r="D98" s="441"/>
      <c r="E98" s="441"/>
    </row>
    <row r="107" spans="1:5" x14ac:dyDescent="0.2">
      <c r="C107" s="443"/>
      <c r="D107" s="443"/>
      <c r="E107" s="443"/>
    </row>
    <row r="227" spans="3:5" x14ac:dyDescent="0.2">
      <c r="C227" s="443"/>
      <c r="D227" s="443"/>
      <c r="E227" s="443"/>
    </row>
    <row r="250" spans="3:5" x14ac:dyDescent="0.2">
      <c r="C250" s="443"/>
      <c r="D250" s="443"/>
      <c r="E250" s="443"/>
    </row>
    <row r="375" spans="3:5" x14ac:dyDescent="0.2">
      <c r="C375" s="443"/>
      <c r="D375" s="443"/>
      <c r="E375" s="443"/>
    </row>
    <row r="376" spans="3:5" x14ac:dyDescent="0.2">
      <c r="C376" s="443"/>
      <c r="D376" s="443"/>
      <c r="E376" s="443"/>
    </row>
    <row r="405" spans="3:5" x14ac:dyDescent="0.2">
      <c r="C405" s="443"/>
      <c r="D405" s="443"/>
      <c r="E405" s="443"/>
    </row>
    <row r="414" spans="3:5" x14ac:dyDescent="0.2">
      <c r="C414" s="443"/>
      <c r="D414" s="443"/>
      <c r="E414" s="443"/>
    </row>
    <row r="427" spans="3:5" x14ac:dyDescent="0.2">
      <c r="C427" s="443"/>
      <c r="D427" s="443"/>
      <c r="E427" s="443"/>
    </row>
    <row r="432" spans="3:5" x14ac:dyDescent="0.2">
      <c r="C432" s="443"/>
      <c r="D432" s="443"/>
      <c r="E432" s="443"/>
    </row>
    <row r="449" spans="1:5" x14ac:dyDescent="0.2">
      <c r="A449" s="389"/>
      <c r="B449" s="127"/>
      <c r="C449" s="152"/>
      <c r="D449" s="152"/>
      <c r="E449" s="152"/>
    </row>
    <row r="450" spans="1:5" x14ac:dyDescent="0.2">
      <c r="A450" s="389"/>
      <c r="B450" s="127"/>
      <c r="C450" s="152"/>
      <c r="D450" s="152"/>
      <c r="E450" s="152"/>
    </row>
    <row r="451" spans="1:5" x14ac:dyDescent="0.2">
      <c r="A451" s="389"/>
      <c r="B451" s="127"/>
      <c r="C451" s="152"/>
      <c r="D451" s="152"/>
      <c r="E451" s="152"/>
    </row>
    <row r="452" spans="1:5" x14ac:dyDescent="0.2">
      <c r="A452" s="389"/>
      <c r="B452" s="127"/>
      <c r="C452" s="152"/>
      <c r="D452" s="152"/>
      <c r="E452" s="152"/>
    </row>
    <row r="457" spans="1:5" x14ac:dyDescent="0.2">
      <c r="C457" s="443"/>
      <c r="D457" s="443"/>
      <c r="E457" s="443"/>
    </row>
    <row r="473" spans="3:5" x14ac:dyDescent="0.2">
      <c r="C473" s="443"/>
      <c r="D473" s="443"/>
      <c r="E473" s="443"/>
    </row>
    <row r="485" spans="3:5" x14ac:dyDescent="0.2">
      <c r="C485" s="443"/>
      <c r="D485" s="443"/>
      <c r="E485" s="443"/>
    </row>
    <row r="591" spans="3:5" x14ac:dyDescent="0.2">
      <c r="C591" s="443"/>
      <c r="D591" s="443"/>
      <c r="E591" s="443"/>
    </row>
    <row r="605" spans="3:5" x14ac:dyDescent="0.2">
      <c r="C605" s="443"/>
      <c r="D605" s="443"/>
      <c r="E605" s="443"/>
    </row>
    <row r="618" spans="3:5" x14ac:dyDescent="0.2">
      <c r="C618" s="443"/>
      <c r="D618" s="443"/>
      <c r="E618" s="443"/>
    </row>
    <row r="646" spans="3:5" x14ac:dyDescent="0.2">
      <c r="C646" s="443"/>
      <c r="D646" s="443"/>
      <c r="E646" s="443"/>
    </row>
    <row r="751" spans="3:5" x14ac:dyDescent="0.2">
      <c r="C751" s="443"/>
      <c r="D751" s="443"/>
      <c r="E751" s="443"/>
    </row>
    <row r="761" spans="3:5" x14ac:dyDescent="0.2">
      <c r="C761" s="443"/>
      <c r="D761" s="443"/>
      <c r="E761" s="443"/>
    </row>
    <row r="773" spans="3:5" x14ac:dyDescent="0.2">
      <c r="C773" s="443"/>
      <c r="D773" s="443"/>
      <c r="E773" s="443"/>
    </row>
    <row r="787" spans="3:5" x14ac:dyDescent="0.2">
      <c r="C787" s="443"/>
      <c r="D787" s="443"/>
      <c r="E787" s="443"/>
    </row>
    <row r="897" spans="3:5" x14ac:dyDescent="0.2">
      <c r="C897" s="443"/>
      <c r="D897" s="443"/>
      <c r="E897" s="443"/>
    </row>
    <row r="902" spans="3:5" x14ac:dyDescent="0.2">
      <c r="C902" s="443"/>
      <c r="D902" s="443"/>
      <c r="E902" s="443"/>
    </row>
    <row r="903" spans="3:5" x14ac:dyDescent="0.2">
      <c r="C903" s="443"/>
      <c r="D903" s="443"/>
      <c r="E903" s="443"/>
    </row>
    <row r="904" spans="3:5" x14ac:dyDescent="0.2">
      <c r="C904" s="443"/>
      <c r="D904" s="443"/>
      <c r="E904" s="443"/>
    </row>
    <row r="907" spans="3:5" x14ac:dyDescent="0.2">
      <c r="C907" s="443"/>
      <c r="D907" s="443"/>
      <c r="E907" s="443"/>
    </row>
    <row r="917" spans="3:5" x14ac:dyDescent="0.2">
      <c r="C917" s="443"/>
      <c r="D917" s="443"/>
      <c r="E917" s="443"/>
    </row>
    <row r="953" spans="3:5" x14ac:dyDescent="0.2">
      <c r="C953" s="443"/>
      <c r="D953" s="443"/>
      <c r="E953" s="443"/>
    </row>
    <row r="1067" spans="3:5" x14ac:dyDescent="0.2">
      <c r="C1067" s="443"/>
      <c r="D1067" s="443"/>
      <c r="E1067" s="443"/>
    </row>
    <row r="1076" spans="3:5" x14ac:dyDescent="0.2">
      <c r="C1076" s="443"/>
      <c r="D1076" s="443"/>
      <c r="E1076" s="443"/>
    </row>
    <row r="1080" spans="3:5" x14ac:dyDescent="0.2">
      <c r="C1080" s="443"/>
      <c r="D1080" s="443"/>
      <c r="E1080" s="443"/>
    </row>
    <row r="1081" spans="3:5" x14ac:dyDescent="0.2">
      <c r="C1081" s="443"/>
      <c r="D1081" s="443"/>
      <c r="E1081" s="443"/>
    </row>
    <row r="1082" spans="3:5" x14ac:dyDescent="0.2">
      <c r="C1082" s="443"/>
      <c r="D1082" s="443"/>
      <c r="E1082" s="443"/>
    </row>
    <row r="1083" spans="3:5" x14ac:dyDescent="0.2">
      <c r="C1083" s="443"/>
      <c r="D1083" s="443"/>
      <c r="E1083" s="443"/>
    </row>
    <row r="1084" spans="3:5" x14ac:dyDescent="0.2">
      <c r="C1084" s="443"/>
      <c r="D1084" s="443"/>
      <c r="E1084" s="443"/>
    </row>
    <row r="1094" spans="3:5" x14ac:dyDescent="0.2">
      <c r="C1094" s="443"/>
      <c r="D1094" s="443"/>
      <c r="E1094" s="443"/>
    </row>
  </sheetData>
  <mergeCells count="1">
    <mergeCell ref="A1:E1"/>
  </mergeCells>
  <pageMargins left="0.89166666666666705" right="0.23" top="0.55000000000000004" bottom="0.46" header="0.23" footer="0.3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XFD731"/>
  <sheetViews>
    <sheetView view="pageBreakPreview" zoomScale="130" zoomScaleNormal="90" zoomScaleSheetLayoutView="130" workbookViewId="0">
      <selection activeCell="D8" sqref="D8"/>
    </sheetView>
  </sheetViews>
  <sheetFormatPr defaultColWidth="8.85546875" defaultRowHeight="24.95" customHeight="1" x14ac:dyDescent="0.2"/>
  <cols>
    <col min="1" max="1" width="13.7109375" style="394" customWidth="1"/>
    <col min="2" max="2" width="29.140625" style="399" customWidth="1"/>
    <col min="3" max="3" width="9.7109375" style="393" customWidth="1"/>
    <col min="4" max="4" width="35.140625" style="393" customWidth="1"/>
    <col min="5" max="5" width="15.140625" style="393" customWidth="1"/>
    <col min="6" max="6" width="17.7109375" style="395" customWidth="1"/>
    <col min="7" max="7" width="15.140625" style="393" customWidth="1"/>
    <col min="8" max="8" width="21.140625" style="100" customWidth="1"/>
    <col min="9" max="9" width="16.5703125" style="100" customWidth="1"/>
    <col min="10" max="10" width="16.28515625" style="100" customWidth="1"/>
    <col min="11" max="16384" width="8.85546875" style="100"/>
  </cols>
  <sheetData>
    <row r="1" spans="1:8" ht="24.95" customHeight="1" x14ac:dyDescent="0.2">
      <c r="A1" s="110"/>
      <c r="B1" s="534" t="s">
        <v>568</v>
      </c>
      <c r="C1" s="534"/>
      <c r="D1" s="534"/>
      <c r="E1" s="534"/>
      <c r="F1" s="534"/>
      <c r="G1" s="444"/>
    </row>
    <row r="2" spans="1:8" ht="24.95" customHeight="1" x14ac:dyDescent="0.2">
      <c r="A2" s="535" t="s">
        <v>93</v>
      </c>
      <c r="B2" s="535"/>
      <c r="C2" s="111"/>
      <c r="D2" s="112"/>
      <c r="E2" s="113"/>
      <c r="F2" s="114"/>
      <c r="G2" s="113"/>
    </row>
    <row r="3" spans="1:8" s="101" customFormat="1" ht="38.25" x14ac:dyDescent="0.25">
      <c r="A3" s="115" t="s">
        <v>352</v>
      </c>
      <c r="B3" s="115" t="s">
        <v>351</v>
      </c>
      <c r="C3" s="115" t="s">
        <v>94</v>
      </c>
      <c r="D3" s="115" t="s">
        <v>353</v>
      </c>
      <c r="E3" s="496" t="s">
        <v>618</v>
      </c>
      <c r="F3" s="496" t="s">
        <v>638</v>
      </c>
      <c r="G3" s="496" t="s">
        <v>637</v>
      </c>
    </row>
    <row r="4" spans="1:8" s="101" customFormat="1" ht="12.75" customHeight="1" x14ac:dyDescent="0.25">
      <c r="A4" s="116"/>
      <c r="B4" s="117"/>
      <c r="C4" s="118"/>
      <c r="D4" s="117"/>
      <c r="E4" s="445"/>
      <c r="F4" s="119"/>
      <c r="G4" s="445"/>
    </row>
    <row r="5" spans="1:8" ht="21" customHeight="1" x14ac:dyDescent="0.2">
      <c r="A5" s="120"/>
      <c r="B5" s="121"/>
      <c r="C5" s="122">
        <v>1</v>
      </c>
      <c r="D5" s="123" t="s">
        <v>347</v>
      </c>
      <c r="E5" s="124">
        <f>E7+E28+E650+E711+E717</f>
        <v>108544805613.54001</v>
      </c>
      <c r="F5" s="125">
        <f>F7+F28+F650+F711+F717</f>
        <v>30025424207.856224</v>
      </c>
      <c r="G5" s="124">
        <f>G7+G28+G650+G711+G717</f>
        <v>62766348138.82</v>
      </c>
      <c r="H5" s="102"/>
    </row>
    <row r="6" spans="1:8" ht="13.5" customHeight="1" x14ac:dyDescent="0.2">
      <c r="A6" s="126"/>
      <c r="B6" s="127"/>
      <c r="C6" s="128"/>
      <c r="D6" s="117"/>
      <c r="E6" s="282"/>
      <c r="F6" s="130"/>
      <c r="G6" s="282"/>
    </row>
    <row r="7" spans="1:8" ht="24.95" customHeight="1" x14ac:dyDescent="0.2">
      <c r="A7" s="131"/>
      <c r="B7" s="132"/>
      <c r="C7" s="133">
        <v>1101</v>
      </c>
      <c r="D7" s="134" t="s">
        <v>95</v>
      </c>
      <c r="E7" s="135">
        <f>E12</f>
        <v>60450000000</v>
      </c>
      <c r="F7" s="136">
        <f>F12</f>
        <v>19634604481.370003</v>
      </c>
      <c r="G7" s="135">
        <f>G12</f>
        <v>26899759005</v>
      </c>
    </row>
    <row r="8" spans="1:8" ht="24.95" customHeight="1" x14ac:dyDescent="0.2">
      <c r="A8" s="126" t="s">
        <v>96</v>
      </c>
      <c r="B8" s="137" t="s">
        <v>369</v>
      </c>
      <c r="C8" s="138">
        <v>11010101</v>
      </c>
      <c r="D8" s="137" t="s">
        <v>383</v>
      </c>
      <c r="E8" s="139">
        <v>44000000000</v>
      </c>
      <c r="F8" s="140">
        <f>3347244038.96+3001816102.51+2650974939.81+2686222581.74+2094865227.19</f>
        <v>13781122890.210001</v>
      </c>
      <c r="G8" s="139">
        <f>2450000000*7+1000000000+300000000</f>
        <v>18450000000</v>
      </c>
      <c r="H8" s="502"/>
    </row>
    <row r="9" spans="1:8" ht="24.95" customHeight="1" x14ac:dyDescent="0.2">
      <c r="A9" s="126" t="s">
        <v>96</v>
      </c>
      <c r="B9" s="137" t="s">
        <v>369</v>
      </c>
      <c r="C9" s="138">
        <v>11010201</v>
      </c>
      <c r="D9" s="137" t="s">
        <v>97</v>
      </c>
      <c r="E9" s="139">
        <v>12500000000</v>
      </c>
      <c r="F9" s="140">
        <f>962166967.11+886194495.39+832477776.18+1052472797.9+806845274.97</f>
        <v>4540157311.5500002</v>
      </c>
      <c r="G9" s="139">
        <f>750000000*7+1000000000+284828931</f>
        <v>6534828931</v>
      </c>
      <c r="H9" s="508"/>
    </row>
    <row r="10" spans="1:8" s="103" customFormat="1" ht="24.95" customHeight="1" x14ac:dyDescent="0.25">
      <c r="A10" s="126" t="s">
        <v>96</v>
      </c>
      <c r="B10" s="137" t="s">
        <v>369</v>
      </c>
      <c r="C10" s="138">
        <v>11010401</v>
      </c>
      <c r="D10" s="137" t="s">
        <v>289</v>
      </c>
      <c r="E10" s="139">
        <v>950000000</v>
      </c>
      <c r="F10" s="140">
        <f>6823319.9+5991902.14+4323763.93+367345245.21+155767065.52</f>
        <v>540251296.69999993</v>
      </c>
      <c r="G10" s="139">
        <f>700000000+114930074</f>
        <v>814930074</v>
      </c>
    </row>
    <row r="11" spans="1:8" s="103" customFormat="1" ht="24.95" customHeight="1" x14ac:dyDescent="0.25">
      <c r="A11" s="141" t="s">
        <v>96</v>
      </c>
      <c r="B11" s="142" t="s">
        <v>369</v>
      </c>
      <c r="C11" s="143">
        <v>11010402</v>
      </c>
      <c r="D11" s="142" t="s">
        <v>290</v>
      </c>
      <c r="E11" s="144">
        <v>3000000000</v>
      </c>
      <c r="F11" s="145">
        <f>0+4282746.5+85923958.56+682866277.85</f>
        <v>773072982.91000009</v>
      </c>
      <c r="G11" s="144">
        <f>900000000+200000000</f>
        <v>1100000000</v>
      </c>
      <c r="H11" s="521"/>
    </row>
    <row r="12" spans="1:8" s="103" customFormat="1" ht="24.95" customHeight="1" x14ac:dyDescent="0.25">
      <c r="A12" s="146"/>
      <c r="B12" s="208"/>
      <c r="C12" s="148"/>
      <c r="D12" s="148"/>
      <c r="E12" s="417">
        <f>SUM(E8:E11)</f>
        <v>60450000000</v>
      </c>
      <c r="F12" s="150">
        <f>SUM(F8:F11)</f>
        <v>19634604481.370003</v>
      </c>
      <c r="G12" s="417">
        <f>SUM(G8:G11)</f>
        <v>26899759005</v>
      </c>
    </row>
    <row r="13" spans="1:8" s="103" customFormat="1" ht="24.95" customHeight="1" x14ac:dyDescent="0.25">
      <c r="A13" s="138"/>
      <c r="B13" s="127"/>
      <c r="C13" s="152"/>
      <c r="D13" s="152"/>
      <c r="E13" s="446"/>
      <c r="F13" s="153"/>
      <c r="G13" s="446"/>
    </row>
    <row r="14" spans="1:8" s="103" customFormat="1" ht="24.95" customHeight="1" x14ac:dyDescent="0.25">
      <c r="A14" s="138"/>
      <c r="B14" s="127"/>
      <c r="C14" s="152"/>
      <c r="D14" s="152"/>
      <c r="E14" s="446"/>
      <c r="F14" s="153"/>
      <c r="G14" s="446"/>
    </row>
    <row r="15" spans="1:8" s="103" customFormat="1" ht="24.95" customHeight="1" x14ac:dyDescent="0.25">
      <c r="A15" s="138"/>
      <c r="B15" s="127"/>
      <c r="C15" s="152"/>
      <c r="D15" s="152"/>
      <c r="E15" s="446"/>
      <c r="F15" s="153"/>
      <c r="G15" s="446"/>
    </row>
    <row r="16" spans="1:8" s="103" customFormat="1" ht="24.95" customHeight="1" x14ac:dyDescent="0.25">
      <c r="A16" s="138"/>
      <c r="B16" s="127"/>
      <c r="C16" s="152"/>
      <c r="D16" s="152"/>
      <c r="E16" s="446"/>
      <c r="F16" s="153"/>
      <c r="G16" s="446"/>
    </row>
    <row r="17" spans="1:10" s="103" customFormat="1" ht="24.95" customHeight="1" x14ac:dyDescent="0.25">
      <c r="A17" s="138"/>
      <c r="B17" s="127"/>
      <c r="C17" s="154"/>
      <c r="E17" s="446"/>
      <c r="F17" s="153"/>
      <c r="G17" s="446"/>
    </row>
    <row r="18" spans="1:10" s="103" customFormat="1" ht="24.95" customHeight="1" x14ac:dyDescent="0.2">
      <c r="A18" s="138"/>
      <c r="B18" s="127"/>
      <c r="C18" s="154"/>
      <c r="D18" s="155"/>
      <c r="E18" s="446"/>
      <c r="F18" s="153"/>
      <c r="G18" s="446"/>
    </row>
    <row r="19" spans="1:10" s="103" customFormat="1" ht="24.95" customHeight="1" x14ac:dyDescent="0.2">
      <c r="A19" s="138"/>
      <c r="B19" s="127"/>
      <c r="C19" s="154"/>
      <c r="D19" s="155"/>
      <c r="E19" s="446"/>
      <c r="F19" s="153"/>
      <c r="G19" s="446"/>
    </row>
    <row r="20" spans="1:10" s="103" customFormat="1" ht="24.95" customHeight="1" x14ac:dyDescent="0.2">
      <c r="A20" s="138"/>
      <c r="B20" s="127"/>
      <c r="C20" s="154"/>
      <c r="D20" s="155"/>
      <c r="E20" s="446"/>
      <c r="F20" s="153"/>
      <c r="G20" s="446"/>
    </row>
    <row r="21" spans="1:10" s="103" customFormat="1" ht="24.95" customHeight="1" x14ac:dyDescent="0.2">
      <c r="A21" s="138"/>
      <c r="B21" s="127"/>
      <c r="C21" s="154"/>
      <c r="D21" s="155"/>
      <c r="E21" s="446"/>
      <c r="F21" s="153"/>
      <c r="G21" s="446"/>
    </row>
    <row r="22" spans="1:10" s="103" customFormat="1" ht="24.95" customHeight="1" x14ac:dyDescent="0.25">
      <c r="A22" s="138"/>
      <c r="B22" s="127"/>
      <c r="C22" s="154"/>
      <c r="E22" s="446"/>
      <c r="F22" s="153"/>
      <c r="G22" s="446"/>
    </row>
    <row r="23" spans="1:10" s="103" customFormat="1" ht="24.95" customHeight="1" x14ac:dyDescent="0.2">
      <c r="A23" s="138"/>
      <c r="B23" s="127"/>
      <c r="C23" s="154"/>
      <c r="D23" s="155"/>
      <c r="E23" s="446"/>
      <c r="F23" s="153"/>
      <c r="G23" s="446"/>
    </row>
    <row r="24" spans="1:10" s="103" customFormat="1" ht="24.95" customHeight="1" x14ac:dyDescent="0.2">
      <c r="A24" s="138"/>
      <c r="B24" s="127"/>
      <c r="C24" s="154"/>
      <c r="D24" s="155" t="s">
        <v>533</v>
      </c>
      <c r="E24" s="446"/>
      <c r="F24" s="153"/>
      <c r="G24" s="446"/>
    </row>
    <row r="25" spans="1:10" ht="24.95" customHeight="1" x14ac:dyDescent="0.2">
      <c r="A25" s="535" t="s">
        <v>98</v>
      </c>
      <c r="B25" s="535"/>
      <c r="C25" s="156"/>
      <c r="D25" s="112"/>
      <c r="E25" s="447"/>
      <c r="F25" s="157"/>
      <c r="G25" s="447"/>
    </row>
    <row r="26" spans="1:10" s="101" customFormat="1" ht="38.25" x14ac:dyDescent="0.25">
      <c r="A26" s="115" t="s">
        <v>352</v>
      </c>
      <c r="B26" s="115" t="s">
        <v>351</v>
      </c>
      <c r="C26" s="115" t="s">
        <v>94</v>
      </c>
      <c r="D26" s="115" t="s">
        <v>353</v>
      </c>
      <c r="E26" s="496" t="s">
        <v>618</v>
      </c>
      <c r="F26" s="496" t="s">
        <v>638</v>
      </c>
      <c r="G26" s="496" t="s">
        <v>637</v>
      </c>
    </row>
    <row r="27" spans="1:10" s="101" customFormat="1" ht="14.25" customHeight="1" x14ac:dyDescent="0.25">
      <c r="A27" s="158"/>
      <c r="B27" s="159"/>
      <c r="C27" s="159"/>
      <c r="D27" s="159"/>
      <c r="E27" s="445"/>
      <c r="F27" s="119"/>
      <c r="G27" s="445"/>
    </row>
    <row r="28" spans="1:10" s="104" customFormat="1" ht="24.95" customHeight="1" x14ac:dyDescent="0.2">
      <c r="A28" s="160"/>
      <c r="B28" s="123"/>
      <c r="C28" s="161">
        <v>12</v>
      </c>
      <c r="D28" s="123" t="s">
        <v>99</v>
      </c>
      <c r="E28" s="162">
        <f>E30+E44</f>
        <v>28260991359.049999</v>
      </c>
      <c r="F28" s="512">
        <f>F30+F44</f>
        <v>6459637180.3162212</v>
      </c>
      <c r="G28" s="513">
        <f>G30+G44</f>
        <v>13014488398.82</v>
      </c>
    </row>
    <row r="29" spans="1:10" s="104" customFormat="1" ht="14.25" customHeight="1" x14ac:dyDescent="0.2">
      <c r="A29" s="164"/>
      <c r="B29" s="165"/>
      <c r="C29" s="166"/>
      <c r="D29" s="165"/>
      <c r="E29" s="403"/>
      <c r="F29" s="167"/>
      <c r="G29" s="403"/>
    </row>
    <row r="30" spans="1:10" ht="24.95" customHeight="1" x14ac:dyDescent="0.2">
      <c r="A30" s="168"/>
      <c r="B30" s="134"/>
      <c r="C30" s="169">
        <v>1201</v>
      </c>
      <c r="D30" s="134" t="s">
        <v>100</v>
      </c>
      <c r="E30" s="449">
        <f>E39+E42</f>
        <v>12870100000</v>
      </c>
      <c r="F30" s="170">
        <f>F39+F42</f>
        <v>1925721018.1700003</v>
      </c>
      <c r="G30" s="449">
        <f>G39+G42</f>
        <v>7040413358</v>
      </c>
    </row>
    <row r="31" spans="1:10" ht="24.95" customHeight="1" x14ac:dyDescent="0.2">
      <c r="A31" s="171" t="s">
        <v>24</v>
      </c>
      <c r="B31" s="259" t="s">
        <v>25</v>
      </c>
      <c r="C31" s="172">
        <v>12010101</v>
      </c>
      <c r="D31" s="137" t="s">
        <v>101</v>
      </c>
      <c r="E31" s="173">
        <v>12435050000</v>
      </c>
      <c r="F31" s="174">
        <f>1202273327.15+610608430.29</f>
        <v>1812881757.4400001</v>
      </c>
      <c r="G31" s="173">
        <f>6506819981+329593377</f>
        <v>6836413358</v>
      </c>
      <c r="H31" s="77"/>
    </row>
    <row r="32" spans="1:10" ht="24.95" customHeight="1" x14ac:dyDescent="0.2">
      <c r="A32" s="171" t="s">
        <v>24</v>
      </c>
      <c r="B32" s="137" t="s">
        <v>25</v>
      </c>
      <c r="C32" s="172">
        <v>12010102</v>
      </c>
      <c r="D32" s="137" t="s">
        <v>102</v>
      </c>
      <c r="E32" s="173">
        <v>85000000</v>
      </c>
      <c r="F32" s="174">
        <f>19338160+1177300</f>
        <v>20515460</v>
      </c>
      <c r="G32" s="173">
        <v>34000000</v>
      </c>
      <c r="H32" s="502"/>
      <c r="I32" s="502">
        <f>H32*9</f>
        <v>0</v>
      </c>
      <c r="J32" s="502">
        <f>0.8*I32</f>
        <v>0</v>
      </c>
    </row>
    <row r="33" spans="1:10" ht="24.95" customHeight="1" x14ac:dyDescent="0.2">
      <c r="A33" s="171" t="s">
        <v>24</v>
      </c>
      <c r="B33" s="137" t="s">
        <v>25</v>
      </c>
      <c r="C33" s="172">
        <v>12010103</v>
      </c>
      <c r="D33" s="137" t="s">
        <v>103</v>
      </c>
      <c r="E33" s="173">
        <v>100000000</v>
      </c>
      <c r="F33" s="174">
        <f>29876146.26+3950262.12</f>
        <v>33826408.380000003</v>
      </c>
      <c r="G33" s="173">
        <v>50000000</v>
      </c>
      <c r="H33" s="502"/>
      <c r="I33" s="502">
        <f t="shared" ref="I33:I37" si="0">H33*9</f>
        <v>0</v>
      </c>
      <c r="J33" s="502">
        <f t="shared" ref="J33:J37" si="1">0.8*I33</f>
        <v>0</v>
      </c>
    </row>
    <row r="34" spans="1:10" ht="24.95" customHeight="1" x14ac:dyDescent="0.2">
      <c r="A34" s="171" t="s">
        <v>24</v>
      </c>
      <c r="B34" s="137" t="s">
        <v>25</v>
      </c>
      <c r="C34" s="172">
        <v>12010104</v>
      </c>
      <c r="D34" s="137" t="s">
        <v>104</v>
      </c>
      <c r="E34" s="173">
        <v>50000000</v>
      </c>
      <c r="F34" s="174">
        <f>2953633.45+139916.96</f>
        <v>3093550.41</v>
      </c>
      <c r="G34" s="173">
        <v>20000000</v>
      </c>
      <c r="H34" s="502"/>
      <c r="I34" s="502">
        <f t="shared" si="0"/>
        <v>0</v>
      </c>
      <c r="J34" s="502">
        <f t="shared" si="1"/>
        <v>0</v>
      </c>
    </row>
    <row r="35" spans="1:10" ht="24.95" customHeight="1" x14ac:dyDescent="0.2">
      <c r="A35" s="171" t="s">
        <v>24</v>
      </c>
      <c r="B35" s="137" t="s">
        <v>25</v>
      </c>
      <c r="C35" s="172">
        <v>12010105</v>
      </c>
      <c r="D35" s="137" t="s">
        <v>569</v>
      </c>
      <c r="E35" s="173">
        <v>60000000</v>
      </c>
      <c r="F35" s="174">
        <v>0</v>
      </c>
      <c r="G35" s="173">
        <v>20000000</v>
      </c>
      <c r="H35" s="502"/>
      <c r="I35" s="502">
        <f t="shared" si="0"/>
        <v>0</v>
      </c>
      <c r="J35" s="502">
        <f t="shared" si="1"/>
        <v>0</v>
      </c>
    </row>
    <row r="36" spans="1:10" ht="24.95" customHeight="1" x14ac:dyDescent="0.2">
      <c r="A36" s="171" t="s">
        <v>24</v>
      </c>
      <c r="B36" s="137" t="s">
        <v>25</v>
      </c>
      <c r="C36" s="172">
        <v>12010106</v>
      </c>
      <c r="D36" s="137" t="s">
        <v>570</v>
      </c>
      <c r="E36" s="173">
        <v>60000000</v>
      </c>
      <c r="F36" s="174">
        <v>0</v>
      </c>
      <c r="G36" s="173">
        <v>20000000</v>
      </c>
      <c r="H36" s="502"/>
      <c r="I36" s="502">
        <f t="shared" si="0"/>
        <v>0</v>
      </c>
      <c r="J36" s="502">
        <f t="shared" si="1"/>
        <v>0</v>
      </c>
    </row>
    <row r="37" spans="1:10" ht="24.95" customHeight="1" x14ac:dyDescent="0.2">
      <c r="A37" s="171" t="s">
        <v>24</v>
      </c>
      <c r="B37" s="137" t="s">
        <v>25</v>
      </c>
      <c r="C37" s="172">
        <v>12010107</v>
      </c>
      <c r="D37" s="137" t="s">
        <v>571</v>
      </c>
      <c r="E37" s="173">
        <v>80000000</v>
      </c>
      <c r="F37" s="174">
        <f>43510031.74+11893810.2</f>
        <v>55403841.939999998</v>
      </c>
      <c r="G37" s="173">
        <v>60000000</v>
      </c>
      <c r="H37" s="502"/>
      <c r="I37" s="502">
        <f t="shared" si="0"/>
        <v>0</v>
      </c>
      <c r="J37" s="502">
        <f t="shared" si="1"/>
        <v>0</v>
      </c>
    </row>
    <row r="38" spans="1:10" ht="24.95" customHeight="1" x14ac:dyDescent="0.2">
      <c r="A38" s="171" t="s">
        <v>24</v>
      </c>
      <c r="B38" s="137" t="s">
        <v>25</v>
      </c>
      <c r="C38" s="172">
        <v>12010108</v>
      </c>
      <c r="D38" s="137" t="s">
        <v>105</v>
      </c>
      <c r="E38" s="173">
        <v>50000</v>
      </c>
      <c r="F38" s="174">
        <v>0</v>
      </c>
      <c r="G38" s="173">
        <v>0</v>
      </c>
      <c r="H38" s="502"/>
    </row>
    <row r="39" spans="1:10" ht="18.75" customHeight="1" x14ac:dyDescent="0.2">
      <c r="A39" s="176"/>
      <c r="B39" s="377"/>
      <c r="C39" s="177"/>
      <c r="D39" s="177"/>
      <c r="E39" s="177">
        <f>SUM(E31:E38)</f>
        <v>12870100000</v>
      </c>
      <c r="F39" s="497">
        <f>SUM(F31:F38)</f>
        <v>1925721018.1700003</v>
      </c>
      <c r="G39" s="177">
        <f>SUM(G31:G38)</f>
        <v>7040413358</v>
      </c>
    </row>
    <row r="40" spans="1:10" ht="12" customHeight="1" x14ac:dyDescent="0.2">
      <c r="A40" s="178"/>
      <c r="B40" s="370"/>
      <c r="C40" s="179"/>
      <c r="D40" s="180"/>
      <c r="E40" s="181"/>
      <c r="F40" s="181"/>
      <c r="G40" s="181"/>
    </row>
    <row r="41" spans="1:10" ht="24.95" customHeight="1" x14ac:dyDescent="0.2">
      <c r="A41" s="182" t="s">
        <v>26</v>
      </c>
      <c r="B41" s="142" t="s">
        <v>609</v>
      </c>
      <c r="C41" s="183">
        <v>12010106</v>
      </c>
      <c r="D41" s="142" t="s">
        <v>106</v>
      </c>
      <c r="E41" s="144">
        <v>0</v>
      </c>
      <c r="F41" s="145">
        <v>0</v>
      </c>
      <c r="G41" s="144">
        <v>0</v>
      </c>
    </row>
    <row r="42" spans="1:10" ht="15.75" customHeight="1" x14ac:dyDescent="0.2">
      <c r="A42" s="184"/>
      <c r="B42" s="142"/>
      <c r="C42" s="185"/>
      <c r="D42" s="142"/>
      <c r="E42" s="186">
        <f>SUM(E41)</f>
        <v>0</v>
      </c>
      <c r="F42" s="187">
        <f>SUM(F41)</f>
        <v>0</v>
      </c>
      <c r="G42" s="186">
        <f>SUM(G41)</f>
        <v>0</v>
      </c>
    </row>
    <row r="43" spans="1:10" s="103" customFormat="1" ht="24.75" customHeight="1" x14ac:dyDescent="0.25">
      <c r="A43" s="188"/>
      <c r="B43" s="370"/>
      <c r="C43" s="129"/>
      <c r="D43" s="189"/>
      <c r="E43" s="450"/>
      <c r="F43" s="190"/>
      <c r="G43" s="450"/>
    </row>
    <row r="44" spans="1:10" ht="18" customHeight="1" x14ac:dyDescent="0.2">
      <c r="A44" s="191"/>
      <c r="B44" s="123"/>
      <c r="C44" s="122">
        <v>1202</v>
      </c>
      <c r="D44" s="123" t="s">
        <v>107</v>
      </c>
      <c r="E44" s="448">
        <f>E46+E67+E330+E352+E501+E595+E626+E633+E645</f>
        <v>15390891359.049999</v>
      </c>
      <c r="F44" s="163">
        <f>F46+F67+F330+F352+F501+F595+F626+F633+F645</f>
        <v>4533916162.1462212</v>
      </c>
      <c r="G44" s="448">
        <f>G46+G67+G330+G352+G501+G595+G626+G633+G645</f>
        <v>5974075040.8199997</v>
      </c>
    </row>
    <row r="45" spans="1:10" ht="10.5" customHeight="1" x14ac:dyDescent="0.2">
      <c r="A45" s="192"/>
      <c r="B45" s="193"/>
      <c r="C45" s="128"/>
      <c r="D45" s="193"/>
      <c r="E45" s="403"/>
      <c r="F45" s="167"/>
      <c r="G45" s="403"/>
    </row>
    <row r="46" spans="1:10" s="104" customFormat="1" ht="15" customHeight="1" x14ac:dyDescent="0.2">
      <c r="A46" s="194"/>
      <c r="B46" s="134"/>
      <c r="C46" s="133">
        <v>120201</v>
      </c>
      <c r="D46" s="134" t="s">
        <v>108</v>
      </c>
      <c r="E46" s="195">
        <f t="shared" ref="E46" si="2">E54+E59+E62+E65</f>
        <v>311160000</v>
      </c>
      <c r="F46" s="459">
        <f t="shared" ref="F46:G46" si="3">F54+F59+F62+F65</f>
        <v>56583422.75</v>
      </c>
      <c r="G46" s="195">
        <f t="shared" si="3"/>
        <v>124094000</v>
      </c>
    </row>
    <row r="47" spans="1:10" ht="24.95" customHeight="1" x14ac:dyDescent="0.2">
      <c r="A47" s="126" t="s">
        <v>24</v>
      </c>
      <c r="B47" s="137" t="s">
        <v>25</v>
      </c>
      <c r="C47" s="138">
        <v>12020129</v>
      </c>
      <c r="D47" s="137" t="s">
        <v>109</v>
      </c>
      <c r="E47" s="173">
        <v>60000000</v>
      </c>
      <c r="F47" s="174">
        <v>25000</v>
      </c>
      <c r="G47" s="173">
        <v>3000000</v>
      </c>
      <c r="H47" s="502"/>
    </row>
    <row r="48" spans="1:10" ht="18.75" customHeight="1" x14ac:dyDescent="0.2">
      <c r="A48" s="141" t="s">
        <v>24</v>
      </c>
      <c r="B48" s="142" t="s">
        <v>25</v>
      </c>
      <c r="C48" s="143">
        <v>12020132</v>
      </c>
      <c r="D48" s="142" t="s">
        <v>110</v>
      </c>
      <c r="E48" s="202">
        <v>40000000</v>
      </c>
      <c r="F48" s="197">
        <f>6824535+1574250</f>
        <v>8398785</v>
      </c>
      <c r="G48" s="504">
        <v>25000000</v>
      </c>
    </row>
    <row r="49" spans="1:7" ht="24.95" customHeight="1" x14ac:dyDescent="0.2">
      <c r="A49" s="198"/>
      <c r="B49" s="127"/>
      <c r="C49" s="138"/>
      <c r="D49" s="199" t="s">
        <v>534</v>
      </c>
      <c r="E49" s="200"/>
      <c r="F49" s="201"/>
      <c r="G49" s="200"/>
    </row>
    <row r="50" spans="1:7" s="101" customFormat="1" ht="38.25" x14ac:dyDescent="0.25">
      <c r="A50" s="115" t="s">
        <v>352</v>
      </c>
      <c r="B50" s="115" t="s">
        <v>351</v>
      </c>
      <c r="C50" s="115" t="s">
        <v>94</v>
      </c>
      <c r="D50" s="115" t="s">
        <v>353</v>
      </c>
      <c r="E50" s="496" t="s">
        <v>618</v>
      </c>
      <c r="F50" s="496" t="s">
        <v>638</v>
      </c>
      <c r="G50" s="496" t="s">
        <v>637</v>
      </c>
    </row>
    <row r="51" spans="1:7" ht="24.95" customHeight="1" x14ac:dyDescent="0.2">
      <c r="A51" s="126" t="s">
        <v>24</v>
      </c>
      <c r="B51" s="137" t="s">
        <v>25</v>
      </c>
      <c r="C51" s="138">
        <v>12020133</v>
      </c>
      <c r="D51" s="137" t="s">
        <v>111</v>
      </c>
      <c r="E51" s="173">
        <v>60000000</v>
      </c>
      <c r="F51" s="174">
        <v>8243950</v>
      </c>
      <c r="G51" s="173">
        <v>30000000</v>
      </c>
    </row>
    <row r="52" spans="1:7" ht="24.95" customHeight="1" x14ac:dyDescent="0.2">
      <c r="A52" s="126" t="s">
        <v>24</v>
      </c>
      <c r="B52" s="137" t="s">
        <v>25</v>
      </c>
      <c r="C52" s="138">
        <v>12020138</v>
      </c>
      <c r="D52" s="137" t="s">
        <v>112</v>
      </c>
      <c r="E52" s="173">
        <v>80000000</v>
      </c>
      <c r="F52" s="174">
        <f>14503209+4227603.75</f>
        <v>18730812.75</v>
      </c>
      <c r="G52" s="173">
        <f t="shared" ref="G52" si="4">0.4*E52</f>
        <v>32000000</v>
      </c>
    </row>
    <row r="53" spans="1:7" ht="24.95" customHeight="1" x14ac:dyDescent="0.2">
      <c r="A53" s="141" t="s">
        <v>24</v>
      </c>
      <c r="B53" s="142" t="s">
        <v>25</v>
      </c>
      <c r="C53" s="143">
        <v>12020139</v>
      </c>
      <c r="D53" s="142" t="s">
        <v>113</v>
      </c>
      <c r="E53" s="202">
        <v>60000000</v>
      </c>
      <c r="F53" s="197">
        <f>16359750+4678125</f>
        <v>21037875</v>
      </c>
      <c r="G53" s="202">
        <v>30000000</v>
      </c>
    </row>
    <row r="54" spans="1:7" ht="24.95" customHeight="1" x14ac:dyDescent="0.2">
      <c r="A54" s="203"/>
      <c r="B54" s="377"/>
      <c r="C54" s="177"/>
      <c r="D54" s="177"/>
      <c r="E54" s="177">
        <f>SUM(E47:E53)</f>
        <v>300000000</v>
      </c>
      <c r="F54" s="204">
        <f>SUM(F47:F53)</f>
        <v>56436422.75</v>
      </c>
      <c r="G54" s="177">
        <f>SUM(G47:G53)</f>
        <v>120000000</v>
      </c>
    </row>
    <row r="55" spans="1:7" ht="24.95" customHeight="1" x14ac:dyDescent="0.2">
      <c r="A55" s="205"/>
      <c r="B55" s="381"/>
      <c r="C55" s="181"/>
      <c r="D55" s="179"/>
      <c r="E55" s="181"/>
      <c r="F55" s="206"/>
      <c r="G55" s="181"/>
    </row>
    <row r="56" spans="1:7" ht="24.95" customHeight="1" x14ac:dyDescent="0.2">
      <c r="A56" s="126" t="s">
        <v>27</v>
      </c>
      <c r="B56" s="137" t="s">
        <v>28</v>
      </c>
      <c r="C56" s="138">
        <v>12020134</v>
      </c>
      <c r="D56" s="137" t="s">
        <v>114</v>
      </c>
      <c r="E56" s="139">
        <v>1000000</v>
      </c>
      <c r="F56" s="140">
        <v>0</v>
      </c>
      <c r="G56" s="139">
        <v>0</v>
      </c>
    </row>
    <row r="57" spans="1:7" ht="24.95" customHeight="1" x14ac:dyDescent="0.2">
      <c r="A57" s="126" t="s">
        <v>27</v>
      </c>
      <c r="B57" s="137" t="s">
        <v>28</v>
      </c>
      <c r="C57" s="138">
        <v>12020134</v>
      </c>
      <c r="D57" s="137" t="s">
        <v>115</v>
      </c>
      <c r="E57" s="139">
        <v>10000000</v>
      </c>
      <c r="F57" s="140">
        <v>0</v>
      </c>
      <c r="G57" s="139">
        <f t="shared" ref="G57" si="5">0.4*E57</f>
        <v>4000000</v>
      </c>
    </row>
    <row r="58" spans="1:7" ht="24.95" customHeight="1" x14ac:dyDescent="0.2">
      <c r="A58" s="126" t="s">
        <v>27</v>
      </c>
      <c r="B58" s="137" t="s">
        <v>28</v>
      </c>
      <c r="C58" s="138">
        <v>12020134</v>
      </c>
      <c r="D58" s="137" t="s">
        <v>116</v>
      </c>
      <c r="E58" s="139">
        <v>50000</v>
      </c>
      <c r="F58" s="140">
        <v>40000</v>
      </c>
      <c r="G58" s="139">
        <v>50000</v>
      </c>
    </row>
    <row r="59" spans="1:7" ht="24.95" customHeight="1" x14ac:dyDescent="0.2">
      <c r="A59" s="207"/>
      <c r="B59" s="208"/>
      <c r="C59" s="146"/>
      <c r="D59" s="208"/>
      <c r="E59" s="149">
        <f>SUM(E56:E58)</f>
        <v>11050000</v>
      </c>
      <c r="F59" s="209">
        <f>SUM(F56:F58)</f>
        <v>40000</v>
      </c>
      <c r="G59" s="149">
        <f>SUM(G56:G58)</f>
        <v>4050000</v>
      </c>
    </row>
    <row r="60" spans="1:7" ht="24.95" customHeight="1" x14ac:dyDescent="0.2">
      <c r="A60" s="126"/>
      <c r="B60" s="137"/>
      <c r="C60" s="113"/>
      <c r="D60" s="210"/>
      <c r="E60" s="243"/>
      <c r="F60" s="211"/>
      <c r="G60" s="243"/>
    </row>
    <row r="61" spans="1:7" ht="24.95" customHeight="1" x14ac:dyDescent="0.2">
      <c r="A61" s="126" t="s">
        <v>29</v>
      </c>
      <c r="B61" s="137" t="s">
        <v>300</v>
      </c>
      <c r="C61" s="138">
        <v>12020140</v>
      </c>
      <c r="D61" s="137" t="s">
        <v>117</v>
      </c>
      <c r="E61" s="139">
        <v>100000</v>
      </c>
      <c r="F61" s="140">
        <v>107000</v>
      </c>
      <c r="G61" s="139">
        <f>0.4*E61</f>
        <v>40000</v>
      </c>
    </row>
    <row r="62" spans="1:7" ht="16.5" customHeight="1" x14ac:dyDescent="0.2">
      <c r="A62" s="207"/>
      <c r="B62" s="208"/>
      <c r="C62" s="146"/>
      <c r="D62" s="208"/>
      <c r="E62" s="149">
        <f>SUM(E61)</f>
        <v>100000</v>
      </c>
      <c r="F62" s="209">
        <f>SUM(F61)</f>
        <v>107000</v>
      </c>
      <c r="G62" s="149">
        <f>SUM(G61)</f>
        <v>40000</v>
      </c>
    </row>
    <row r="63" spans="1:7" s="105" customFormat="1" ht="24.95" customHeight="1" x14ac:dyDescent="0.2">
      <c r="A63" s="126"/>
      <c r="B63" s="137"/>
      <c r="C63" s="179"/>
      <c r="D63" s="180"/>
      <c r="E63" s="285"/>
      <c r="F63" s="212"/>
      <c r="G63" s="285"/>
    </row>
    <row r="64" spans="1:7" ht="24.95" customHeight="1" x14ac:dyDescent="0.2">
      <c r="A64" s="126" t="s">
        <v>32</v>
      </c>
      <c r="B64" s="137" t="s">
        <v>33</v>
      </c>
      <c r="C64" s="138">
        <v>12020130</v>
      </c>
      <c r="D64" s="137" t="s">
        <v>574</v>
      </c>
      <c r="E64" s="139">
        <v>10000</v>
      </c>
      <c r="F64" s="140">
        <v>0</v>
      </c>
      <c r="G64" s="139">
        <f>0.4*E64</f>
        <v>4000</v>
      </c>
    </row>
    <row r="65" spans="1:7" ht="16.5" customHeight="1" x14ac:dyDescent="0.2">
      <c r="A65" s="213"/>
      <c r="B65" s="214"/>
      <c r="C65" s="215"/>
      <c r="D65" s="214"/>
      <c r="E65" s="216">
        <f>SUM(E64)</f>
        <v>10000</v>
      </c>
      <c r="F65" s="217">
        <f>SUM(F64)</f>
        <v>0</v>
      </c>
      <c r="G65" s="216">
        <f>SUM(G64)</f>
        <v>4000</v>
      </c>
    </row>
    <row r="66" spans="1:7" s="106" customFormat="1" ht="12.75" customHeight="1" x14ac:dyDescent="0.25">
      <c r="A66" s="218"/>
      <c r="B66" s="219"/>
      <c r="C66" s="220"/>
      <c r="D66" s="219"/>
      <c r="E66" s="415"/>
      <c r="F66" s="221"/>
      <c r="G66" s="415"/>
    </row>
    <row r="67" spans="1:7" s="105" customFormat="1" ht="24.95" customHeight="1" x14ac:dyDescent="0.2">
      <c r="A67" s="222"/>
      <c r="B67" s="134"/>
      <c r="C67" s="222">
        <v>120204</v>
      </c>
      <c r="D67" s="134" t="s">
        <v>120</v>
      </c>
      <c r="E67" s="195">
        <f>E71+E86+E91+E95+E98+E103+E107+E113+E120+E126+E129+E133+E139+E142+E148+E172+E188+E195+E201+E206+E210+E213+E217+E221+E229+E235+E240+E243+E250+E253+E259+E297+E315+E325+E328</f>
        <v>9029317602.0499992</v>
      </c>
      <c r="F67" s="170">
        <f>F71+F86+F91+F95+F98+F103+F107+F113+F120+F126+F129+F133+F139+F142+F148+F172+F188+F195+F201+F206+F210+F213+F217+F221+F229+F235+F240+F243+F250+F253+F259+F297+F315+F325+F328</f>
        <v>1512327023.2100003</v>
      </c>
      <c r="G67" s="195">
        <f>G71+G86+G91+G95+G98+G103+G107+G113+G120+G126+G129+G133+G139+G142+G148+G172+G188+G195+G201+G206+G210+G213+G217+G221+G229+G235+G240+G243+G250+G253+G259+G297+G315+G325+G328</f>
        <v>3433719040.8199997</v>
      </c>
    </row>
    <row r="68" spans="1:7" s="102" customFormat="1" ht="24.75" customHeight="1" x14ac:dyDescent="0.2">
      <c r="A68" s="126" t="s">
        <v>24</v>
      </c>
      <c r="B68" s="137" t="s">
        <v>25</v>
      </c>
      <c r="C68" s="138">
        <v>12020401</v>
      </c>
      <c r="D68" s="137" t="s">
        <v>121</v>
      </c>
      <c r="E68" s="173">
        <v>10000000</v>
      </c>
      <c r="F68" s="174">
        <f>1578490+2020572</f>
        <v>3599062</v>
      </c>
      <c r="G68" s="173">
        <v>5000000</v>
      </c>
    </row>
    <row r="69" spans="1:7" s="102" customFormat="1" ht="24.95" customHeight="1" x14ac:dyDescent="0.2">
      <c r="A69" s="126" t="s">
        <v>24</v>
      </c>
      <c r="B69" s="137" t="s">
        <v>25</v>
      </c>
      <c r="C69" s="138">
        <v>12020402</v>
      </c>
      <c r="D69" s="137" t="s">
        <v>122</v>
      </c>
      <c r="E69" s="173">
        <v>50000000</v>
      </c>
      <c r="F69" s="174">
        <f>20722069.28+7096001.03</f>
        <v>27818070.310000002</v>
      </c>
      <c r="G69" s="173">
        <v>30000000</v>
      </c>
    </row>
    <row r="70" spans="1:7" s="102" customFormat="1" ht="24.95" customHeight="1" x14ac:dyDescent="0.2">
      <c r="A70" s="126" t="s">
        <v>24</v>
      </c>
      <c r="B70" s="137" t="s">
        <v>25</v>
      </c>
      <c r="C70" s="138">
        <v>12020403</v>
      </c>
      <c r="D70" s="137" t="s">
        <v>559</v>
      </c>
      <c r="E70" s="139">
        <v>0</v>
      </c>
      <c r="F70" s="174">
        <f>148506276+52421742</f>
        <v>200928018</v>
      </c>
      <c r="G70" s="139">
        <v>250000000</v>
      </c>
    </row>
    <row r="71" spans="1:7" s="102" customFormat="1" ht="15" customHeight="1" x14ac:dyDescent="0.2">
      <c r="A71" s="223"/>
      <c r="B71" s="226"/>
      <c r="C71" s="225"/>
      <c r="D71" s="226"/>
      <c r="E71" s="149">
        <f>SUM(E68:E70)</f>
        <v>60000000</v>
      </c>
      <c r="F71" s="228">
        <f>SUM(F68:F70)</f>
        <v>232345150.31</v>
      </c>
      <c r="G71" s="149">
        <f>SUM(G68:G70)</f>
        <v>285000000</v>
      </c>
    </row>
    <row r="72" spans="1:7" ht="24.95" customHeight="1" x14ac:dyDescent="0.2">
      <c r="A72" s="198"/>
      <c r="B72" s="127"/>
      <c r="C72" s="138"/>
      <c r="D72" s="199" t="s">
        <v>535</v>
      </c>
      <c r="E72" s="200"/>
      <c r="F72" s="201"/>
      <c r="G72" s="200"/>
    </row>
    <row r="73" spans="1:7" s="101" customFormat="1" ht="38.25" x14ac:dyDescent="0.25">
      <c r="A73" s="115" t="s">
        <v>352</v>
      </c>
      <c r="B73" s="115" t="s">
        <v>351</v>
      </c>
      <c r="C73" s="115" t="s">
        <v>94</v>
      </c>
      <c r="D73" s="115" t="s">
        <v>353</v>
      </c>
      <c r="E73" s="496" t="s">
        <v>618</v>
      </c>
      <c r="F73" s="496" t="s">
        <v>638</v>
      </c>
      <c r="G73" s="496" t="s">
        <v>637</v>
      </c>
    </row>
    <row r="74" spans="1:7" ht="24.95" customHeight="1" x14ac:dyDescent="0.2">
      <c r="A74" s="126" t="s">
        <v>34</v>
      </c>
      <c r="B74" s="137" t="s">
        <v>603</v>
      </c>
      <c r="C74" s="138">
        <v>12020404</v>
      </c>
      <c r="D74" s="137" t="s">
        <v>124</v>
      </c>
      <c r="E74" s="139">
        <v>80000000</v>
      </c>
      <c r="F74" s="211">
        <v>2728573</v>
      </c>
      <c r="G74" s="139">
        <v>40000000</v>
      </c>
    </row>
    <row r="75" spans="1:7" ht="24.95" customHeight="1" x14ac:dyDescent="0.2">
      <c r="A75" s="126" t="s">
        <v>34</v>
      </c>
      <c r="B75" s="137" t="s">
        <v>603</v>
      </c>
      <c r="C75" s="138">
        <v>12020405</v>
      </c>
      <c r="D75" s="137" t="s">
        <v>335</v>
      </c>
      <c r="E75" s="139">
        <v>25000000</v>
      </c>
      <c r="F75" s="211">
        <v>5567115.3399999999</v>
      </c>
      <c r="G75" s="139">
        <f t="shared" ref="G75:G84" si="6">0.4*E75</f>
        <v>10000000</v>
      </c>
    </row>
    <row r="76" spans="1:7" ht="24.95" customHeight="1" x14ac:dyDescent="0.2">
      <c r="A76" s="126" t="s">
        <v>34</v>
      </c>
      <c r="B76" s="137" t="s">
        <v>603</v>
      </c>
      <c r="C76" s="138">
        <v>12020406</v>
      </c>
      <c r="D76" s="137" t="s">
        <v>336</v>
      </c>
      <c r="E76" s="139">
        <v>1500000</v>
      </c>
      <c r="F76" s="211">
        <v>80000</v>
      </c>
      <c r="G76" s="139">
        <v>0</v>
      </c>
    </row>
    <row r="77" spans="1:7" ht="24.95" customHeight="1" x14ac:dyDescent="0.2">
      <c r="A77" s="126" t="s">
        <v>34</v>
      </c>
      <c r="B77" s="137" t="s">
        <v>603</v>
      </c>
      <c r="C77" s="138">
        <v>12020408</v>
      </c>
      <c r="D77" s="137" t="s">
        <v>338</v>
      </c>
      <c r="E77" s="139">
        <v>15000000</v>
      </c>
      <c r="F77" s="211">
        <f>8624000+822000</f>
        <v>9446000</v>
      </c>
      <c r="G77" s="139">
        <v>10000000</v>
      </c>
    </row>
    <row r="78" spans="1:7" ht="24.95" customHeight="1" x14ac:dyDescent="0.2">
      <c r="A78" s="126" t="s">
        <v>34</v>
      </c>
      <c r="B78" s="137" t="s">
        <v>603</v>
      </c>
      <c r="C78" s="138">
        <v>12020409</v>
      </c>
      <c r="D78" s="137" t="s">
        <v>339</v>
      </c>
      <c r="E78" s="139">
        <v>2000000</v>
      </c>
      <c r="F78" s="211">
        <f>817000+60000</f>
        <v>877000</v>
      </c>
      <c r="G78" s="139">
        <v>1200000</v>
      </c>
    </row>
    <row r="79" spans="1:7" ht="24.95" customHeight="1" x14ac:dyDescent="0.2">
      <c r="A79" s="126" t="s">
        <v>34</v>
      </c>
      <c r="B79" s="137" t="s">
        <v>603</v>
      </c>
      <c r="C79" s="138">
        <v>12020410</v>
      </c>
      <c r="D79" s="137" t="s">
        <v>340</v>
      </c>
      <c r="E79" s="139">
        <v>1000000</v>
      </c>
      <c r="F79" s="211">
        <v>0</v>
      </c>
      <c r="G79" s="139">
        <f t="shared" si="6"/>
        <v>400000</v>
      </c>
    </row>
    <row r="80" spans="1:7" ht="24.95" customHeight="1" x14ac:dyDescent="0.2">
      <c r="A80" s="126" t="s">
        <v>34</v>
      </c>
      <c r="B80" s="137" t="s">
        <v>603</v>
      </c>
      <c r="C80" s="138">
        <v>12020411</v>
      </c>
      <c r="D80" s="137" t="s">
        <v>341</v>
      </c>
      <c r="E80" s="139">
        <v>70000000</v>
      </c>
      <c r="F80" s="211">
        <f>10119000+331000</f>
        <v>10450000</v>
      </c>
      <c r="G80" s="139">
        <v>46000000</v>
      </c>
    </row>
    <row r="81" spans="1:7" ht="24.95" customHeight="1" x14ac:dyDescent="0.2">
      <c r="A81" s="126" t="s">
        <v>34</v>
      </c>
      <c r="B81" s="137" t="s">
        <v>603</v>
      </c>
      <c r="C81" s="138">
        <v>12020412</v>
      </c>
      <c r="D81" s="137" t="s">
        <v>342</v>
      </c>
      <c r="E81" s="139">
        <v>5000000</v>
      </c>
      <c r="F81" s="211">
        <f>5684485.88+4614544.62</f>
        <v>10299030.5</v>
      </c>
      <c r="G81" s="139">
        <v>8000000</v>
      </c>
    </row>
    <row r="82" spans="1:7" ht="24.95" customHeight="1" x14ac:dyDescent="0.2">
      <c r="A82" s="126" t="s">
        <v>34</v>
      </c>
      <c r="B82" s="137" t="s">
        <v>603</v>
      </c>
      <c r="C82" s="138">
        <v>12020413</v>
      </c>
      <c r="D82" s="137" t="s">
        <v>343</v>
      </c>
      <c r="E82" s="139">
        <v>10000000</v>
      </c>
      <c r="F82" s="211">
        <v>3000</v>
      </c>
      <c r="G82" s="139">
        <v>3000000</v>
      </c>
    </row>
    <row r="83" spans="1:7" ht="24.95" customHeight="1" x14ac:dyDescent="0.2">
      <c r="A83" s="126" t="s">
        <v>34</v>
      </c>
      <c r="B83" s="137" t="s">
        <v>603</v>
      </c>
      <c r="C83" s="138">
        <v>12020414</v>
      </c>
      <c r="D83" s="137" t="s">
        <v>573</v>
      </c>
      <c r="E83" s="139">
        <v>1000000</v>
      </c>
      <c r="F83" s="211">
        <v>2000</v>
      </c>
      <c r="G83" s="139">
        <f t="shared" si="6"/>
        <v>400000</v>
      </c>
    </row>
    <row r="84" spans="1:7" ht="24.95" customHeight="1" x14ac:dyDescent="0.2">
      <c r="A84" s="126" t="s">
        <v>34</v>
      </c>
      <c r="B84" s="137" t="s">
        <v>603</v>
      </c>
      <c r="C84" s="138">
        <v>12020416</v>
      </c>
      <c r="D84" s="137" t="s">
        <v>346</v>
      </c>
      <c r="E84" s="139">
        <v>1000000</v>
      </c>
      <c r="F84" s="211">
        <v>36000</v>
      </c>
      <c r="G84" s="139">
        <f t="shared" si="6"/>
        <v>400000</v>
      </c>
    </row>
    <row r="85" spans="1:7" ht="24.95" customHeight="1" x14ac:dyDescent="0.2">
      <c r="A85" s="126" t="s">
        <v>34</v>
      </c>
      <c r="B85" s="137" t="s">
        <v>603</v>
      </c>
      <c r="C85" s="138">
        <v>12020402</v>
      </c>
      <c r="D85" s="137" t="s">
        <v>122</v>
      </c>
      <c r="E85" s="139">
        <v>120000000</v>
      </c>
      <c r="F85" s="211">
        <v>33703832.789999999</v>
      </c>
      <c r="G85" s="139">
        <v>60000000</v>
      </c>
    </row>
    <row r="86" spans="1:7" ht="18.75" customHeight="1" x14ac:dyDescent="0.2">
      <c r="A86" s="229"/>
      <c r="B86" s="226"/>
      <c r="C86" s="230"/>
      <c r="D86" s="226"/>
      <c r="E86" s="149">
        <f>SUM(E74:E85)</f>
        <v>331500000</v>
      </c>
      <c r="F86" s="204">
        <f>SUM(F74:F85)</f>
        <v>73192551.629999995</v>
      </c>
      <c r="G86" s="149">
        <f>SUM(G74:G85)</f>
        <v>179400000</v>
      </c>
    </row>
    <row r="87" spans="1:7" s="104" customFormat="1" ht="15.75" customHeight="1" x14ac:dyDescent="0.2">
      <c r="A87" s="231"/>
      <c r="B87" s="137"/>
      <c r="C87" s="232"/>
      <c r="D87" s="233"/>
      <c r="E87" s="282"/>
      <c r="F87" s="234"/>
      <c r="G87" s="282"/>
    </row>
    <row r="88" spans="1:7" ht="24.95" customHeight="1" x14ac:dyDescent="0.2">
      <c r="A88" s="126" t="s">
        <v>35</v>
      </c>
      <c r="B88" s="137" t="s">
        <v>36</v>
      </c>
      <c r="C88" s="138">
        <v>12020418</v>
      </c>
      <c r="D88" s="137" t="s">
        <v>345</v>
      </c>
      <c r="E88" s="139">
        <v>50000000</v>
      </c>
      <c r="F88" s="235">
        <v>7010400</v>
      </c>
      <c r="G88" s="139">
        <v>20000000</v>
      </c>
    </row>
    <row r="89" spans="1:7" ht="24.95" customHeight="1" x14ac:dyDescent="0.2">
      <c r="A89" s="126" t="s">
        <v>35</v>
      </c>
      <c r="B89" s="137" t="s">
        <v>36</v>
      </c>
      <c r="C89" s="138">
        <v>12020419</v>
      </c>
      <c r="D89" s="137" t="s">
        <v>344</v>
      </c>
      <c r="E89" s="139">
        <v>10000000</v>
      </c>
      <c r="F89" s="140">
        <v>1349880</v>
      </c>
      <c r="G89" s="139">
        <v>4000000</v>
      </c>
    </row>
    <row r="90" spans="1:7" ht="24.95" customHeight="1" x14ac:dyDescent="0.2">
      <c r="A90" s="141" t="s">
        <v>35</v>
      </c>
      <c r="B90" s="142" t="s">
        <v>36</v>
      </c>
      <c r="C90" s="143">
        <v>12020420</v>
      </c>
      <c r="D90" s="142" t="s">
        <v>357</v>
      </c>
      <c r="E90" s="144">
        <v>3000000</v>
      </c>
      <c r="F90" s="145">
        <v>1538000</v>
      </c>
      <c r="G90" s="144">
        <v>2000000</v>
      </c>
    </row>
    <row r="91" spans="1:7" ht="24.95" customHeight="1" x14ac:dyDescent="0.2">
      <c r="A91" s="223"/>
      <c r="B91" s="226"/>
      <c r="C91" s="225"/>
      <c r="D91" s="226"/>
      <c r="E91" s="149">
        <f>SUM(E88:E90)</f>
        <v>63000000</v>
      </c>
      <c r="F91" s="209">
        <f>SUM(F88:F90)</f>
        <v>9898280</v>
      </c>
      <c r="G91" s="149">
        <f>SUM(G88:G90)</f>
        <v>26000000</v>
      </c>
    </row>
    <row r="92" spans="1:7" ht="24.95" customHeight="1" x14ac:dyDescent="0.2">
      <c r="A92" s="198"/>
      <c r="B92" s="127"/>
      <c r="C92" s="138"/>
      <c r="D92" s="199" t="s">
        <v>536</v>
      </c>
      <c r="E92" s="200"/>
      <c r="F92" s="201"/>
      <c r="G92" s="200"/>
    </row>
    <row r="93" spans="1:7" s="101" customFormat="1" ht="38.25" x14ac:dyDescent="0.25">
      <c r="A93" s="115" t="s">
        <v>352</v>
      </c>
      <c r="B93" s="115" t="s">
        <v>351</v>
      </c>
      <c r="C93" s="115" t="s">
        <v>94</v>
      </c>
      <c r="D93" s="115" t="s">
        <v>353</v>
      </c>
      <c r="E93" s="496" t="s">
        <v>618</v>
      </c>
      <c r="F93" s="496" t="s">
        <v>638</v>
      </c>
      <c r="G93" s="496" t="s">
        <v>637</v>
      </c>
    </row>
    <row r="94" spans="1:7" s="104" customFormat="1" ht="24.95" customHeight="1" x14ac:dyDescent="0.2">
      <c r="A94" s="126" t="s">
        <v>37</v>
      </c>
      <c r="B94" s="137" t="s">
        <v>38</v>
      </c>
      <c r="C94" s="138">
        <v>12020418</v>
      </c>
      <c r="D94" s="137" t="s">
        <v>345</v>
      </c>
      <c r="E94" s="139">
        <v>800000</v>
      </c>
      <c r="F94" s="140">
        <f>44000+7000</f>
        <v>51000</v>
      </c>
      <c r="G94" s="139">
        <v>400000</v>
      </c>
    </row>
    <row r="95" spans="1:7" s="104" customFormat="1" ht="24.95" customHeight="1" x14ac:dyDescent="0.2">
      <c r="A95" s="223"/>
      <c r="B95" s="226"/>
      <c r="C95" s="225"/>
      <c r="D95" s="226"/>
      <c r="E95" s="149">
        <f>SUM(E94)</f>
        <v>800000</v>
      </c>
      <c r="F95" s="209">
        <f>SUM(F94)</f>
        <v>51000</v>
      </c>
      <c r="G95" s="149">
        <f>SUM(G94)</f>
        <v>400000</v>
      </c>
    </row>
    <row r="96" spans="1:7" ht="24.95" customHeight="1" x14ac:dyDescent="0.2">
      <c r="A96" s="126"/>
      <c r="B96" s="137"/>
      <c r="C96" s="179"/>
      <c r="D96" s="180"/>
      <c r="E96" s="285"/>
      <c r="F96" s="212"/>
      <c r="G96" s="285"/>
    </row>
    <row r="97" spans="1:7" s="104" customFormat="1" ht="24.95" customHeight="1" x14ac:dyDescent="0.2">
      <c r="A97" s="126" t="s">
        <v>39</v>
      </c>
      <c r="B97" s="137" t="s">
        <v>40</v>
      </c>
      <c r="C97" s="138">
        <v>12020418</v>
      </c>
      <c r="D97" s="137" t="s">
        <v>345</v>
      </c>
      <c r="E97" s="139">
        <v>200000</v>
      </c>
      <c r="F97" s="140">
        <f>43250+3600+300</f>
        <v>47150</v>
      </c>
      <c r="G97" s="139">
        <f>0.4*E97</f>
        <v>80000</v>
      </c>
    </row>
    <row r="98" spans="1:7" s="104" customFormat="1" ht="24.95" customHeight="1" x14ac:dyDescent="0.2">
      <c r="A98" s="223"/>
      <c r="B98" s="226"/>
      <c r="C98" s="225"/>
      <c r="D98" s="226"/>
      <c r="E98" s="149">
        <f>SUM(E97)</f>
        <v>200000</v>
      </c>
      <c r="F98" s="209">
        <f>SUM(F97)</f>
        <v>47150</v>
      </c>
      <c r="G98" s="149">
        <f>SUM(G97)</f>
        <v>80000</v>
      </c>
    </row>
    <row r="99" spans="1:7" s="104" customFormat="1" ht="24.95" customHeight="1" x14ac:dyDescent="0.2">
      <c r="A99" s="126"/>
      <c r="B99" s="137"/>
      <c r="C99" s="138"/>
      <c r="D99" s="137"/>
      <c r="E99" s="139"/>
      <c r="F99" s="140"/>
      <c r="G99" s="139"/>
    </row>
    <row r="100" spans="1:7" s="104" customFormat="1" ht="24.95" customHeight="1" x14ac:dyDescent="0.2">
      <c r="A100" s="126" t="s">
        <v>96</v>
      </c>
      <c r="B100" s="137" t="s">
        <v>567</v>
      </c>
      <c r="C100" s="138">
        <v>12020421</v>
      </c>
      <c r="D100" s="137" t="s">
        <v>384</v>
      </c>
      <c r="E100" s="139">
        <v>2000000</v>
      </c>
      <c r="F100" s="140">
        <v>5100000</v>
      </c>
      <c r="G100" s="139">
        <f t="shared" ref="G100" si="7">0.4*E100</f>
        <v>800000</v>
      </c>
    </row>
    <row r="101" spans="1:7" s="104" customFormat="1" ht="24.95" customHeight="1" x14ac:dyDescent="0.2">
      <c r="A101" s="126" t="s">
        <v>96</v>
      </c>
      <c r="B101" s="137" t="s">
        <v>567</v>
      </c>
      <c r="C101" s="138">
        <v>12020422</v>
      </c>
      <c r="D101" s="137" t="s">
        <v>365</v>
      </c>
      <c r="E101" s="139">
        <v>600000</v>
      </c>
      <c r="F101" s="140">
        <v>150000</v>
      </c>
      <c r="G101" s="139">
        <v>400000</v>
      </c>
    </row>
    <row r="102" spans="1:7" s="104" customFormat="1" ht="24.95" customHeight="1" x14ac:dyDescent="0.2">
      <c r="A102" s="141" t="s">
        <v>96</v>
      </c>
      <c r="B102" s="142" t="s">
        <v>567</v>
      </c>
      <c r="C102" s="143">
        <v>12020423</v>
      </c>
      <c r="D102" s="142" t="s">
        <v>385</v>
      </c>
      <c r="E102" s="144">
        <v>5000000</v>
      </c>
      <c r="F102" s="145">
        <v>0</v>
      </c>
      <c r="G102" s="144">
        <v>500000</v>
      </c>
    </row>
    <row r="103" spans="1:7" s="104" customFormat="1" ht="24.95" customHeight="1" x14ac:dyDescent="0.2">
      <c r="A103" s="223"/>
      <c r="B103" s="226"/>
      <c r="C103" s="225"/>
      <c r="D103" s="226"/>
      <c r="E103" s="149">
        <f>SUM(E100:E102)</f>
        <v>7600000</v>
      </c>
      <c r="F103" s="209">
        <f>SUM(F100:F102)</f>
        <v>5250000</v>
      </c>
      <c r="G103" s="149">
        <f>SUM(G100:G102)</f>
        <v>1700000</v>
      </c>
    </row>
    <row r="104" spans="1:7" s="104" customFormat="1" ht="24.95" customHeight="1" x14ac:dyDescent="0.2">
      <c r="A104" s="236"/>
      <c r="B104" s="193"/>
      <c r="C104" s="128"/>
      <c r="D104" s="193"/>
      <c r="E104" s="282"/>
      <c r="F104" s="190"/>
      <c r="G104" s="282"/>
    </row>
    <row r="105" spans="1:7" s="104" customFormat="1" ht="24.95" customHeight="1" x14ac:dyDescent="0.2">
      <c r="A105" s="126" t="s">
        <v>30</v>
      </c>
      <c r="B105" s="137" t="s">
        <v>31</v>
      </c>
      <c r="C105" s="138">
        <v>12020424</v>
      </c>
      <c r="D105" s="137" t="s">
        <v>386</v>
      </c>
      <c r="E105" s="139">
        <v>1000000</v>
      </c>
      <c r="F105" s="140">
        <f>301000+30000</f>
        <v>331000</v>
      </c>
      <c r="G105" s="139">
        <f t="shared" ref="G105" si="8">0.4*E105</f>
        <v>400000</v>
      </c>
    </row>
    <row r="106" spans="1:7" ht="24.95" customHeight="1" x14ac:dyDescent="0.2">
      <c r="A106" s="126" t="s">
        <v>30</v>
      </c>
      <c r="B106" s="137" t="s">
        <v>31</v>
      </c>
      <c r="C106" s="138">
        <v>12020110</v>
      </c>
      <c r="D106" s="137" t="s">
        <v>118</v>
      </c>
      <c r="E106" s="139">
        <v>500000</v>
      </c>
      <c r="F106" s="140">
        <v>0</v>
      </c>
      <c r="G106" s="139">
        <v>0</v>
      </c>
    </row>
    <row r="107" spans="1:7" s="104" customFormat="1" ht="16.5" customHeight="1" x14ac:dyDescent="0.2">
      <c r="A107" s="229"/>
      <c r="B107" s="226"/>
      <c r="C107" s="237"/>
      <c r="D107" s="226"/>
      <c r="E107" s="411">
        <f>SUM(E105:E106)</f>
        <v>1500000</v>
      </c>
      <c r="F107" s="149">
        <f>SUM(F105:F106)</f>
        <v>331000</v>
      </c>
      <c r="G107" s="411">
        <f>SUM(G105:G106)</f>
        <v>400000</v>
      </c>
    </row>
    <row r="108" spans="1:7" s="104" customFormat="1" ht="17.25" customHeight="1" x14ac:dyDescent="0.2">
      <c r="A108" s="231"/>
      <c r="B108" s="137"/>
      <c r="C108" s="232"/>
      <c r="D108" s="239"/>
      <c r="E108" s="282"/>
      <c r="F108" s="240"/>
      <c r="G108" s="282"/>
    </row>
    <row r="109" spans="1:7" ht="24.95" customHeight="1" x14ac:dyDescent="0.2">
      <c r="A109" s="126" t="s">
        <v>42</v>
      </c>
      <c r="B109" s="137" t="s">
        <v>523</v>
      </c>
      <c r="C109" s="138">
        <v>12020425</v>
      </c>
      <c r="D109" s="137" t="s">
        <v>238</v>
      </c>
      <c r="E109" s="173">
        <v>250000</v>
      </c>
      <c r="F109" s="174">
        <v>0</v>
      </c>
      <c r="G109" s="173">
        <v>0</v>
      </c>
    </row>
    <row r="110" spans="1:7" s="104" customFormat="1" ht="24.95" customHeight="1" x14ac:dyDescent="0.2">
      <c r="A110" s="126" t="s">
        <v>42</v>
      </c>
      <c r="B110" s="137" t="s">
        <v>523</v>
      </c>
      <c r="C110" s="138">
        <v>12020428</v>
      </c>
      <c r="D110" s="137" t="s">
        <v>241</v>
      </c>
      <c r="E110" s="173">
        <v>270000000</v>
      </c>
      <c r="F110" s="174">
        <v>52281544.039999999</v>
      </c>
      <c r="G110" s="173">
        <v>100000000</v>
      </c>
    </row>
    <row r="111" spans="1:7" s="104" customFormat="1" ht="24.95" customHeight="1" x14ac:dyDescent="0.2">
      <c r="A111" s="126" t="s">
        <v>42</v>
      </c>
      <c r="B111" s="137" t="s">
        <v>523</v>
      </c>
      <c r="C111" s="138">
        <v>12020429</v>
      </c>
      <c r="D111" s="137" t="s">
        <v>240</v>
      </c>
      <c r="E111" s="173">
        <v>3500000</v>
      </c>
      <c r="F111" s="174">
        <v>0</v>
      </c>
      <c r="G111" s="173">
        <f t="shared" ref="G111:G112" si="9">0.4*E111</f>
        <v>1400000</v>
      </c>
    </row>
    <row r="112" spans="1:7" s="104" customFormat="1" ht="24.95" customHeight="1" x14ac:dyDescent="0.2">
      <c r="A112" s="141" t="s">
        <v>42</v>
      </c>
      <c r="B112" s="142" t="s">
        <v>523</v>
      </c>
      <c r="C112" s="143">
        <v>12020430</v>
      </c>
      <c r="D112" s="142" t="s">
        <v>239</v>
      </c>
      <c r="E112" s="202">
        <v>2000000</v>
      </c>
      <c r="F112" s="197">
        <v>0</v>
      </c>
      <c r="G112" s="202">
        <f t="shared" si="9"/>
        <v>800000</v>
      </c>
    </row>
    <row r="113" spans="1:7" s="104" customFormat="1" ht="24.95" customHeight="1" x14ac:dyDescent="0.2">
      <c r="A113" s="223"/>
      <c r="B113" s="226"/>
      <c r="C113" s="225"/>
      <c r="D113" s="226"/>
      <c r="E113" s="227">
        <f>SUM(E109:E112)</f>
        <v>275750000</v>
      </c>
      <c r="F113" s="228">
        <f>SUM(F109:F112)</f>
        <v>52281544.039999999</v>
      </c>
      <c r="G113" s="227">
        <f>SUM(G109:G112)</f>
        <v>102200000</v>
      </c>
    </row>
    <row r="114" spans="1:7" ht="24.95" customHeight="1" x14ac:dyDescent="0.2">
      <c r="A114" s="198"/>
      <c r="B114" s="127"/>
      <c r="C114" s="138"/>
      <c r="D114" s="199" t="s">
        <v>537</v>
      </c>
      <c r="E114" s="200"/>
      <c r="F114" s="201"/>
      <c r="G114" s="200"/>
    </row>
    <row r="115" spans="1:7" s="101" customFormat="1" ht="38.25" x14ac:dyDescent="0.25">
      <c r="A115" s="115" t="s">
        <v>352</v>
      </c>
      <c r="B115" s="115" t="s">
        <v>351</v>
      </c>
      <c r="C115" s="115" t="s">
        <v>94</v>
      </c>
      <c r="D115" s="115" t="s">
        <v>353</v>
      </c>
      <c r="E115" s="496" t="s">
        <v>618</v>
      </c>
      <c r="F115" s="496" t="s">
        <v>638</v>
      </c>
      <c r="G115" s="496" t="s">
        <v>637</v>
      </c>
    </row>
    <row r="116" spans="1:7" ht="24.95" customHeight="1" x14ac:dyDescent="0.2">
      <c r="A116" s="241" t="s">
        <v>485</v>
      </c>
      <c r="B116" s="312" t="s">
        <v>367</v>
      </c>
      <c r="C116" s="138">
        <v>12020426</v>
      </c>
      <c r="D116" s="210" t="s">
        <v>243</v>
      </c>
      <c r="E116" s="243">
        <v>1000000</v>
      </c>
      <c r="F116" s="211">
        <v>0</v>
      </c>
      <c r="G116" s="243">
        <f t="shared" ref="G116:G119" si="10">0.4*E116</f>
        <v>400000</v>
      </c>
    </row>
    <row r="117" spans="1:7" ht="24.95" customHeight="1" x14ac:dyDescent="0.2">
      <c r="A117" s="241" t="s">
        <v>485</v>
      </c>
      <c r="B117" s="312" t="s">
        <v>367</v>
      </c>
      <c r="C117" s="138">
        <v>12020427</v>
      </c>
      <c r="D117" s="210" t="s">
        <v>242</v>
      </c>
      <c r="E117" s="243">
        <v>5000000</v>
      </c>
      <c r="F117" s="211">
        <v>0</v>
      </c>
      <c r="G117" s="243">
        <f t="shared" si="10"/>
        <v>2000000</v>
      </c>
    </row>
    <row r="118" spans="1:7" ht="24.95" customHeight="1" x14ac:dyDescent="0.2">
      <c r="A118" s="241" t="s">
        <v>485</v>
      </c>
      <c r="B118" s="312" t="s">
        <v>367</v>
      </c>
      <c r="C118" s="138">
        <v>12020431</v>
      </c>
      <c r="D118" s="210" t="s">
        <v>368</v>
      </c>
      <c r="E118" s="243">
        <v>1000000</v>
      </c>
      <c r="F118" s="211">
        <v>0</v>
      </c>
      <c r="G118" s="243">
        <f t="shared" si="10"/>
        <v>400000</v>
      </c>
    </row>
    <row r="119" spans="1:7" ht="24.95" customHeight="1" x14ac:dyDescent="0.2">
      <c r="A119" s="241" t="s">
        <v>485</v>
      </c>
      <c r="B119" s="312" t="s">
        <v>367</v>
      </c>
      <c r="C119" s="138">
        <v>12020432</v>
      </c>
      <c r="D119" s="210" t="s">
        <v>154</v>
      </c>
      <c r="E119" s="243">
        <v>2000000</v>
      </c>
      <c r="F119" s="211">
        <v>0</v>
      </c>
      <c r="G119" s="243">
        <f t="shared" si="10"/>
        <v>800000</v>
      </c>
    </row>
    <row r="120" spans="1:7" ht="24.95" customHeight="1" x14ac:dyDescent="0.2">
      <c r="A120" s="244"/>
      <c r="B120" s="225"/>
      <c r="C120" s="225"/>
      <c r="D120" s="177"/>
      <c r="E120" s="177">
        <f>SUM(E116:E119)</f>
        <v>9000000</v>
      </c>
      <c r="F120" s="204">
        <f>SUM(F116:F119)</f>
        <v>0</v>
      </c>
      <c r="G120" s="177">
        <f>SUM(G116:G119)</f>
        <v>3600000</v>
      </c>
    </row>
    <row r="121" spans="1:7" ht="24.95" customHeight="1" x14ac:dyDescent="0.2">
      <c r="A121" s="245"/>
      <c r="B121" s="137"/>
      <c r="C121" s="179"/>
      <c r="D121" s="210"/>
      <c r="E121" s="243"/>
      <c r="F121" s="211"/>
      <c r="G121" s="243"/>
    </row>
    <row r="122" spans="1:7" ht="24.95" customHeight="1" x14ac:dyDescent="0.2">
      <c r="A122" s="245" t="s">
        <v>26</v>
      </c>
      <c r="B122" s="137" t="s">
        <v>609</v>
      </c>
      <c r="C122" s="138">
        <v>12020433</v>
      </c>
      <c r="D122" s="137" t="s">
        <v>391</v>
      </c>
      <c r="E122" s="139">
        <v>300000</v>
      </c>
      <c r="F122" s="140">
        <f>233600+10000</f>
        <v>243600</v>
      </c>
      <c r="G122" s="139">
        <f t="shared" ref="G122:G124" si="11">0.4*E122</f>
        <v>120000</v>
      </c>
    </row>
    <row r="123" spans="1:7" ht="24.95" customHeight="1" x14ac:dyDescent="0.2">
      <c r="A123" s="245" t="s">
        <v>26</v>
      </c>
      <c r="B123" s="137" t="s">
        <v>609</v>
      </c>
      <c r="C123" s="138">
        <v>12020434</v>
      </c>
      <c r="D123" s="137" t="s">
        <v>390</v>
      </c>
      <c r="E123" s="139">
        <v>5000000</v>
      </c>
      <c r="F123" s="140">
        <v>2500000</v>
      </c>
      <c r="G123" s="139">
        <v>4000000</v>
      </c>
    </row>
    <row r="124" spans="1:7" ht="24.95" customHeight="1" x14ac:dyDescent="0.2">
      <c r="A124" s="245" t="s">
        <v>26</v>
      </c>
      <c r="B124" s="137" t="s">
        <v>609</v>
      </c>
      <c r="C124" s="138">
        <v>12020435</v>
      </c>
      <c r="D124" s="137" t="s">
        <v>389</v>
      </c>
      <c r="E124" s="139">
        <v>500000</v>
      </c>
      <c r="F124" s="140">
        <v>5000</v>
      </c>
      <c r="G124" s="139">
        <f t="shared" si="11"/>
        <v>200000</v>
      </c>
    </row>
    <row r="125" spans="1:7" ht="24.95" customHeight="1" x14ac:dyDescent="0.2">
      <c r="A125" s="246" t="s">
        <v>26</v>
      </c>
      <c r="B125" s="137" t="s">
        <v>609</v>
      </c>
      <c r="C125" s="138">
        <v>12020436</v>
      </c>
      <c r="D125" s="137" t="s">
        <v>388</v>
      </c>
      <c r="E125" s="139">
        <v>18000000</v>
      </c>
      <c r="F125" s="140">
        <v>2500000</v>
      </c>
      <c r="G125" s="139">
        <v>6000000</v>
      </c>
    </row>
    <row r="126" spans="1:7" ht="24.95" customHeight="1" x14ac:dyDescent="0.2">
      <c r="A126" s="223"/>
      <c r="B126" s="226"/>
      <c r="C126" s="225"/>
      <c r="D126" s="226"/>
      <c r="E126" s="149">
        <f>SUM(E122:E125)</f>
        <v>23800000</v>
      </c>
      <c r="F126" s="209">
        <f>SUM(F122:F125)</f>
        <v>5248600</v>
      </c>
      <c r="G126" s="149">
        <f>SUM(G122:G125)</f>
        <v>10320000</v>
      </c>
    </row>
    <row r="127" spans="1:7" s="104" customFormat="1" ht="24.95" customHeight="1" x14ac:dyDescent="0.2">
      <c r="A127" s="247"/>
      <c r="B127" s="259"/>
      <c r="C127" s="248"/>
      <c r="D127" s="233"/>
      <c r="E127" s="401"/>
      <c r="F127" s="249"/>
      <c r="G127" s="401"/>
    </row>
    <row r="128" spans="1:7" s="104" customFormat="1" ht="24.95" customHeight="1" x14ac:dyDescent="0.2">
      <c r="A128" s="141" t="s">
        <v>27</v>
      </c>
      <c r="B128" s="142" t="s">
        <v>28</v>
      </c>
      <c r="C128" s="143">
        <v>12020437</v>
      </c>
      <c r="D128" s="142" t="s">
        <v>387</v>
      </c>
      <c r="E128" s="144">
        <v>60000000</v>
      </c>
      <c r="F128" s="145">
        <f>1785000+50000</f>
        <v>1835000</v>
      </c>
      <c r="G128" s="144">
        <v>20000000</v>
      </c>
    </row>
    <row r="129" spans="1:7" s="104" customFormat="1" ht="24.95" customHeight="1" x14ac:dyDescent="0.2">
      <c r="A129" s="223"/>
      <c r="B129" s="226"/>
      <c r="C129" s="225"/>
      <c r="D129" s="226"/>
      <c r="E129" s="149">
        <f>SUM(E128)</f>
        <v>60000000</v>
      </c>
      <c r="F129" s="209">
        <f>SUM(F128)</f>
        <v>1835000</v>
      </c>
      <c r="G129" s="149">
        <f>SUM(G128)</f>
        <v>20000000</v>
      </c>
    </row>
    <row r="130" spans="1:7" s="104" customFormat="1" ht="24.95" customHeight="1" x14ac:dyDescent="0.2">
      <c r="A130" s="250"/>
      <c r="B130" s="127"/>
      <c r="C130" s="251"/>
      <c r="D130" s="179"/>
      <c r="E130" s="181"/>
      <c r="F130" s="252"/>
      <c r="G130" s="181"/>
    </row>
    <row r="131" spans="1:7" s="104" customFormat="1" ht="24.95" customHeight="1" x14ac:dyDescent="0.2">
      <c r="A131" s="333" t="s">
        <v>631</v>
      </c>
      <c r="B131" s="137" t="s">
        <v>226</v>
      </c>
      <c r="C131" s="138">
        <v>12020438</v>
      </c>
      <c r="D131" s="137" t="s">
        <v>244</v>
      </c>
      <c r="E131" s="139">
        <v>6000000</v>
      </c>
      <c r="F131" s="140"/>
      <c r="G131" s="139">
        <f t="shared" ref="G131:G132" si="12">0.4*E131</f>
        <v>2400000</v>
      </c>
    </row>
    <row r="132" spans="1:7" s="104" customFormat="1" ht="24.95" customHeight="1" x14ac:dyDescent="0.2">
      <c r="A132" s="333" t="s">
        <v>631</v>
      </c>
      <c r="B132" s="137" t="s">
        <v>226</v>
      </c>
      <c r="C132" s="138">
        <v>12020439</v>
      </c>
      <c r="D132" s="137" t="s">
        <v>245</v>
      </c>
      <c r="E132" s="139">
        <v>3000000</v>
      </c>
      <c r="F132" s="140"/>
      <c r="G132" s="139">
        <f t="shared" si="12"/>
        <v>1200000</v>
      </c>
    </row>
    <row r="133" spans="1:7" s="104" customFormat="1" ht="24.95" customHeight="1" x14ac:dyDescent="0.2">
      <c r="A133" s="215"/>
      <c r="B133" s="214"/>
      <c r="C133" s="215"/>
      <c r="D133" s="214"/>
      <c r="E133" s="216">
        <f>SUM(E131:E132)</f>
        <v>9000000</v>
      </c>
      <c r="F133" s="217">
        <f>SUM(F131:F132)</f>
        <v>0</v>
      </c>
      <c r="G133" s="216">
        <f>SUM(G131:G132)</f>
        <v>3600000</v>
      </c>
    </row>
    <row r="134" spans="1:7" s="104" customFormat="1" ht="24.95" customHeight="1" x14ac:dyDescent="0.2">
      <c r="A134" s="255"/>
      <c r="B134" s="379"/>
      <c r="C134" s="256"/>
      <c r="D134" s="256"/>
      <c r="E134" s="256"/>
      <c r="F134" s="257"/>
      <c r="G134" s="256"/>
    </row>
    <row r="135" spans="1:7" ht="24.95" customHeight="1" x14ac:dyDescent="0.2">
      <c r="A135" s="198"/>
      <c r="B135" s="127"/>
      <c r="C135" s="138"/>
      <c r="D135" s="199" t="s">
        <v>538</v>
      </c>
      <c r="E135" s="200"/>
      <c r="F135" s="201"/>
      <c r="G135" s="200"/>
    </row>
    <row r="136" spans="1:7" s="101" customFormat="1" ht="38.25" x14ac:dyDescent="0.25">
      <c r="A136" s="115" t="s">
        <v>352</v>
      </c>
      <c r="B136" s="115" t="s">
        <v>351</v>
      </c>
      <c r="C136" s="115" t="s">
        <v>94</v>
      </c>
      <c r="D136" s="115" t="s">
        <v>353</v>
      </c>
      <c r="E136" s="496" t="s">
        <v>618</v>
      </c>
      <c r="F136" s="496" t="s">
        <v>638</v>
      </c>
      <c r="G136" s="496" t="s">
        <v>637</v>
      </c>
    </row>
    <row r="137" spans="1:7" s="104" customFormat="1" ht="24.95" customHeight="1" x14ac:dyDescent="0.2">
      <c r="A137" s="253">
        <v>52100100100</v>
      </c>
      <c r="B137" s="137" t="s">
        <v>229</v>
      </c>
      <c r="C137" s="138">
        <v>12020438</v>
      </c>
      <c r="D137" s="137" t="s">
        <v>244</v>
      </c>
      <c r="E137" s="139">
        <v>8000000</v>
      </c>
      <c r="F137" s="140">
        <v>3130000</v>
      </c>
      <c r="G137" s="139">
        <f t="shared" ref="G137:G138" si="13">0.4*E137</f>
        <v>3200000</v>
      </c>
    </row>
    <row r="138" spans="1:7" s="104" customFormat="1" ht="24.95" customHeight="1" x14ac:dyDescent="0.2">
      <c r="A138" s="253">
        <v>52100100100</v>
      </c>
      <c r="B138" s="137" t="s">
        <v>229</v>
      </c>
      <c r="C138" s="138">
        <v>12020439</v>
      </c>
      <c r="D138" s="137" t="s">
        <v>245</v>
      </c>
      <c r="E138" s="139">
        <v>1500000</v>
      </c>
      <c r="F138" s="140">
        <v>0</v>
      </c>
      <c r="G138" s="139">
        <f t="shared" si="13"/>
        <v>600000</v>
      </c>
    </row>
    <row r="139" spans="1:7" s="104" customFormat="1" ht="24.95" customHeight="1" x14ac:dyDescent="0.2">
      <c r="A139" s="215"/>
      <c r="B139" s="214"/>
      <c r="C139" s="215"/>
      <c r="D139" s="214"/>
      <c r="E139" s="216">
        <f>SUM(E137:E138)</f>
        <v>9500000</v>
      </c>
      <c r="F139" s="217">
        <f>SUM(F137:F138)</f>
        <v>3130000</v>
      </c>
      <c r="G139" s="216">
        <f>SUM(G137:G138)</f>
        <v>3800000</v>
      </c>
    </row>
    <row r="140" spans="1:7" s="104" customFormat="1" ht="24.95" customHeight="1" x14ac:dyDescent="0.2">
      <c r="A140" s="258"/>
      <c r="B140" s="259"/>
      <c r="C140" s="256"/>
      <c r="D140" s="181"/>
      <c r="E140" s="401"/>
      <c r="F140" s="260"/>
      <c r="G140" s="401"/>
    </row>
    <row r="141" spans="1:7" s="104" customFormat="1" ht="24.95" customHeight="1" x14ac:dyDescent="0.2">
      <c r="A141" s="141" t="s">
        <v>32</v>
      </c>
      <c r="B141" s="142" t="s">
        <v>33</v>
      </c>
      <c r="C141" s="143">
        <v>12020449</v>
      </c>
      <c r="D141" s="142" t="s">
        <v>125</v>
      </c>
      <c r="E141" s="144">
        <v>10000</v>
      </c>
      <c r="F141" s="145">
        <v>0</v>
      </c>
      <c r="G141" s="144">
        <v>0</v>
      </c>
    </row>
    <row r="142" spans="1:7" s="104" customFormat="1" ht="24.95" customHeight="1" x14ac:dyDescent="0.2">
      <c r="A142" s="261"/>
      <c r="B142" s="262"/>
      <c r="C142" s="263"/>
      <c r="D142" s="262"/>
      <c r="E142" s="451">
        <f>SUM(E141)</f>
        <v>10000</v>
      </c>
      <c r="F142" s="187">
        <f>SUM(F141)</f>
        <v>0</v>
      </c>
      <c r="G142" s="451">
        <f>SUM(G141)</f>
        <v>0</v>
      </c>
    </row>
    <row r="143" spans="1:7" ht="24.95" customHeight="1" x14ac:dyDescent="0.2">
      <c r="A143" s="264"/>
      <c r="B143" s="137"/>
      <c r="C143" s="179"/>
      <c r="D143" s="180"/>
      <c r="E143" s="285"/>
      <c r="F143" s="212"/>
      <c r="G143" s="285"/>
    </row>
    <row r="144" spans="1:7" ht="24.95" customHeight="1" x14ac:dyDescent="0.2">
      <c r="A144" s="264" t="s">
        <v>371</v>
      </c>
      <c r="B144" s="137" t="s">
        <v>370</v>
      </c>
      <c r="C144" s="138">
        <v>12020450</v>
      </c>
      <c r="D144" s="137" t="s">
        <v>381</v>
      </c>
      <c r="E144" s="139">
        <v>600000</v>
      </c>
      <c r="F144" s="140"/>
      <c r="G144" s="139">
        <v>50000</v>
      </c>
    </row>
    <row r="145" spans="1:7" s="104" customFormat="1" ht="24.95" customHeight="1" x14ac:dyDescent="0.2">
      <c r="A145" s="264" t="s">
        <v>371</v>
      </c>
      <c r="B145" s="137" t="s">
        <v>370</v>
      </c>
      <c r="C145" s="138">
        <v>12020451</v>
      </c>
      <c r="D145" s="137" t="s">
        <v>382</v>
      </c>
      <c r="E145" s="139">
        <v>0</v>
      </c>
      <c r="F145" s="140">
        <v>0</v>
      </c>
      <c r="G145" s="139">
        <f t="shared" ref="G145" si="14">0.4*E145</f>
        <v>0</v>
      </c>
    </row>
    <row r="146" spans="1:7" s="104" customFormat="1" ht="24.95" customHeight="1" x14ac:dyDescent="0.2">
      <c r="A146" s="264" t="s">
        <v>371</v>
      </c>
      <c r="B146" s="137" t="s">
        <v>370</v>
      </c>
      <c r="C146" s="138">
        <v>12020452</v>
      </c>
      <c r="D146" s="137" t="s">
        <v>126</v>
      </c>
      <c r="E146" s="139">
        <v>400000</v>
      </c>
      <c r="F146" s="140">
        <v>0</v>
      </c>
      <c r="G146" s="139">
        <v>0</v>
      </c>
    </row>
    <row r="147" spans="1:7" s="104" customFormat="1" ht="24.95" customHeight="1" x14ac:dyDescent="0.2">
      <c r="A147" s="265" t="s">
        <v>371</v>
      </c>
      <c r="B147" s="142" t="s">
        <v>370</v>
      </c>
      <c r="C147" s="143">
        <v>12020452</v>
      </c>
      <c r="D147" s="142" t="s">
        <v>127</v>
      </c>
      <c r="E147" s="144">
        <v>200000</v>
      </c>
      <c r="F147" s="145">
        <v>0</v>
      </c>
      <c r="G147" s="144">
        <v>0</v>
      </c>
    </row>
    <row r="148" spans="1:7" s="104" customFormat="1" ht="24.95" customHeight="1" x14ac:dyDescent="0.2">
      <c r="A148" s="266"/>
      <c r="B148" s="214"/>
      <c r="C148" s="215"/>
      <c r="D148" s="214"/>
      <c r="E148" s="216">
        <f>SUM(E144:E147)</f>
        <v>1200000</v>
      </c>
      <c r="F148" s="217">
        <f>SUM(F144:F147)</f>
        <v>0</v>
      </c>
      <c r="G148" s="216">
        <f>SUM(G144:G147)</f>
        <v>50000</v>
      </c>
    </row>
    <row r="149" spans="1:7" s="104" customFormat="1" ht="24.95" customHeight="1" x14ac:dyDescent="0.2">
      <c r="A149" s="247"/>
      <c r="B149" s="259"/>
      <c r="C149" s="248"/>
      <c r="D149" s="233"/>
      <c r="E149" s="401"/>
      <c r="F149" s="249"/>
      <c r="G149" s="401"/>
    </row>
    <row r="150" spans="1:7" ht="24.95" customHeight="1" x14ac:dyDescent="0.2">
      <c r="A150" s="126" t="s">
        <v>44</v>
      </c>
      <c r="B150" s="137" t="s">
        <v>610</v>
      </c>
      <c r="C150" s="138">
        <v>12020453</v>
      </c>
      <c r="D150" s="137" t="s">
        <v>375</v>
      </c>
      <c r="E150" s="139">
        <v>0</v>
      </c>
      <c r="F150" s="140">
        <v>0</v>
      </c>
      <c r="G150" s="139">
        <f t="shared" ref="G150:G154" si="15">0.4*E150</f>
        <v>0</v>
      </c>
    </row>
    <row r="151" spans="1:7" ht="24.95" customHeight="1" x14ac:dyDescent="0.2">
      <c r="A151" s="126" t="s">
        <v>44</v>
      </c>
      <c r="B151" s="137" t="s">
        <v>610</v>
      </c>
      <c r="C151" s="138">
        <v>12020453</v>
      </c>
      <c r="D151" s="137" t="s">
        <v>498</v>
      </c>
      <c r="E151" s="139">
        <v>100000</v>
      </c>
      <c r="F151" s="140">
        <v>0</v>
      </c>
      <c r="G151" s="139">
        <v>0</v>
      </c>
    </row>
    <row r="152" spans="1:7" ht="30.75" customHeight="1" x14ac:dyDescent="0.2">
      <c r="A152" s="126" t="s">
        <v>44</v>
      </c>
      <c r="B152" s="137" t="s">
        <v>610</v>
      </c>
      <c r="C152" s="138">
        <v>12020454</v>
      </c>
      <c r="D152" s="137" t="s">
        <v>611</v>
      </c>
      <c r="E152" s="139">
        <v>10000000</v>
      </c>
      <c r="F152" s="140">
        <v>0</v>
      </c>
      <c r="G152" s="139">
        <f t="shared" si="15"/>
        <v>4000000</v>
      </c>
    </row>
    <row r="153" spans="1:7" ht="24.95" customHeight="1" x14ac:dyDescent="0.2">
      <c r="A153" s="126" t="s">
        <v>44</v>
      </c>
      <c r="B153" s="137" t="s">
        <v>610</v>
      </c>
      <c r="C153" s="138">
        <v>12020455</v>
      </c>
      <c r="D153" s="137" t="s">
        <v>378</v>
      </c>
      <c r="E153" s="152">
        <v>5000000</v>
      </c>
      <c r="F153" s="140">
        <v>0</v>
      </c>
      <c r="G153" s="152">
        <f t="shared" si="15"/>
        <v>2000000</v>
      </c>
    </row>
    <row r="154" spans="1:7" ht="24.95" customHeight="1" x14ac:dyDescent="0.2">
      <c r="A154" s="141" t="s">
        <v>565</v>
      </c>
      <c r="B154" s="142" t="s">
        <v>566</v>
      </c>
      <c r="C154" s="143">
        <v>12020456</v>
      </c>
      <c r="D154" s="142" t="s">
        <v>128</v>
      </c>
      <c r="E154" s="144">
        <v>15000000</v>
      </c>
      <c r="F154" s="145">
        <v>0</v>
      </c>
      <c r="G154" s="144">
        <f t="shared" si="15"/>
        <v>6000000</v>
      </c>
    </row>
    <row r="155" spans="1:7" ht="24.95" customHeight="1" x14ac:dyDescent="0.2">
      <c r="A155" s="198"/>
      <c r="B155" s="127"/>
      <c r="C155" s="138"/>
      <c r="D155" s="100"/>
      <c r="E155" s="200"/>
      <c r="F155" s="201"/>
      <c r="G155" s="200"/>
    </row>
    <row r="156" spans="1:7" ht="24.95" customHeight="1" x14ac:dyDescent="0.2">
      <c r="A156" s="198"/>
      <c r="B156" s="127"/>
      <c r="C156" s="138"/>
      <c r="D156" s="199" t="s">
        <v>539</v>
      </c>
      <c r="E156" s="200"/>
      <c r="F156" s="201"/>
      <c r="G156" s="200"/>
    </row>
    <row r="157" spans="1:7" s="101" customFormat="1" ht="38.25" x14ac:dyDescent="0.25">
      <c r="A157" s="267" t="s">
        <v>352</v>
      </c>
      <c r="B157" s="267" t="s">
        <v>351</v>
      </c>
      <c r="C157" s="115" t="s">
        <v>94</v>
      </c>
      <c r="D157" s="115" t="s">
        <v>353</v>
      </c>
      <c r="E157" s="496" t="s">
        <v>618</v>
      </c>
      <c r="F157" s="496" t="s">
        <v>638</v>
      </c>
      <c r="G157" s="496" t="s">
        <v>637</v>
      </c>
    </row>
    <row r="158" spans="1:7" ht="24.95" customHeight="1" x14ac:dyDescent="0.2">
      <c r="A158" s="258" t="s">
        <v>565</v>
      </c>
      <c r="B158" s="259" t="s">
        <v>566</v>
      </c>
      <c r="C158" s="268">
        <v>12020456</v>
      </c>
      <c r="D158" s="137" t="s">
        <v>129</v>
      </c>
      <c r="E158" s="139">
        <v>100000000</v>
      </c>
      <c r="F158" s="140">
        <f>26585700+4500200</f>
        <v>31085900</v>
      </c>
      <c r="G158" s="139">
        <f t="shared" ref="G158:G169" si="16">0.4*E158</f>
        <v>40000000</v>
      </c>
    </row>
    <row r="159" spans="1:7" ht="24.95" customHeight="1" x14ac:dyDescent="0.2">
      <c r="A159" s="126" t="s">
        <v>565</v>
      </c>
      <c r="B159" s="137" t="s">
        <v>566</v>
      </c>
      <c r="C159" s="269">
        <v>12020456</v>
      </c>
      <c r="D159" s="137" t="s">
        <v>130</v>
      </c>
      <c r="E159" s="139">
        <v>40000000</v>
      </c>
      <c r="F159" s="140">
        <f>2075400+6000000</f>
        <v>8075400</v>
      </c>
      <c r="G159" s="139">
        <v>8000000</v>
      </c>
    </row>
    <row r="160" spans="1:7" ht="24.95" customHeight="1" x14ac:dyDescent="0.2">
      <c r="A160" s="126" t="s">
        <v>565</v>
      </c>
      <c r="B160" s="137" t="s">
        <v>566</v>
      </c>
      <c r="C160" s="269">
        <v>12020456</v>
      </c>
      <c r="D160" s="137" t="s">
        <v>308</v>
      </c>
      <c r="E160" s="139">
        <v>6000000</v>
      </c>
      <c r="F160" s="140">
        <v>0</v>
      </c>
      <c r="G160" s="139">
        <f t="shared" si="16"/>
        <v>2400000</v>
      </c>
    </row>
    <row r="161" spans="1:7" s="104" customFormat="1" ht="24.95" customHeight="1" x14ac:dyDescent="0.2">
      <c r="A161" s="126" t="s">
        <v>44</v>
      </c>
      <c r="B161" s="137" t="s">
        <v>610</v>
      </c>
      <c r="C161" s="269">
        <v>12020460</v>
      </c>
      <c r="D161" s="137" t="s">
        <v>131</v>
      </c>
      <c r="E161" s="139">
        <v>0</v>
      </c>
      <c r="F161" s="140">
        <v>6100000</v>
      </c>
      <c r="G161" s="139">
        <v>2000000</v>
      </c>
    </row>
    <row r="162" spans="1:7" s="104" customFormat="1" ht="24.95" customHeight="1" x14ac:dyDescent="0.2">
      <c r="A162" s="126" t="s">
        <v>44</v>
      </c>
      <c r="B162" s="137" t="s">
        <v>610</v>
      </c>
      <c r="C162" s="269">
        <v>12020461</v>
      </c>
      <c r="D162" s="137" t="s">
        <v>376</v>
      </c>
      <c r="E162" s="139">
        <v>500000</v>
      </c>
      <c r="F162" s="140">
        <v>204000</v>
      </c>
      <c r="G162" s="139">
        <f t="shared" si="16"/>
        <v>200000</v>
      </c>
    </row>
    <row r="163" spans="1:7" s="104" customFormat="1" ht="24.95" customHeight="1" x14ac:dyDescent="0.2">
      <c r="A163" s="126" t="s">
        <v>44</v>
      </c>
      <c r="B163" s="137" t="s">
        <v>610</v>
      </c>
      <c r="C163" s="269">
        <v>12020461</v>
      </c>
      <c r="D163" s="137" t="s">
        <v>377</v>
      </c>
      <c r="E163" s="139">
        <v>20000</v>
      </c>
      <c r="F163" s="140">
        <v>0</v>
      </c>
      <c r="G163" s="139">
        <f t="shared" si="16"/>
        <v>8000</v>
      </c>
    </row>
    <row r="164" spans="1:7" s="104" customFormat="1" ht="24.95" customHeight="1" x14ac:dyDescent="0.2">
      <c r="A164" s="126" t="s">
        <v>565</v>
      </c>
      <c r="B164" s="137" t="s">
        <v>566</v>
      </c>
      <c r="C164" s="269">
        <v>12020456</v>
      </c>
      <c r="D164" s="137" t="s">
        <v>373</v>
      </c>
      <c r="E164" s="139">
        <v>17000000</v>
      </c>
      <c r="F164" s="140">
        <v>0</v>
      </c>
      <c r="G164" s="139">
        <v>6000000</v>
      </c>
    </row>
    <row r="165" spans="1:7" s="104" customFormat="1" ht="24.95" customHeight="1" x14ac:dyDescent="0.2">
      <c r="A165" s="126" t="s">
        <v>565</v>
      </c>
      <c r="B165" s="137" t="s">
        <v>566</v>
      </c>
      <c r="C165" s="269">
        <v>12020456</v>
      </c>
      <c r="D165" s="137" t="s">
        <v>374</v>
      </c>
      <c r="E165" s="139">
        <v>10000000</v>
      </c>
      <c r="F165" s="140">
        <f>457000+48000</f>
        <v>505000</v>
      </c>
      <c r="G165" s="139">
        <f t="shared" si="16"/>
        <v>4000000</v>
      </c>
    </row>
    <row r="166" spans="1:7" s="104" customFormat="1" ht="24.95" customHeight="1" x14ac:dyDescent="0.2">
      <c r="A166" s="126" t="s">
        <v>44</v>
      </c>
      <c r="B166" s="137" t="s">
        <v>610</v>
      </c>
      <c r="C166" s="269">
        <v>12020466</v>
      </c>
      <c r="D166" s="137" t="s">
        <v>372</v>
      </c>
      <c r="E166" s="139">
        <v>5000000</v>
      </c>
      <c r="F166" s="140">
        <v>257500</v>
      </c>
      <c r="G166" s="139">
        <v>1000000</v>
      </c>
    </row>
    <row r="167" spans="1:7" s="104" customFormat="1" ht="24.95" customHeight="1" x14ac:dyDescent="0.2">
      <c r="A167" s="126" t="s">
        <v>44</v>
      </c>
      <c r="B167" s="137" t="s">
        <v>610</v>
      </c>
      <c r="C167" s="269">
        <v>12020467</v>
      </c>
      <c r="D167" s="137" t="s">
        <v>499</v>
      </c>
      <c r="E167" s="139">
        <v>25000000</v>
      </c>
      <c r="F167" s="140">
        <v>0</v>
      </c>
      <c r="G167" s="139">
        <f t="shared" si="16"/>
        <v>10000000</v>
      </c>
    </row>
    <row r="168" spans="1:7" s="473" customFormat="1" ht="24.95" customHeight="1" x14ac:dyDescent="0.2">
      <c r="A168" s="126" t="s">
        <v>44</v>
      </c>
      <c r="B168" s="137" t="s">
        <v>610</v>
      </c>
      <c r="C168" s="269">
        <v>12020457</v>
      </c>
      <c r="D168" s="137" t="s">
        <v>500</v>
      </c>
      <c r="E168" s="139">
        <v>0</v>
      </c>
      <c r="F168" s="140">
        <v>0</v>
      </c>
      <c r="G168" s="139">
        <f t="shared" si="16"/>
        <v>0</v>
      </c>
    </row>
    <row r="169" spans="1:7" s="473" customFormat="1" ht="24.95" customHeight="1" x14ac:dyDescent="0.2">
      <c r="A169" s="126" t="s">
        <v>44</v>
      </c>
      <c r="B169" s="137" t="s">
        <v>610</v>
      </c>
      <c r="C169" s="269">
        <v>12020457</v>
      </c>
      <c r="D169" s="137" t="s">
        <v>501</v>
      </c>
      <c r="E169" s="139">
        <v>0</v>
      </c>
      <c r="F169" s="140">
        <v>0</v>
      </c>
      <c r="G169" s="139">
        <f t="shared" si="16"/>
        <v>0</v>
      </c>
    </row>
    <row r="170" spans="1:7" s="473" customFormat="1" ht="24.95" customHeight="1" x14ac:dyDescent="0.2">
      <c r="A170" s="126" t="s">
        <v>44</v>
      </c>
      <c r="B170" s="137" t="s">
        <v>610</v>
      </c>
      <c r="C170" s="269">
        <v>12020457</v>
      </c>
      <c r="D170" s="137" t="s">
        <v>629</v>
      </c>
      <c r="E170" s="139">
        <v>0</v>
      </c>
      <c r="F170" s="140">
        <v>0</v>
      </c>
      <c r="G170" s="139">
        <v>0</v>
      </c>
    </row>
    <row r="171" spans="1:7" s="104" customFormat="1" ht="24.95" customHeight="1" x14ac:dyDescent="0.2">
      <c r="A171" s="141" t="s">
        <v>44</v>
      </c>
      <c r="B171" s="142" t="s">
        <v>610</v>
      </c>
      <c r="C171" s="270">
        <v>12020457</v>
      </c>
      <c r="D171" s="142" t="s">
        <v>630</v>
      </c>
      <c r="E171" s="144">
        <v>0</v>
      </c>
      <c r="F171" s="140">
        <v>1053000</v>
      </c>
      <c r="G171" s="144">
        <f>F171/3*6</f>
        <v>2106000</v>
      </c>
    </row>
    <row r="172" spans="1:7" s="104" customFormat="1" ht="24.95" customHeight="1" x14ac:dyDescent="0.2">
      <c r="A172" s="271"/>
      <c r="B172" s="193"/>
      <c r="C172" s="272"/>
      <c r="D172" s="193"/>
      <c r="E172" s="189">
        <f>SUM(E150:E171)</f>
        <v>233620000</v>
      </c>
      <c r="F172" s="209">
        <f>SUM(F150:F167)</f>
        <v>46227800</v>
      </c>
      <c r="G172" s="189">
        <f>SUM(G150:G171)</f>
        <v>87714000</v>
      </c>
    </row>
    <row r="173" spans="1:7" s="104" customFormat="1" ht="24.95" customHeight="1" x14ac:dyDescent="0.2">
      <c r="A173" s="247"/>
      <c r="B173" s="259"/>
      <c r="C173" s="248"/>
      <c r="D173" s="233"/>
      <c r="E173" s="401"/>
      <c r="F173" s="249"/>
      <c r="G173" s="401"/>
    </row>
    <row r="174" spans="1:7" ht="24.95" customHeight="1" x14ac:dyDescent="0.2">
      <c r="A174" s="126" t="s">
        <v>46</v>
      </c>
      <c r="B174" s="137" t="s">
        <v>47</v>
      </c>
      <c r="C174" s="138">
        <v>12020468</v>
      </c>
      <c r="D174" s="137" t="s">
        <v>132</v>
      </c>
      <c r="E174" s="139">
        <v>5000000</v>
      </c>
      <c r="F174" s="140">
        <v>3581288.33</v>
      </c>
      <c r="G174" s="139">
        <v>4000000</v>
      </c>
    </row>
    <row r="175" spans="1:7" ht="24.95" customHeight="1" x14ac:dyDescent="0.2">
      <c r="A175" s="126" t="s">
        <v>46</v>
      </c>
      <c r="B175" s="137" t="s">
        <v>47</v>
      </c>
      <c r="C175" s="138">
        <v>12020469</v>
      </c>
      <c r="D175" s="137" t="s">
        <v>133</v>
      </c>
      <c r="E175" s="139">
        <v>5000000</v>
      </c>
      <c r="F175" s="140">
        <v>6455870</v>
      </c>
      <c r="G175" s="139">
        <v>6000000</v>
      </c>
    </row>
    <row r="176" spans="1:7" ht="24.95" customHeight="1" x14ac:dyDescent="0.2">
      <c r="A176" s="126" t="s">
        <v>46</v>
      </c>
      <c r="B176" s="137" t="s">
        <v>47</v>
      </c>
      <c r="C176" s="138">
        <v>12020470</v>
      </c>
      <c r="D176" s="137" t="s">
        <v>134</v>
      </c>
      <c r="E176" s="139">
        <v>500000</v>
      </c>
      <c r="F176" s="140">
        <v>0</v>
      </c>
      <c r="G176" s="139">
        <v>0</v>
      </c>
    </row>
    <row r="177" spans="1:7 16381:16384" ht="24.95" customHeight="1" x14ac:dyDescent="0.2">
      <c r="A177" s="141" t="s">
        <v>46</v>
      </c>
      <c r="B177" s="142" t="s">
        <v>47</v>
      </c>
      <c r="C177" s="143">
        <v>12020471</v>
      </c>
      <c r="D177" s="142" t="s">
        <v>135</v>
      </c>
      <c r="E177" s="144">
        <v>0</v>
      </c>
      <c r="F177" s="145">
        <v>0</v>
      </c>
      <c r="G177" s="144">
        <f t="shared" ref="G177" si="17">0.4*E177</f>
        <v>0</v>
      </c>
    </row>
    <row r="178" spans="1:7 16381:16384" s="104" customFormat="1" ht="24.95" customHeight="1" x14ac:dyDescent="0.2">
      <c r="A178" s="138"/>
      <c r="B178" s="127"/>
      <c r="C178" s="273"/>
      <c r="D178" s="274" t="s">
        <v>540</v>
      </c>
      <c r="E178" s="179"/>
      <c r="F178" s="252"/>
      <c r="G178" s="179"/>
    </row>
    <row r="179" spans="1:7 16381:16384" s="101" customFormat="1" ht="38.25" x14ac:dyDescent="0.25">
      <c r="A179" s="115" t="s">
        <v>352</v>
      </c>
      <c r="B179" s="115" t="s">
        <v>351</v>
      </c>
      <c r="C179" s="115" t="s">
        <v>94</v>
      </c>
      <c r="D179" s="115" t="s">
        <v>353</v>
      </c>
      <c r="E179" s="496" t="s">
        <v>618</v>
      </c>
      <c r="F179" s="496" t="s">
        <v>638</v>
      </c>
      <c r="G179" s="496" t="s">
        <v>637</v>
      </c>
    </row>
    <row r="180" spans="1:7 16381:16384" ht="24.95" customHeight="1" x14ac:dyDescent="0.2">
      <c r="A180" s="126" t="s">
        <v>46</v>
      </c>
      <c r="B180" s="137" t="s">
        <v>47</v>
      </c>
      <c r="C180" s="138">
        <v>12020472</v>
      </c>
      <c r="D180" s="137" t="s">
        <v>136</v>
      </c>
      <c r="E180" s="139">
        <v>300000</v>
      </c>
      <c r="F180" s="140">
        <v>0</v>
      </c>
      <c r="G180" s="139">
        <f t="shared" ref="G180:G186" si="18">0.4*E180</f>
        <v>120000</v>
      </c>
    </row>
    <row r="181" spans="1:7 16381:16384" ht="24.95" customHeight="1" x14ac:dyDescent="0.2">
      <c r="A181" s="126" t="s">
        <v>46</v>
      </c>
      <c r="B181" s="137" t="s">
        <v>47</v>
      </c>
      <c r="C181" s="138">
        <v>12020473</v>
      </c>
      <c r="D181" s="137" t="s">
        <v>137</v>
      </c>
      <c r="E181" s="139">
        <v>0</v>
      </c>
      <c r="F181" s="140">
        <v>0</v>
      </c>
      <c r="G181" s="139">
        <f t="shared" si="18"/>
        <v>0</v>
      </c>
    </row>
    <row r="182" spans="1:7 16381:16384" ht="24.95" customHeight="1" x14ac:dyDescent="0.2">
      <c r="A182" s="126" t="s">
        <v>46</v>
      </c>
      <c r="B182" s="137" t="s">
        <v>47</v>
      </c>
      <c r="C182" s="138">
        <v>12020474</v>
      </c>
      <c r="D182" s="137" t="s">
        <v>138</v>
      </c>
      <c r="E182" s="139">
        <v>2000000</v>
      </c>
      <c r="F182" s="140">
        <v>0</v>
      </c>
      <c r="G182" s="139">
        <f t="shared" si="18"/>
        <v>800000</v>
      </c>
    </row>
    <row r="183" spans="1:7 16381:16384" ht="24.95" customHeight="1" x14ac:dyDescent="0.2">
      <c r="A183" s="126" t="s">
        <v>46</v>
      </c>
      <c r="B183" s="137" t="s">
        <v>47</v>
      </c>
      <c r="C183" s="138">
        <v>12020475</v>
      </c>
      <c r="D183" s="137" t="s">
        <v>139</v>
      </c>
      <c r="E183" s="139">
        <v>500000000</v>
      </c>
      <c r="F183" s="140">
        <v>0</v>
      </c>
      <c r="G183" s="139">
        <v>50000000</v>
      </c>
    </row>
    <row r="184" spans="1:7 16381:16384" s="104" customFormat="1" ht="24.95" customHeight="1" x14ac:dyDescent="0.2">
      <c r="A184" s="126" t="s">
        <v>46</v>
      </c>
      <c r="B184" s="137" t="s">
        <v>47</v>
      </c>
      <c r="C184" s="138">
        <v>12020476</v>
      </c>
      <c r="D184" s="137" t="s">
        <v>562</v>
      </c>
      <c r="E184" s="139">
        <v>3000000</v>
      </c>
      <c r="F184" s="140">
        <v>8959700.5</v>
      </c>
      <c r="G184" s="139">
        <v>5000000</v>
      </c>
    </row>
    <row r="185" spans="1:7 16381:16384" s="104" customFormat="1" ht="24.95" customHeight="1" x14ac:dyDescent="0.2">
      <c r="A185" s="126" t="s">
        <v>46</v>
      </c>
      <c r="B185" s="137" t="s">
        <v>47</v>
      </c>
      <c r="C185" s="138">
        <v>12020478</v>
      </c>
      <c r="D185" s="137" t="s">
        <v>325</v>
      </c>
      <c r="E185" s="139">
        <v>0</v>
      </c>
      <c r="F185" s="140">
        <v>0</v>
      </c>
      <c r="G185" s="139">
        <f t="shared" si="18"/>
        <v>0</v>
      </c>
    </row>
    <row r="186" spans="1:7 16381:16384" s="104" customFormat="1" ht="24.95" customHeight="1" x14ac:dyDescent="0.2">
      <c r="A186" s="126" t="s">
        <v>46</v>
      </c>
      <c r="B186" s="137" t="s">
        <v>47</v>
      </c>
      <c r="C186" s="138">
        <v>12020479</v>
      </c>
      <c r="D186" s="137" t="s">
        <v>326</v>
      </c>
      <c r="E186" s="139">
        <v>200000</v>
      </c>
      <c r="F186" s="140">
        <v>0</v>
      </c>
      <c r="G186" s="139">
        <f t="shared" si="18"/>
        <v>80000</v>
      </c>
    </row>
    <row r="187" spans="1:7 16381:16384" s="104" customFormat="1" ht="24.95" customHeight="1" x14ac:dyDescent="0.2">
      <c r="A187" s="141" t="s">
        <v>46</v>
      </c>
      <c r="B187" s="142" t="s">
        <v>47</v>
      </c>
      <c r="C187" s="143">
        <v>12020480</v>
      </c>
      <c r="D187" s="142" t="s">
        <v>327</v>
      </c>
      <c r="E187" s="144">
        <v>5000000</v>
      </c>
      <c r="F187" s="145">
        <v>0</v>
      </c>
      <c r="G187" s="144">
        <v>1000000</v>
      </c>
      <c r="XFA187" s="104" t="s">
        <v>349</v>
      </c>
      <c r="XFD187" s="104" t="s">
        <v>348</v>
      </c>
    </row>
    <row r="188" spans="1:7 16381:16384" s="104" customFormat="1" ht="18" customHeight="1" x14ac:dyDescent="0.2">
      <c r="A188" s="275"/>
      <c r="B188" s="262"/>
      <c r="C188" s="276"/>
      <c r="D188" s="262"/>
      <c r="E188" s="186">
        <f>SUM(E174:E187)</f>
        <v>521000000</v>
      </c>
      <c r="F188" s="187">
        <f>SUM(F174:F187)</f>
        <v>18996858.829999998</v>
      </c>
      <c r="G188" s="186">
        <f>SUM(G174:G187)</f>
        <v>67000000</v>
      </c>
    </row>
    <row r="189" spans="1:7 16381:16384" s="104" customFormat="1" ht="11.25" customHeight="1" x14ac:dyDescent="0.2">
      <c r="A189" s="126"/>
      <c r="B189" s="137"/>
      <c r="C189" s="179"/>
      <c r="D189" s="180"/>
      <c r="E189" s="285"/>
      <c r="F189" s="212"/>
      <c r="G189" s="285"/>
    </row>
    <row r="190" spans="1:7 16381:16384" ht="24.95" customHeight="1" x14ac:dyDescent="0.2">
      <c r="A190" s="126" t="s">
        <v>48</v>
      </c>
      <c r="B190" s="137" t="s">
        <v>49</v>
      </c>
      <c r="C190" s="138">
        <v>12020480</v>
      </c>
      <c r="D190" s="137" t="s">
        <v>140</v>
      </c>
      <c r="E190" s="173">
        <v>100000</v>
      </c>
      <c r="F190" s="174">
        <v>0</v>
      </c>
      <c r="G190" s="173">
        <f t="shared" ref="G190:G194" si="19">0.4*E190</f>
        <v>40000</v>
      </c>
    </row>
    <row r="191" spans="1:7 16381:16384" ht="24.95" customHeight="1" x14ac:dyDescent="0.2">
      <c r="A191" s="126" t="s">
        <v>48</v>
      </c>
      <c r="B191" s="137" t="s">
        <v>49</v>
      </c>
      <c r="C191" s="138">
        <v>12020481</v>
      </c>
      <c r="D191" s="137" t="s">
        <v>578</v>
      </c>
      <c r="E191" s="173">
        <v>3000000</v>
      </c>
      <c r="F191" s="174">
        <v>0</v>
      </c>
      <c r="G191" s="173">
        <v>500000</v>
      </c>
    </row>
    <row r="192" spans="1:7 16381:16384" ht="24.95" customHeight="1" x14ac:dyDescent="0.2">
      <c r="A192" s="126" t="s">
        <v>48</v>
      </c>
      <c r="B192" s="137" t="s">
        <v>49</v>
      </c>
      <c r="C192" s="138">
        <v>12020482</v>
      </c>
      <c r="D192" s="137" t="s">
        <v>579</v>
      </c>
      <c r="E192" s="173">
        <v>1400000</v>
      </c>
      <c r="F192" s="174">
        <v>0</v>
      </c>
      <c r="G192" s="173">
        <f t="shared" si="19"/>
        <v>560000</v>
      </c>
    </row>
    <row r="193" spans="1:7" ht="24.95" customHeight="1" x14ac:dyDescent="0.2">
      <c r="A193" s="126" t="s">
        <v>48</v>
      </c>
      <c r="B193" s="137" t="s">
        <v>49</v>
      </c>
      <c r="C193" s="138">
        <v>12020483</v>
      </c>
      <c r="D193" s="137" t="s">
        <v>580</v>
      </c>
      <c r="E193" s="173">
        <v>1200000</v>
      </c>
      <c r="F193" s="174">
        <v>0</v>
      </c>
      <c r="G193" s="173">
        <f t="shared" si="19"/>
        <v>480000</v>
      </c>
    </row>
    <row r="194" spans="1:7" ht="24.95" customHeight="1" x14ac:dyDescent="0.2">
      <c r="A194" s="126" t="s">
        <v>48</v>
      </c>
      <c r="B194" s="137" t="s">
        <v>49</v>
      </c>
      <c r="C194" s="138">
        <v>12020484</v>
      </c>
      <c r="D194" s="137" t="s">
        <v>283</v>
      </c>
      <c r="E194" s="173">
        <v>100000</v>
      </c>
      <c r="F194" s="174">
        <v>0</v>
      </c>
      <c r="G194" s="173">
        <f t="shared" si="19"/>
        <v>40000</v>
      </c>
    </row>
    <row r="195" spans="1:7" ht="17.25" customHeight="1" x14ac:dyDescent="0.2">
      <c r="A195" s="213"/>
      <c r="B195" s="214"/>
      <c r="C195" s="215"/>
      <c r="D195" s="214"/>
      <c r="E195" s="277">
        <f>SUM(E190:E194)</f>
        <v>5800000</v>
      </c>
      <c r="F195" s="278">
        <f>SUM(F190:F194)</f>
        <v>0</v>
      </c>
      <c r="G195" s="277">
        <f>SUM(G190:G194)</f>
        <v>1620000</v>
      </c>
    </row>
    <row r="196" spans="1:7" ht="10.5" customHeight="1" x14ac:dyDescent="0.2">
      <c r="A196" s="258"/>
      <c r="B196" s="259"/>
      <c r="C196" s="256"/>
      <c r="D196" s="181"/>
      <c r="E196" s="401"/>
      <c r="F196" s="260"/>
      <c r="G196" s="401"/>
    </row>
    <row r="197" spans="1:7" s="104" customFormat="1" ht="24.95" customHeight="1" x14ac:dyDescent="0.2">
      <c r="A197" s="126" t="s">
        <v>50</v>
      </c>
      <c r="B197" s="137" t="s">
        <v>608</v>
      </c>
      <c r="C197" s="138">
        <v>12020482</v>
      </c>
      <c r="D197" s="137" t="s">
        <v>141</v>
      </c>
      <c r="E197" s="139">
        <v>10000000</v>
      </c>
      <c r="F197" s="140">
        <v>45260676.5</v>
      </c>
      <c r="G197" s="139">
        <v>20000000</v>
      </c>
    </row>
    <row r="198" spans="1:7" s="104" customFormat="1" ht="24.95" customHeight="1" x14ac:dyDescent="0.2">
      <c r="A198" s="126" t="s">
        <v>50</v>
      </c>
      <c r="B198" s="137" t="s">
        <v>608</v>
      </c>
      <c r="C198" s="138">
        <v>12020483</v>
      </c>
      <c r="D198" s="137" t="s">
        <v>234</v>
      </c>
      <c r="E198" s="288">
        <v>2000000</v>
      </c>
      <c r="F198" s="140">
        <v>0</v>
      </c>
      <c r="G198" s="288">
        <f t="shared" ref="G198:G200" si="20">0.4*E198</f>
        <v>800000</v>
      </c>
    </row>
    <row r="199" spans="1:7" s="104" customFormat="1" ht="24.95" customHeight="1" x14ac:dyDescent="0.2">
      <c r="A199" s="126" t="s">
        <v>50</v>
      </c>
      <c r="B199" s="137" t="s">
        <v>608</v>
      </c>
      <c r="C199" s="138">
        <v>12020484</v>
      </c>
      <c r="D199" s="137" t="s">
        <v>235</v>
      </c>
      <c r="E199" s="288">
        <v>1000000</v>
      </c>
      <c r="F199" s="140">
        <v>0</v>
      </c>
      <c r="G199" s="288">
        <f t="shared" si="20"/>
        <v>400000</v>
      </c>
    </row>
    <row r="200" spans="1:7" s="104" customFormat="1" ht="24.95" customHeight="1" x14ac:dyDescent="0.2">
      <c r="A200" s="141" t="s">
        <v>50</v>
      </c>
      <c r="B200" s="142" t="s">
        <v>608</v>
      </c>
      <c r="C200" s="143">
        <v>12020485</v>
      </c>
      <c r="D200" s="142" t="s">
        <v>236</v>
      </c>
      <c r="E200" s="306">
        <v>0</v>
      </c>
      <c r="F200" s="145">
        <v>0</v>
      </c>
      <c r="G200" s="306">
        <f t="shared" si="20"/>
        <v>0</v>
      </c>
    </row>
    <row r="201" spans="1:7" s="104" customFormat="1" ht="15" customHeight="1" x14ac:dyDescent="0.2">
      <c r="A201" s="223"/>
      <c r="B201" s="226"/>
      <c r="C201" s="225"/>
      <c r="D201" s="226"/>
      <c r="E201" s="281">
        <f>SUM(E197:E200)</f>
        <v>13000000</v>
      </c>
      <c r="F201" s="209">
        <f>SUM(F197:F200)</f>
        <v>45260676.5</v>
      </c>
      <c r="G201" s="281">
        <f>SUM(G197:G200)</f>
        <v>21200000</v>
      </c>
    </row>
    <row r="202" spans="1:7" s="104" customFormat="1" ht="24.95" customHeight="1" x14ac:dyDescent="0.2">
      <c r="A202" s="138"/>
      <c r="B202" s="127"/>
      <c r="C202" s="273"/>
      <c r="D202" s="274" t="s">
        <v>541</v>
      </c>
      <c r="E202" s="179"/>
      <c r="F202" s="252"/>
      <c r="G202" s="179"/>
    </row>
    <row r="203" spans="1:7" s="101" customFormat="1" ht="38.25" x14ac:dyDescent="0.25">
      <c r="A203" s="115" t="s">
        <v>352</v>
      </c>
      <c r="B203" s="115" t="s">
        <v>351</v>
      </c>
      <c r="C203" s="115" t="s">
        <v>94</v>
      </c>
      <c r="D203" s="115" t="s">
        <v>353</v>
      </c>
      <c r="E203" s="496" t="s">
        <v>618</v>
      </c>
      <c r="F203" s="496" t="s">
        <v>638</v>
      </c>
      <c r="G203" s="496" t="s">
        <v>637</v>
      </c>
    </row>
    <row r="204" spans="1:7" s="104" customFormat="1" ht="24.95" customHeight="1" x14ac:dyDescent="0.2">
      <c r="A204" s="126" t="s">
        <v>51</v>
      </c>
      <c r="B204" s="137" t="s">
        <v>307</v>
      </c>
      <c r="C204" s="138">
        <v>12020486</v>
      </c>
      <c r="D204" s="137" t="s">
        <v>393</v>
      </c>
      <c r="E204" s="139">
        <v>150000</v>
      </c>
      <c r="F204" s="140">
        <v>0</v>
      </c>
      <c r="G204" s="139">
        <f t="shared" ref="G204" si="21">0.4*E204</f>
        <v>60000</v>
      </c>
    </row>
    <row r="205" spans="1:7" s="104" customFormat="1" ht="24.95" customHeight="1" x14ac:dyDescent="0.2">
      <c r="A205" s="126" t="s">
        <v>51</v>
      </c>
      <c r="B205" s="137" t="s">
        <v>307</v>
      </c>
      <c r="C205" s="138">
        <v>12020487</v>
      </c>
      <c r="D205" s="137" t="s">
        <v>394</v>
      </c>
      <c r="E205" s="139">
        <v>150000</v>
      </c>
      <c r="F205" s="140">
        <v>75000</v>
      </c>
      <c r="G205" s="139">
        <f>0.4*E205</f>
        <v>60000</v>
      </c>
    </row>
    <row r="206" spans="1:7" s="104" customFormat="1" ht="24.95" customHeight="1" x14ac:dyDescent="0.2">
      <c r="A206" s="223"/>
      <c r="B206" s="226"/>
      <c r="C206" s="225"/>
      <c r="D206" s="226"/>
      <c r="E206" s="149">
        <f>SUM(E204:E205)</f>
        <v>300000</v>
      </c>
      <c r="F206" s="209">
        <f>SUM(F204:F205)</f>
        <v>75000</v>
      </c>
      <c r="G206" s="149">
        <f>SUM(G204:G205)</f>
        <v>120000</v>
      </c>
    </row>
    <row r="207" spans="1:7" s="104" customFormat="1" ht="24.95" customHeight="1" x14ac:dyDescent="0.2">
      <c r="A207" s="236"/>
      <c r="B207" s="193"/>
      <c r="C207" s="128"/>
      <c r="D207" s="193"/>
      <c r="E207" s="282"/>
      <c r="F207" s="190"/>
      <c r="G207" s="282"/>
    </row>
    <row r="208" spans="1:7" s="104" customFormat="1" ht="24.95" customHeight="1" x14ac:dyDescent="0.2">
      <c r="A208" s="126" t="s">
        <v>52</v>
      </c>
      <c r="B208" s="137" t="s">
        <v>329</v>
      </c>
      <c r="C208" s="138">
        <v>12020486</v>
      </c>
      <c r="D208" s="137" t="s">
        <v>395</v>
      </c>
      <c r="E208" s="139">
        <v>300000</v>
      </c>
      <c r="F208" s="140">
        <v>0</v>
      </c>
      <c r="G208" s="139">
        <f t="shared" ref="G208:G209" si="22">0.4*E208</f>
        <v>120000</v>
      </c>
    </row>
    <row r="209" spans="1:8" ht="24.95" customHeight="1" x14ac:dyDescent="0.2">
      <c r="A209" s="126" t="s">
        <v>52</v>
      </c>
      <c r="B209" s="137" t="s">
        <v>329</v>
      </c>
      <c r="C209" s="138">
        <v>12020487</v>
      </c>
      <c r="D209" s="137" t="s">
        <v>396</v>
      </c>
      <c r="E209" s="139">
        <v>350000</v>
      </c>
      <c r="F209" s="140">
        <v>80000</v>
      </c>
      <c r="G209" s="139">
        <f t="shared" si="22"/>
        <v>140000</v>
      </c>
    </row>
    <row r="210" spans="1:8" ht="24.95" customHeight="1" x14ac:dyDescent="0.2">
      <c r="A210" s="223"/>
      <c r="B210" s="226"/>
      <c r="C210" s="225"/>
      <c r="D210" s="226"/>
      <c r="E210" s="149">
        <f>SUM(E208:E209)</f>
        <v>650000</v>
      </c>
      <c r="F210" s="209">
        <f>SUM(F208:F209)</f>
        <v>80000</v>
      </c>
      <c r="G210" s="149">
        <f>SUM(G208:G209)</f>
        <v>260000</v>
      </c>
    </row>
    <row r="211" spans="1:8" ht="24.95" customHeight="1" x14ac:dyDescent="0.2">
      <c r="A211" s="126"/>
      <c r="B211" s="137"/>
      <c r="C211" s="138"/>
      <c r="D211" s="137"/>
      <c r="E211" s="139"/>
      <c r="F211" s="140"/>
      <c r="G211" s="139"/>
    </row>
    <row r="212" spans="1:8" ht="24.95" customHeight="1" x14ac:dyDescent="0.2">
      <c r="A212" s="126" t="s">
        <v>53</v>
      </c>
      <c r="B212" s="137" t="s">
        <v>301</v>
      </c>
      <c r="C212" s="138">
        <v>12020488</v>
      </c>
      <c r="D212" s="137" t="s">
        <v>397</v>
      </c>
      <c r="E212" s="139">
        <v>2000000</v>
      </c>
      <c r="F212" s="140">
        <v>0</v>
      </c>
      <c r="G212" s="139">
        <f>0.4*E212</f>
        <v>800000</v>
      </c>
    </row>
    <row r="213" spans="1:8" ht="24.95" customHeight="1" x14ac:dyDescent="0.2">
      <c r="A213" s="223"/>
      <c r="B213" s="226"/>
      <c r="C213" s="225"/>
      <c r="D213" s="226"/>
      <c r="E213" s="149">
        <f>SUM(E212)</f>
        <v>2000000</v>
      </c>
      <c r="F213" s="209">
        <f>SUM(F212)</f>
        <v>0</v>
      </c>
      <c r="G213" s="149">
        <f>SUM(G212)</f>
        <v>800000</v>
      </c>
    </row>
    <row r="214" spans="1:8" s="104" customFormat="1" ht="24.95" customHeight="1" x14ac:dyDescent="0.2">
      <c r="A214" s="126"/>
      <c r="B214" s="137"/>
      <c r="C214" s="179"/>
      <c r="D214" s="180"/>
      <c r="E214" s="285"/>
      <c r="F214" s="212"/>
      <c r="G214" s="285"/>
    </row>
    <row r="215" spans="1:8" ht="24.95" customHeight="1" x14ac:dyDescent="0.2">
      <c r="A215" s="126" t="s">
        <v>54</v>
      </c>
      <c r="B215" s="137" t="s">
        <v>55</v>
      </c>
      <c r="C215" s="138">
        <v>12020489</v>
      </c>
      <c r="D215" s="137" t="s">
        <v>310</v>
      </c>
      <c r="E215" s="139">
        <v>120000000</v>
      </c>
      <c r="F215" s="140">
        <f>22251663.07+32006238.19</f>
        <v>54257901.260000005</v>
      </c>
      <c r="G215" s="139">
        <v>100000000</v>
      </c>
      <c r="H215" s="104"/>
    </row>
    <row r="216" spans="1:8" ht="24.95" customHeight="1" x14ac:dyDescent="0.2">
      <c r="A216" s="126" t="s">
        <v>54</v>
      </c>
      <c r="B216" s="137" t="s">
        <v>55</v>
      </c>
      <c r="C216" s="138">
        <v>12020490</v>
      </c>
      <c r="D216" s="137" t="s">
        <v>398</v>
      </c>
      <c r="E216" s="139">
        <v>10000000</v>
      </c>
      <c r="F216" s="140">
        <v>4650000</v>
      </c>
      <c r="G216" s="139">
        <v>8000000</v>
      </c>
    </row>
    <row r="217" spans="1:8" ht="24.95" customHeight="1" x14ac:dyDescent="0.2">
      <c r="A217" s="223"/>
      <c r="B217" s="226"/>
      <c r="C217" s="225"/>
      <c r="D217" s="226"/>
      <c r="E217" s="149">
        <f>SUM(E215:E216)</f>
        <v>130000000</v>
      </c>
      <c r="F217" s="209">
        <f>SUM(F215:F216)</f>
        <v>58907901.260000005</v>
      </c>
      <c r="G217" s="149">
        <f>SUM(G215:G216)</f>
        <v>108000000</v>
      </c>
    </row>
    <row r="218" spans="1:8" s="104" customFormat="1" ht="24.95" customHeight="1" x14ac:dyDescent="0.2">
      <c r="A218" s="247"/>
      <c r="B218" s="259"/>
      <c r="C218" s="248"/>
      <c r="D218" s="233"/>
      <c r="E218" s="401"/>
      <c r="F218" s="249"/>
      <c r="G218" s="401"/>
    </row>
    <row r="219" spans="1:8" s="104" customFormat="1" ht="24.95" customHeight="1" x14ac:dyDescent="0.2">
      <c r="A219" s="126" t="s">
        <v>56</v>
      </c>
      <c r="B219" s="137" t="s">
        <v>609</v>
      </c>
      <c r="C219" s="138">
        <v>12020421</v>
      </c>
      <c r="D219" s="137" t="s">
        <v>399</v>
      </c>
      <c r="E219" s="173">
        <v>0</v>
      </c>
      <c r="F219" s="174">
        <v>0</v>
      </c>
      <c r="G219" s="173">
        <f t="shared" ref="G219:G220" si="23">0.4*E219</f>
        <v>0</v>
      </c>
    </row>
    <row r="220" spans="1:8" s="104" customFormat="1" ht="24.95" customHeight="1" x14ac:dyDescent="0.2">
      <c r="A220" s="141" t="s">
        <v>56</v>
      </c>
      <c r="B220" s="142" t="s">
        <v>609</v>
      </c>
      <c r="C220" s="143">
        <v>12020491</v>
      </c>
      <c r="D220" s="142" t="s">
        <v>358</v>
      </c>
      <c r="E220" s="202">
        <v>100000</v>
      </c>
      <c r="F220" s="197">
        <v>0</v>
      </c>
      <c r="G220" s="202">
        <f t="shared" si="23"/>
        <v>40000</v>
      </c>
    </row>
    <row r="221" spans="1:8" s="104" customFormat="1" ht="24.95" customHeight="1" x14ac:dyDescent="0.2">
      <c r="A221" s="223"/>
      <c r="B221" s="226"/>
      <c r="C221" s="225"/>
      <c r="D221" s="226"/>
      <c r="E221" s="227">
        <f>SUM(E219:E220)</f>
        <v>100000</v>
      </c>
      <c r="F221" s="228">
        <f>SUM(F219:F220)</f>
        <v>0</v>
      </c>
      <c r="G221" s="227">
        <f>SUM(G219:G220)</f>
        <v>40000</v>
      </c>
    </row>
    <row r="222" spans="1:8" s="104" customFormat="1" ht="24.95" customHeight="1" x14ac:dyDescent="0.2">
      <c r="A222" s="138"/>
      <c r="B222" s="127"/>
      <c r="C222" s="273"/>
      <c r="D222" s="274" t="s">
        <v>551</v>
      </c>
      <c r="E222" s="179"/>
      <c r="F222" s="252"/>
      <c r="G222" s="179"/>
    </row>
    <row r="223" spans="1:8" s="101" customFormat="1" ht="38.25" x14ac:dyDescent="0.25">
      <c r="A223" s="115" t="s">
        <v>352</v>
      </c>
      <c r="B223" s="115" t="s">
        <v>351</v>
      </c>
      <c r="C223" s="115" t="s">
        <v>94</v>
      </c>
      <c r="D223" s="115" t="s">
        <v>353</v>
      </c>
      <c r="E223" s="496" t="s">
        <v>618</v>
      </c>
      <c r="F223" s="496" t="s">
        <v>638</v>
      </c>
      <c r="G223" s="496" t="s">
        <v>637</v>
      </c>
    </row>
    <row r="224" spans="1:8" s="104" customFormat="1" ht="24.95" customHeight="1" x14ac:dyDescent="0.2">
      <c r="A224" s="126" t="s">
        <v>57</v>
      </c>
      <c r="B224" s="137" t="s">
        <v>58</v>
      </c>
      <c r="C224" s="138">
        <v>12020492</v>
      </c>
      <c r="D224" s="137" t="s">
        <v>142</v>
      </c>
      <c r="E224" s="243">
        <v>100000</v>
      </c>
      <c r="F224" s="211">
        <v>9000</v>
      </c>
      <c r="G224" s="243">
        <f t="shared" ref="G224:G228" si="24">0.4*E224</f>
        <v>40000</v>
      </c>
    </row>
    <row r="225" spans="1:8" ht="24.95" customHeight="1" x14ac:dyDescent="0.2">
      <c r="A225" s="126" t="s">
        <v>57</v>
      </c>
      <c r="B225" s="137" t="s">
        <v>58</v>
      </c>
      <c r="C225" s="138">
        <v>12020493</v>
      </c>
      <c r="D225" s="137" t="s">
        <v>143</v>
      </c>
      <c r="E225" s="243">
        <v>50000000</v>
      </c>
      <c r="F225" s="211">
        <v>7247400</v>
      </c>
      <c r="G225" s="243">
        <v>15000000</v>
      </c>
      <c r="H225" s="104"/>
    </row>
    <row r="226" spans="1:8" ht="24.95" customHeight="1" x14ac:dyDescent="0.2">
      <c r="A226" s="126" t="s">
        <v>57</v>
      </c>
      <c r="B226" s="137" t="s">
        <v>58</v>
      </c>
      <c r="C226" s="138">
        <v>12020494</v>
      </c>
      <c r="D226" s="137" t="s">
        <v>144</v>
      </c>
      <c r="E226" s="243">
        <v>150000</v>
      </c>
      <c r="F226" s="211">
        <v>7500</v>
      </c>
      <c r="G226" s="243">
        <f t="shared" si="24"/>
        <v>60000</v>
      </c>
    </row>
    <row r="227" spans="1:8" ht="24.95" customHeight="1" x14ac:dyDescent="0.2">
      <c r="A227" s="126" t="s">
        <v>57</v>
      </c>
      <c r="B227" s="137" t="s">
        <v>58</v>
      </c>
      <c r="C227" s="138">
        <v>12020495</v>
      </c>
      <c r="D227" s="137" t="s">
        <v>145</v>
      </c>
      <c r="E227" s="243">
        <v>10000</v>
      </c>
      <c r="F227" s="211">
        <v>0</v>
      </c>
      <c r="G227" s="243">
        <f t="shared" si="24"/>
        <v>4000</v>
      </c>
    </row>
    <row r="228" spans="1:8" s="104" customFormat="1" ht="24.95" customHeight="1" x14ac:dyDescent="0.2">
      <c r="A228" s="141" t="s">
        <v>57</v>
      </c>
      <c r="B228" s="142" t="s">
        <v>58</v>
      </c>
      <c r="C228" s="143">
        <v>12020496</v>
      </c>
      <c r="D228" s="142" t="s">
        <v>291</v>
      </c>
      <c r="E228" s="283">
        <v>0</v>
      </c>
      <c r="F228" s="284">
        <v>0</v>
      </c>
      <c r="G228" s="283">
        <f t="shared" si="24"/>
        <v>0</v>
      </c>
      <c r="H228" s="100"/>
    </row>
    <row r="229" spans="1:8" s="104" customFormat="1" ht="24.95" customHeight="1" x14ac:dyDescent="0.2">
      <c r="A229" s="223"/>
      <c r="B229" s="226"/>
      <c r="C229" s="225"/>
      <c r="D229" s="226"/>
      <c r="E229" s="177">
        <f>SUM(E224:E228)</f>
        <v>50260000</v>
      </c>
      <c r="F229" s="204">
        <f>SUM(F224:F228)</f>
        <v>7263900</v>
      </c>
      <c r="G229" s="177">
        <f>SUM(G224:G228)</f>
        <v>15104000</v>
      </c>
      <c r="H229" s="100"/>
    </row>
    <row r="230" spans="1:8" s="104" customFormat="1" ht="24.95" customHeight="1" x14ac:dyDescent="0.2">
      <c r="A230" s="236"/>
      <c r="B230" s="193"/>
      <c r="C230" s="128"/>
      <c r="D230" s="193"/>
      <c r="E230" s="285"/>
      <c r="F230" s="212"/>
      <c r="G230" s="285"/>
      <c r="H230" s="100"/>
    </row>
    <row r="231" spans="1:8" ht="24.95" customHeight="1" x14ac:dyDescent="0.2">
      <c r="A231" s="126" t="s">
        <v>59</v>
      </c>
      <c r="B231" s="137" t="s">
        <v>60</v>
      </c>
      <c r="C231" s="138">
        <v>12020497</v>
      </c>
      <c r="D231" s="137" t="s">
        <v>146</v>
      </c>
      <c r="E231" s="139">
        <v>5000000</v>
      </c>
      <c r="F231" s="140">
        <f>1161600+895100</f>
        <v>2056700</v>
      </c>
      <c r="G231" s="139">
        <f t="shared" ref="G231:G234" si="25">0.4*E231</f>
        <v>2000000</v>
      </c>
    </row>
    <row r="232" spans="1:8" ht="24.95" customHeight="1" x14ac:dyDescent="0.2">
      <c r="A232" s="126" t="s">
        <v>59</v>
      </c>
      <c r="B232" s="137" t="s">
        <v>60</v>
      </c>
      <c r="C232" s="138">
        <v>12020498</v>
      </c>
      <c r="D232" s="137" t="s">
        <v>147</v>
      </c>
      <c r="E232" s="139">
        <v>600000</v>
      </c>
      <c r="F232" s="140">
        <f>97400+39200</f>
        <v>136600</v>
      </c>
      <c r="G232" s="139">
        <f t="shared" si="25"/>
        <v>240000</v>
      </c>
    </row>
    <row r="233" spans="1:8" s="104" customFormat="1" ht="24.95" customHeight="1" x14ac:dyDescent="0.2">
      <c r="A233" s="126" t="s">
        <v>59</v>
      </c>
      <c r="B233" s="137" t="s">
        <v>60</v>
      </c>
      <c r="C233" s="138">
        <v>12020499</v>
      </c>
      <c r="D233" s="137" t="s">
        <v>488</v>
      </c>
      <c r="E233" s="139">
        <v>15000000</v>
      </c>
      <c r="F233" s="140">
        <f>4062350+2240100</f>
        <v>6302450</v>
      </c>
      <c r="G233" s="139">
        <f t="shared" si="25"/>
        <v>6000000</v>
      </c>
      <c r="H233" s="100"/>
    </row>
    <row r="234" spans="1:8" s="104" customFormat="1" ht="24.95" customHeight="1" x14ac:dyDescent="0.2">
      <c r="A234" s="126" t="s">
        <v>59</v>
      </c>
      <c r="B234" s="137" t="s">
        <v>60</v>
      </c>
      <c r="C234" s="138">
        <v>12020421</v>
      </c>
      <c r="D234" s="137" t="s">
        <v>123</v>
      </c>
      <c r="E234" s="139">
        <v>100000</v>
      </c>
      <c r="F234" s="140">
        <v>20000</v>
      </c>
      <c r="G234" s="139">
        <f t="shared" si="25"/>
        <v>40000</v>
      </c>
      <c r="H234" s="100"/>
    </row>
    <row r="235" spans="1:8" s="104" customFormat="1" ht="24.95" customHeight="1" x14ac:dyDescent="0.2">
      <c r="A235" s="223"/>
      <c r="B235" s="226"/>
      <c r="C235" s="225"/>
      <c r="D235" s="226"/>
      <c r="E235" s="149">
        <f>SUM(E231:E234)</f>
        <v>20700000</v>
      </c>
      <c r="F235" s="209">
        <f>SUM(F231:F234)</f>
        <v>8515750</v>
      </c>
      <c r="G235" s="149">
        <f>SUM(G231:G234)</f>
        <v>8280000</v>
      </c>
      <c r="H235" s="100"/>
    </row>
    <row r="236" spans="1:8" ht="24.95" customHeight="1" x14ac:dyDescent="0.2">
      <c r="A236" s="126"/>
      <c r="B236" s="137"/>
      <c r="C236" s="166"/>
      <c r="D236" s="286"/>
      <c r="E236" s="403"/>
      <c r="F236" s="167"/>
      <c r="G236" s="403"/>
      <c r="H236" s="104"/>
    </row>
    <row r="237" spans="1:8" s="104" customFormat="1" ht="24.95" customHeight="1" x14ac:dyDescent="0.2">
      <c r="A237" s="287" t="s">
        <v>413</v>
      </c>
      <c r="B237" s="312" t="s">
        <v>402</v>
      </c>
      <c r="C237" s="138">
        <v>12024100</v>
      </c>
      <c r="D237" s="137" t="s">
        <v>284</v>
      </c>
      <c r="E237" s="173">
        <v>6000000</v>
      </c>
      <c r="F237" s="174">
        <v>919500</v>
      </c>
      <c r="G237" s="173">
        <f t="shared" ref="G237:G239" si="26">0.4*E237</f>
        <v>2400000</v>
      </c>
      <c r="H237" s="100"/>
    </row>
    <row r="238" spans="1:8" s="104" customFormat="1" ht="24.95" customHeight="1" x14ac:dyDescent="0.2">
      <c r="A238" s="287" t="s">
        <v>413</v>
      </c>
      <c r="B238" s="312" t="s">
        <v>402</v>
      </c>
      <c r="C238" s="138">
        <v>12024101</v>
      </c>
      <c r="D238" s="137" t="s">
        <v>148</v>
      </c>
      <c r="E238" s="173">
        <v>4000000</v>
      </c>
      <c r="F238" s="174">
        <v>0</v>
      </c>
      <c r="G238" s="173">
        <f t="shared" si="26"/>
        <v>1600000</v>
      </c>
    </row>
    <row r="239" spans="1:8" s="104" customFormat="1" ht="24.95" customHeight="1" x14ac:dyDescent="0.2">
      <c r="A239" s="287" t="s">
        <v>413</v>
      </c>
      <c r="B239" s="312" t="s">
        <v>402</v>
      </c>
      <c r="C239" s="138">
        <v>12024102</v>
      </c>
      <c r="D239" s="137" t="s">
        <v>149</v>
      </c>
      <c r="E239" s="173">
        <v>8000000</v>
      </c>
      <c r="F239" s="174">
        <v>378350</v>
      </c>
      <c r="G239" s="173">
        <f t="shared" si="26"/>
        <v>3200000</v>
      </c>
    </row>
    <row r="240" spans="1:8" s="104" customFormat="1" ht="24.95" customHeight="1" x14ac:dyDescent="0.2">
      <c r="A240" s="223"/>
      <c r="B240" s="225"/>
      <c r="C240" s="225"/>
      <c r="D240" s="226"/>
      <c r="E240" s="227">
        <f>SUM(E237:E239)</f>
        <v>18000000</v>
      </c>
      <c r="F240" s="228">
        <f>SUM(F237:F239)</f>
        <v>1297850</v>
      </c>
      <c r="G240" s="227">
        <f>SUM(G237:G239)</f>
        <v>7200000</v>
      </c>
    </row>
    <row r="241" spans="1:8" s="104" customFormat="1" ht="24.95" customHeight="1" x14ac:dyDescent="0.2">
      <c r="A241" s="247"/>
      <c r="B241" s="259"/>
      <c r="C241" s="248"/>
      <c r="D241" s="233"/>
      <c r="E241" s="401"/>
      <c r="F241" s="249"/>
      <c r="G241" s="401"/>
    </row>
    <row r="242" spans="1:8" ht="24.95" customHeight="1" x14ac:dyDescent="0.2">
      <c r="A242" s="126" t="s">
        <v>62</v>
      </c>
      <c r="B242" s="142" t="s">
        <v>63</v>
      </c>
      <c r="C242" s="138">
        <v>12020421</v>
      </c>
      <c r="D242" s="196" t="s">
        <v>302</v>
      </c>
      <c r="E242" s="173">
        <v>5000000</v>
      </c>
      <c r="F242" s="197"/>
      <c r="G242" s="173">
        <f>0.4*E242</f>
        <v>2000000</v>
      </c>
    </row>
    <row r="243" spans="1:8" ht="24.95" customHeight="1" x14ac:dyDescent="0.2">
      <c r="A243" s="223"/>
      <c r="B243" s="226"/>
      <c r="C243" s="225"/>
      <c r="D243" s="224"/>
      <c r="E243" s="227">
        <f>SUM(E242)</f>
        <v>5000000</v>
      </c>
      <c r="F243" s="228">
        <f>SUM(F242)</f>
        <v>0</v>
      </c>
      <c r="G243" s="227">
        <f>SUM(G242)</f>
        <v>2000000</v>
      </c>
    </row>
    <row r="244" spans="1:8" s="104" customFormat="1" ht="24.95" customHeight="1" x14ac:dyDescent="0.2">
      <c r="A244" s="138"/>
      <c r="B244" s="127"/>
      <c r="C244" s="273"/>
      <c r="D244" s="274" t="s">
        <v>542</v>
      </c>
      <c r="E244" s="179"/>
      <c r="F244" s="252"/>
      <c r="G244" s="179"/>
    </row>
    <row r="245" spans="1:8" s="101" customFormat="1" ht="38.25" x14ac:dyDescent="0.25">
      <c r="A245" s="115" t="s">
        <v>352</v>
      </c>
      <c r="B245" s="115" t="s">
        <v>351</v>
      </c>
      <c r="C245" s="115" t="s">
        <v>94</v>
      </c>
      <c r="D245" s="115" t="s">
        <v>353</v>
      </c>
      <c r="E245" s="496" t="s">
        <v>618</v>
      </c>
      <c r="F245" s="496" t="s">
        <v>638</v>
      </c>
      <c r="G245" s="496" t="s">
        <v>637</v>
      </c>
    </row>
    <row r="246" spans="1:8" s="104" customFormat="1" ht="24.95" customHeight="1" x14ac:dyDescent="0.2">
      <c r="A246" s="126">
        <v>21510200100</v>
      </c>
      <c r="B246" s="137" t="s">
        <v>354</v>
      </c>
      <c r="C246" s="138">
        <v>12024103</v>
      </c>
      <c r="D246" s="175" t="s">
        <v>317</v>
      </c>
      <c r="E246" s="288">
        <v>500000</v>
      </c>
      <c r="F246" s="289">
        <v>142300</v>
      </c>
      <c r="G246" s="288">
        <f t="shared" ref="G246:G249" si="27">0.4*E246</f>
        <v>200000</v>
      </c>
    </row>
    <row r="247" spans="1:8" s="104" customFormat="1" ht="24.95" customHeight="1" x14ac:dyDescent="0.2">
      <c r="A247" s="126">
        <v>21510200100</v>
      </c>
      <c r="B247" s="137" t="s">
        <v>354</v>
      </c>
      <c r="C247" s="138">
        <v>12024102</v>
      </c>
      <c r="D247" s="175" t="s">
        <v>576</v>
      </c>
      <c r="E247" s="288">
        <v>100000</v>
      </c>
      <c r="F247" s="289">
        <v>0</v>
      </c>
      <c r="G247" s="288">
        <f t="shared" si="27"/>
        <v>40000</v>
      </c>
    </row>
    <row r="248" spans="1:8" s="104" customFormat="1" ht="24.95" customHeight="1" x14ac:dyDescent="0.2">
      <c r="A248" s="126">
        <v>21510200100</v>
      </c>
      <c r="B248" s="137" t="s">
        <v>354</v>
      </c>
      <c r="C248" s="138">
        <v>12024104</v>
      </c>
      <c r="D248" s="175" t="s">
        <v>318</v>
      </c>
      <c r="E248" s="288">
        <v>2000000</v>
      </c>
      <c r="F248" s="289">
        <v>0</v>
      </c>
      <c r="G248" s="288">
        <f t="shared" si="27"/>
        <v>800000</v>
      </c>
    </row>
    <row r="249" spans="1:8" s="104" customFormat="1" ht="24.95" customHeight="1" x14ac:dyDescent="0.2">
      <c r="A249" s="126">
        <v>21510200100</v>
      </c>
      <c r="B249" s="137" t="s">
        <v>354</v>
      </c>
      <c r="C249" s="138">
        <v>12024105</v>
      </c>
      <c r="D249" s="175" t="s">
        <v>359</v>
      </c>
      <c r="E249" s="288">
        <v>100000</v>
      </c>
      <c r="F249" s="289">
        <v>0</v>
      </c>
      <c r="G249" s="288">
        <f t="shared" si="27"/>
        <v>40000</v>
      </c>
    </row>
    <row r="250" spans="1:8" s="104" customFormat="1" ht="15.75" customHeight="1" x14ac:dyDescent="0.2">
      <c r="A250" s="223"/>
      <c r="B250" s="226"/>
      <c r="C250" s="225"/>
      <c r="D250" s="224"/>
      <c r="E250" s="281">
        <f>SUM(E246:E249)</f>
        <v>2700000</v>
      </c>
      <c r="F250" s="290">
        <f>SUM(F246:F249)</f>
        <v>142300</v>
      </c>
      <c r="G250" s="281">
        <f>SUM(G246:G249)</f>
        <v>1080000</v>
      </c>
    </row>
    <row r="251" spans="1:8" s="104" customFormat="1" ht="13.5" customHeight="1" x14ac:dyDescent="0.2">
      <c r="A251" s="261"/>
      <c r="B251" s="262"/>
      <c r="C251" s="263"/>
      <c r="D251" s="291"/>
      <c r="E251" s="452"/>
      <c r="F251" s="292"/>
      <c r="G251" s="452"/>
    </row>
    <row r="252" spans="1:8" s="107" customFormat="1" ht="24.95" customHeight="1" x14ac:dyDescent="0.2">
      <c r="A252" s="265" t="s">
        <v>371</v>
      </c>
      <c r="B252" s="142" t="s">
        <v>370</v>
      </c>
      <c r="C252" s="143">
        <v>12024107</v>
      </c>
      <c r="D252" s="142" t="s">
        <v>456</v>
      </c>
      <c r="E252" s="144">
        <v>50000</v>
      </c>
      <c r="F252" s="145">
        <v>0</v>
      </c>
      <c r="G252" s="144">
        <v>0</v>
      </c>
      <c r="H252" s="104"/>
    </row>
    <row r="253" spans="1:8" s="104" customFormat="1" ht="16.5" customHeight="1" x14ac:dyDescent="0.2">
      <c r="A253" s="207"/>
      <c r="B253" s="377"/>
      <c r="C253" s="281"/>
      <c r="D253" s="281"/>
      <c r="E253" s="405">
        <f>SUM(E252)</f>
        <v>50000</v>
      </c>
      <c r="F253" s="290">
        <f>SUM(F252)</f>
        <v>0</v>
      </c>
      <c r="G253" s="405">
        <f>SUM(G252)</f>
        <v>0</v>
      </c>
    </row>
    <row r="254" spans="1:8" s="105" customFormat="1" ht="13.5" customHeight="1" x14ac:dyDescent="0.2">
      <c r="A254" s="293"/>
      <c r="B254" s="378"/>
      <c r="C254" s="294"/>
      <c r="D254" s="295"/>
      <c r="E254" s="409"/>
      <c r="F254" s="296"/>
      <c r="G254" s="409"/>
    </row>
    <row r="255" spans="1:8" s="105" customFormat="1" ht="24.95" customHeight="1" x14ac:dyDescent="0.2">
      <c r="A255" s="264" t="s">
        <v>414</v>
      </c>
      <c r="B255" s="312" t="s">
        <v>643</v>
      </c>
      <c r="C255" s="138">
        <v>12020421</v>
      </c>
      <c r="D255" s="297" t="s">
        <v>461</v>
      </c>
      <c r="E255" s="288">
        <v>150000</v>
      </c>
      <c r="F255" s="289">
        <v>0</v>
      </c>
      <c r="G255" s="288">
        <f t="shared" ref="G255:G258" si="28">0.4*E255</f>
        <v>60000</v>
      </c>
    </row>
    <row r="256" spans="1:8" s="105" customFormat="1" ht="24.95" customHeight="1" x14ac:dyDescent="0.2">
      <c r="A256" s="264" t="s">
        <v>414</v>
      </c>
      <c r="B256" s="312" t="s">
        <v>643</v>
      </c>
      <c r="C256" s="138">
        <v>12020438</v>
      </c>
      <c r="D256" s="297" t="s">
        <v>415</v>
      </c>
      <c r="E256" s="288">
        <v>40000000</v>
      </c>
      <c r="F256" s="289">
        <v>30275578.199999999</v>
      </c>
      <c r="G256" s="288">
        <f t="shared" si="28"/>
        <v>16000000</v>
      </c>
    </row>
    <row r="257" spans="1:7" s="105" customFormat="1" ht="24.95" customHeight="1" x14ac:dyDescent="0.2">
      <c r="A257" s="264" t="s">
        <v>414</v>
      </c>
      <c r="B257" s="312" t="s">
        <v>643</v>
      </c>
      <c r="C257" s="138">
        <v>12024108</v>
      </c>
      <c r="D257" s="297" t="s">
        <v>462</v>
      </c>
      <c r="E257" s="288">
        <v>2500000</v>
      </c>
      <c r="F257" s="289">
        <v>294955</v>
      </c>
      <c r="G257" s="288">
        <f t="shared" si="28"/>
        <v>1000000</v>
      </c>
    </row>
    <row r="258" spans="1:7" s="105" customFormat="1" ht="24.95" customHeight="1" x14ac:dyDescent="0.2">
      <c r="A258" s="264" t="s">
        <v>414</v>
      </c>
      <c r="B258" s="312" t="s">
        <v>643</v>
      </c>
      <c r="C258" s="138">
        <v>12024109</v>
      </c>
      <c r="D258" s="297" t="s">
        <v>463</v>
      </c>
      <c r="E258" s="288">
        <v>1000000</v>
      </c>
      <c r="F258" s="289">
        <v>335602.5</v>
      </c>
      <c r="G258" s="288">
        <f t="shared" si="28"/>
        <v>400000</v>
      </c>
    </row>
    <row r="259" spans="1:7" s="105" customFormat="1" ht="15" customHeight="1" x14ac:dyDescent="0.2">
      <c r="A259" s="258"/>
      <c r="B259" s="378"/>
      <c r="C259" s="298"/>
      <c r="D259" s="299"/>
      <c r="E259" s="409">
        <f>SUM(E255:E258)</f>
        <v>43650000</v>
      </c>
      <c r="F259" s="296">
        <f>SUM(F255:F258)</f>
        <v>30906135.699999999</v>
      </c>
      <c r="G259" s="409">
        <f>SUM(G255:G258)</f>
        <v>17460000</v>
      </c>
    </row>
    <row r="260" spans="1:7" s="105" customFormat="1" ht="11.25" customHeight="1" x14ac:dyDescent="0.2">
      <c r="A260" s="258"/>
      <c r="B260" s="378"/>
      <c r="C260" s="298"/>
      <c r="D260" s="299"/>
      <c r="E260" s="453"/>
      <c r="F260" s="300"/>
      <c r="G260" s="453"/>
    </row>
    <row r="261" spans="1:7" s="105" customFormat="1" ht="24.95" customHeight="1" x14ac:dyDescent="0.2">
      <c r="A261" s="264" t="s">
        <v>424</v>
      </c>
      <c r="B261" s="312" t="s">
        <v>644</v>
      </c>
      <c r="C261" s="138">
        <v>12020438</v>
      </c>
      <c r="D261" s="297" t="s">
        <v>464</v>
      </c>
      <c r="E261" s="288">
        <v>180000000</v>
      </c>
      <c r="F261" s="289">
        <f>23621106+4830</f>
        <v>23625936</v>
      </c>
      <c r="G261" s="288">
        <v>80000000</v>
      </c>
    </row>
    <row r="262" spans="1:7" s="105" customFormat="1" ht="24.95" customHeight="1" x14ac:dyDescent="0.2">
      <c r="A262" s="264" t="s">
        <v>424</v>
      </c>
      <c r="B262" s="312" t="s">
        <v>644</v>
      </c>
      <c r="C262" s="138">
        <v>12020447</v>
      </c>
      <c r="D262" s="297" t="s">
        <v>465</v>
      </c>
      <c r="E262" s="288">
        <v>30000000</v>
      </c>
      <c r="F262" s="289">
        <f>4708000+4000</f>
        <v>4712000</v>
      </c>
      <c r="G262" s="288">
        <f t="shared" ref="G262:G266" si="29">0.4*E262</f>
        <v>12000000</v>
      </c>
    </row>
    <row r="263" spans="1:7" s="105" customFormat="1" ht="24.95" customHeight="1" x14ac:dyDescent="0.2">
      <c r="A263" s="264" t="s">
        <v>424</v>
      </c>
      <c r="B263" s="312" t="s">
        <v>644</v>
      </c>
      <c r="C263" s="138">
        <v>12020444</v>
      </c>
      <c r="D263" s="297" t="s">
        <v>466</v>
      </c>
      <c r="E263" s="288">
        <v>6000000</v>
      </c>
      <c r="F263" s="289">
        <v>2303000</v>
      </c>
      <c r="G263" s="288">
        <f t="shared" si="29"/>
        <v>2400000</v>
      </c>
    </row>
    <row r="264" spans="1:7" s="105" customFormat="1" ht="24.95" customHeight="1" x14ac:dyDescent="0.2">
      <c r="A264" s="264" t="s">
        <v>424</v>
      </c>
      <c r="B264" s="312" t="s">
        <v>644</v>
      </c>
      <c r="C264" s="138">
        <v>12024110</v>
      </c>
      <c r="D264" s="297" t="s">
        <v>457</v>
      </c>
      <c r="E264" s="288">
        <v>25000000</v>
      </c>
      <c r="F264" s="289">
        <v>4584500</v>
      </c>
      <c r="G264" s="288">
        <f t="shared" si="29"/>
        <v>10000000</v>
      </c>
    </row>
    <row r="265" spans="1:7" s="105" customFormat="1" ht="24.95" customHeight="1" x14ac:dyDescent="0.2">
      <c r="A265" s="264" t="s">
        <v>424</v>
      </c>
      <c r="B265" s="312" t="s">
        <v>644</v>
      </c>
      <c r="C265" s="138">
        <v>12024111</v>
      </c>
      <c r="D265" s="297" t="s">
        <v>426</v>
      </c>
      <c r="E265" s="288">
        <v>3000000</v>
      </c>
      <c r="F265" s="289">
        <v>1065500</v>
      </c>
      <c r="G265" s="288">
        <v>2500000</v>
      </c>
    </row>
    <row r="266" spans="1:7" s="105" customFormat="1" ht="24.95" customHeight="1" x14ac:dyDescent="0.2">
      <c r="A266" s="264" t="s">
        <v>424</v>
      </c>
      <c r="B266" s="312" t="s">
        <v>644</v>
      </c>
      <c r="C266" s="138">
        <v>12024112</v>
      </c>
      <c r="D266" s="297" t="s">
        <v>460</v>
      </c>
      <c r="E266" s="288">
        <v>0</v>
      </c>
      <c r="F266" s="289">
        <v>0</v>
      </c>
      <c r="G266" s="288">
        <f t="shared" si="29"/>
        <v>0</v>
      </c>
    </row>
    <row r="267" spans="1:7" s="105" customFormat="1" ht="24.95" customHeight="1" x14ac:dyDescent="0.2">
      <c r="A267" s="265" t="s">
        <v>424</v>
      </c>
      <c r="B267" s="305" t="s">
        <v>644</v>
      </c>
      <c r="C267" s="143">
        <v>12024113</v>
      </c>
      <c r="D267" s="302" t="s">
        <v>467</v>
      </c>
      <c r="E267" s="306">
        <v>35000000</v>
      </c>
      <c r="F267" s="303">
        <v>5887000</v>
      </c>
      <c r="G267" s="306">
        <v>10000000</v>
      </c>
    </row>
    <row r="268" spans="1:7" s="104" customFormat="1" ht="24.75" customHeight="1" x14ac:dyDescent="0.2">
      <c r="A268" s="138"/>
      <c r="B268" s="127"/>
      <c r="C268" s="273"/>
      <c r="D268" s="274" t="s">
        <v>552</v>
      </c>
      <c r="E268" s="179"/>
      <c r="F268" s="252"/>
      <c r="G268" s="179"/>
    </row>
    <row r="269" spans="1:7" s="101" customFormat="1" ht="38.25" x14ac:dyDescent="0.25">
      <c r="A269" s="267" t="s">
        <v>352</v>
      </c>
      <c r="B269" s="267" t="s">
        <v>351</v>
      </c>
      <c r="C269" s="267" t="s">
        <v>94</v>
      </c>
      <c r="D269" s="267" t="s">
        <v>353</v>
      </c>
      <c r="E269" s="496" t="s">
        <v>618</v>
      </c>
      <c r="F269" s="496" t="s">
        <v>638</v>
      </c>
      <c r="G269" s="496" t="s">
        <v>637</v>
      </c>
    </row>
    <row r="270" spans="1:7" s="105" customFormat="1" ht="24.95" customHeight="1" x14ac:dyDescent="0.2">
      <c r="A270" s="293" t="s">
        <v>424</v>
      </c>
      <c r="B270" s="250" t="s">
        <v>644</v>
      </c>
      <c r="C270" s="304">
        <v>12024114</v>
      </c>
      <c r="D270" s="299" t="s">
        <v>427</v>
      </c>
      <c r="E270" s="453">
        <v>12000000</v>
      </c>
      <c r="F270" s="300">
        <v>7194000</v>
      </c>
      <c r="G270" s="453">
        <v>9000000</v>
      </c>
    </row>
    <row r="271" spans="1:7" s="105" customFormat="1" ht="21" customHeight="1" x14ac:dyDescent="0.2">
      <c r="A271" s="264" t="s">
        <v>424</v>
      </c>
      <c r="B271" s="312" t="s">
        <v>644</v>
      </c>
      <c r="C271" s="138">
        <v>12024115</v>
      </c>
      <c r="D271" s="297" t="s">
        <v>428</v>
      </c>
      <c r="E271" s="288">
        <v>30000000</v>
      </c>
      <c r="F271" s="289">
        <f>5811000+4000</f>
        <v>5815000</v>
      </c>
      <c r="G271" s="288">
        <v>15000000</v>
      </c>
    </row>
    <row r="272" spans="1:7" s="105" customFormat="1" ht="24.95" customHeight="1" x14ac:dyDescent="0.2">
      <c r="A272" s="264" t="s">
        <v>424</v>
      </c>
      <c r="B272" s="312" t="s">
        <v>644</v>
      </c>
      <c r="C272" s="138">
        <v>12020446</v>
      </c>
      <c r="D272" s="297" t="s">
        <v>459</v>
      </c>
      <c r="E272" s="288">
        <v>1000000</v>
      </c>
      <c r="F272" s="289">
        <f>1237000+500</f>
        <v>1237500</v>
      </c>
      <c r="G272" s="288">
        <v>1000000</v>
      </c>
    </row>
    <row r="273" spans="1:7" s="105" customFormat="1" ht="24.95" customHeight="1" x14ac:dyDescent="0.2">
      <c r="A273" s="264" t="s">
        <v>424</v>
      </c>
      <c r="B273" s="312" t="s">
        <v>644</v>
      </c>
      <c r="C273" s="138">
        <v>12020441</v>
      </c>
      <c r="D273" s="297" t="s">
        <v>429</v>
      </c>
      <c r="E273" s="288">
        <v>3000000</v>
      </c>
      <c r="F273" s="289">
        <f>1035000+500</f>
        <v>1035500</v>
      </c>
      <c r="G273" s="288">
        <v>2200000</v>
      </c>
    </row>
    <row r="274" spans="1:7" s="105" customFormat="1" ht="24.95" customHeight="1" x14ac:dyDescent="0.2">
      <c r="A274" s="264" t="s">
        <v>424</v>
      </c>
      <c r="B274" s="312" t="s">
        <v>644</v>
      </c>
      <c r="C274" s="138">
        <v>12024116</v>
      </c>
      <c r="D274" s="297" t="s">
        <v>468</v>
      </c>
      <c r="E274" s="288">
        <v>2700000</v>
      </c>
      <c r="F274" s="289">
        <v>0</v>
      </c>
      <c r="G274" s="288">
        <f t="shared" ref="G274:G288" si="30">0.4*E274</f>
        <v>1080000</v>
      </c>
    </row>
    <row r="275" spans="1:7" s="105" customFormat="1" ht="24.95" customHeight="1" x14ac:dyDescent="0.2">
      <c r="A275" s="264" t="s">
        <v>424</v>
      </c>
      <c r="B275" s="312" t="s">
        <v>644</v>
      </c>
      <c r="C275" s="138">
        <v>12020423</v>
      </c>
      <c r="D275" s="297" t="s">
        <v>469</v>
      </c>
      <c r="E275" s="288">
        <v>800000</v>
      </c>
      <c r="F275" s="289">
        <v>40000</v>
      </c>
      <c r="G275" s="288">
        <f t="shared" si="30"/>
        <v>320000</v>
      </c>
    </row>
    <row r="276" spans="1:7" s="105" customFormat="1" ht="24.95" customHeight="1" x14ac:dyDescent="0.2">
      <c r="A276" s="264" t="s">
        <v>424</v>
      </c>
      <c r="B276" s="312" t="s">
        <v>644</v>
      </c>
      <c r="C276" s="138">
        <v>12020423</v>
      </c>
      <c r="D276" s="297" t="s">
        <v>430</v>
      </c>
      <c r="E276" s="288">
        <v>200000</v>
      </c>
      <c r="F276" s="289">
        <v>90000</v>
      </c>
      <c r="G276" s="288">
        <f t="shared" si="30"/>
        <v>80000</v>
      </c>
    </row>
    <row r="277" spans="1:7" s="105" customFormat="1" ht="24.95" customHeight="1" x14ac:dyDescent="0.2">
      <c r="A277" s="264" t="s">
        <v>424</v>
      </c>
      <c r="B277" s="312" t="s">
        <v>644</v>
      </c>
      <c r="C277" s="138">
        <v>12024117</v>
      </c>
      <c r="D277" s="297" t="s">
        <v>489</v>
      </c>
      <c r="E277" s="288">
        <v>100000</v>
      </c>
      <c r="F277" s="289">
        <v>16000</v>
      </c>
      <c r="G277" s="288">
        <f t="shared" si="30"/>
        <v>40000</v>
      </c>
    </row>
    <row r="278" spans="1:7" s="105" customFormat="1" ht="24.95" customHeight="1" x14ac:dyDescent="0.2">
      <c r="A278" s="264" t="s">
        <v>424</v>
      </c>
      <c r="B278" s="312" t="s">
        <v>644</v>
      </c>
      <c r="C278" s="138">
        <v>12024118</v>
      </c>
      <c r="D278" s="297" t="s">
        <v>470</v>
      </c>
      <c r="E278" s="288">
        <v>3000000</v>
      </c>
      <c r="F278" s="289">
        <v>0</v>
      </c>
      <c r="G278" s="288">
        <f t="shared" si="30"/>
        <v>1200000</v>
      </c>
    </row>
    <row r="279" spans="1:7" s="105" customFormat="1" ht="18" customHeight="1" x14ac:dyDescent="0.2">
      <c r="A279" s="264" t="s">
        <v>424</v>
      </c>
      <c r="B279" s="312" t="s">
        <v>644</v>
      </c>
      <c r="C279" s="138">
        <v>12020421</v>
      </c>
      <c r="D279" s="297" t="s">
        <v>504</v>
      </c>
      <c r="E279" s="288">
        <v>400000</v>
      </c>
      <c r="F279" s="289">
        <v>50000</v>
      </c>
      <c r="G279" s="288">
        <f t="shared" si="30"/>
        <v>160000</v>
      </c>
    </row>
    <row r="280" spans="1:7" s="105" customFormat="1" ht="24.95" customHeight="1" x14ac:dyDescent="0.2">
      <c r="A280" s="264" t="s">
        <v>424</v>
      </c>
      <c r="B280" s="312" t="s">
        <v>644</v>
      </c>
      <c r="C280" s="138">
        <v>12024108</v>
      </c>
      <c r="D280" s="297" t="s">
        <v>581</v>
      </c>
      <c r="E280" s="288">
        <v>300000</v>
      </c>
      <c r="F280" s="289">
        <v>192000</v>
      </c>
      <c r="G280" s="288">
        <f t="shared" si="30"/>
        <v>120000</v>
      </c>
    </row>
    <row r="281" spans="1:7" s="105" customFormat="1" ht="24.95" customHeight="1" x14ac:dyDescent="0.2">
      <c r="A281" s="264" t="s">
        <v>424</v>
      </c>
      <c r="B281" s="312" t="s">
        <v>644</v>
      </c>
      <c r="C281" s="138">
        <v>12024119</v>
      </c>
      <c r="D281" s="297" t="s">
        <v>471</v>
      </c>
      <c r="E281" s="288">
        <v>6000000</v>
      </c>
      <c r="F281" s="289">
        <v>724000</v>
      </c>
      <c r="G281" s="288">
        <v>4000000</v>
      </c>
    </row>
    <row r="282" spans="1:7" s="105" customFormat="1" ht="24.95" customHeight="1" x14ac:dyDescent="0.2">
      <c r="A282" s="264" t="s">
        <v>424</v>
      </c>
      <c r="B282" s="312" t="s">
        <v>644</v>
      </c>
      <c r="C282" s="138">
        <v>12024120</v>
      </c>
      <c r="D282" s="297" t="s">
        <v>431</v>
      </c>
      <c r="E282" s="288">
        <v>4000000</v>
      </c>
      <c r="F282" s="289">
        <f>1237000+500</f>
        <v>1237500</v>
      </c>
      <c r="G282" s="288">
        <v>2000000</v>
      </c>
    </row>
    <row r="283" spans="1:7" s="105" customFormat="1" ht="24.95" customHeight="1" x14ac:dyDescent="0.2">
      <c r="A283" s="264" t="s">
        <v>424</v>
      </c>
      <c r="B283" s="312" t="s">
        <v>644</v>
      </c>
      <c r="C283" s="138">
        <v>12024121</v>
      </c>
      <c r="D283" s="297" t="s">
        <v>432</v>
      </c>
      <c r="E283" s="288">
        <v>25000000</v>
      </c>
      <c r="F283" s="289">
        <f>4453600+3800</f>
        <v>4457400</v>
      </c>
      <c r="G283" s="288">
        <v>15000000</v>
      </c>
    </row>
    <row r="284" spans="1:7" s="105" customFormat="1" ht="24.95" customHeight="1" x14ac:dyDescent="0.2">
      <c r="A284" s="264" t="s">
        <v>424</v>
      </c>
      <c r="B284" s="312" t="s">
        <v>644</v>
      </c>
      <c r="C284" s="138">
        <v>12024112</v>
      </c>
      <c r="D284" s="297" t="s">
        <v>472</v>
      </c>
      <c r="E284" s="288">
        <v>10000000</v>
      </c>
      <c r="F284" s="289">
        <f>2344000+2000</f>
        <v>2346000</v>
      </c>
      <c r="G284" s="288">
        <v>6000000</v>
      </c>
    </row>
    <row r="285" spans="1:7" s="105" customFormat="1" ht="24.95" customHeight="1" x14ac:dyDescent="0.2">
      <c r="A285" s="264" t="s">
        <v>424</v>
      </c>
      <c r="B285" s="312" t="s">
        <v>644</v>
      </c>
      <c r="C285" s="138">
        <v>12024122</v>
      </c>
      <c r="D285" s="297" t="s">
        <v>433</v>
      </c>
      <c r="E285" s="288">
        <v>500000</v>
      </c>
      <c r="F285" s="289">
        <v>0</v>
      </c>
      <c r="G285" s="288">
        <f t="shared" si="30"/>
        <v>200000</v>
      </c>
    </row>
    <row r="286" spans="1:7" s="105" customFormat="1" ht="24.95" customHeight="1" x14ac:dyDescent="0.2">
      <c r="A286" s="264" t="s">
        <v>424</v>
      </c>
      <c r="B286" s="312" t="s">
        <v>644</v>
      </c>
      <c r="C286" s="138">
        <v>12024123</v>
      </c>
      <c r="D286" s="297" t="s">
        <v>434</v>
      </c>
      <c r="E286" s="288">
        <v>0</v>
      </c>
      <c r="F286" s="289">
        <v>0</v>
      </c>
      <c r="G286" s="288">
        <f t="shared" si="30"/>
        <v>0</v>
      </c>
    </row>
    <row r="287" spans="1:7" s="105" customFormat="1" ht="24.95" customHeight="1" x14ac:dyDescent="0.2">
      <c r="A287" s="264" t="s">
        <v>424</v>
      </c>
      <c r="B287" s="312" t="s">
        <v>644</v>
      </c>
      <c r="C287" s="138">
        <v>12024124</v>
      </c>
      <c r="D287" s="297" t="s">
        <v>473</v>
      </c>
      <c r="E287" s="288">
        <v>8000000</v>
      </c>
      <c r="F287" s="289">
        <v>520000</v>
      </c>
      <c r="G287" s="288">
        <v>5000000</v>
      </c>
    </row>
    <row r="288" spans="1:7" s="105" customFormat="1" ht="24.95" customHeight="1" x14ac:dyDescent="0.2">
      <c r="A288" s="264" t="s">
        <v>424</v>
      </c>
      <c r="B288" s="312" t="s">
        <v>644</v>
      </c>
      <c r="C288" s="138">
        <v>12024125</v>
      </c>
      <c r="D288" s="297" t="s">
        <v>435</v>
      </c>
      <c r="E288" s="288">
        <v>800000</v>
      </c>
      <c r="F288" s="289">
        <v>0</v>
      </c>
      <c r="G288" s="288">
        <f t="shared" si="30"/>
        <v>320000</v>
      </c>
    </row>
    <row r="289" spans="1:7" s="105" customFormat="1" ht="24.95" customHeight="1" x14ac:dyDescent="0.2">
      <c r="A289" s="264" t="s">
        <v>424</v>
      </c>
      <c r="B289" s="312" t="s">
        <v>644</v>
      </c>
      <c r="C289" s="138">
        <v>12024108</v>
      </c>
      <c r="D289" s="297" t="s">
        <v>436</v>
      </c>
      <c r="E289" s="288">
        <v>4000000</v>
      </c>
      <c r="F289" s="289">
        <f>1257000+12000</f>
        <v>1269000</v>
      </c>
      <c r="G289" s="288">
        <v>2500000</v>
      </c>
    </row>
    <row r="290" spans="1:7" s="105" customFormat="1" ht="24.95" customHeight="1" x14ac:dyDescent="0.2">
      <c r="A290" s="265" t="s">
        <v>424</v>
      </c>
      <c r="B290" s="305" t="s">
        <v>644</v>
      </c>
      <c r="C290" s="143">
        <v>12020438</v>
      </c>
      <c r="D290" s="302" t="s">
        <v>505</v>
      </c>
      <c r="E290" s="306">
        <v>10000000</v>
      </c>
      <c r="F290" s="303">
        <f>2344000+12000</f>
        <v>2356000</v>
      </c>
      <c r="G290" s="306">
        <v>6000000</v>
      </c>
    </row>
    <row r="291" spans="1:7" s="104" customFormat="1" ht="24.95" customHeight="1" x14ac:dyDescent="0.2">
      <c r="A291" s="138"/>
      <c r="B291" s="127"/>
      <c r="C291" s="273"/>
      <c r="D291" s="274" t="s">
        <v>543</v>
      </c>
      <c r="E291" s="179"/>
      <c r="F291" s="252"/>
      <c r="G291" s="179"/>
    </row>
    <row r="292" spans="1:7" s="101" customFormat="1" ht="38.25" x14ac:dyDescent="0.25">
      <c r="A292" s="115" t="s">
        <v>352</v>
      </c>
      <c r="B292" s="115" t="s">
        <v>351</v>
      </c>
      <c r="C292" s="115" t="s">
        <v>94</v>
      </c>
      <c r="D292" s="115" t="s">
        <v>353</v>
      </c>
      <c r="E292" s="496" t="s">
        <v>618</v>
      </c>
      <c r="F292" s="496" t="s">
        <v>638</v>
      </c>
      <c r="G292" s="496" t="s">
        <v>637</v>
      </c>
    </row>
    <row r="293" spans="1:7" s="105" customFormat="1" ht="24.95" customHeight="1" x14ac:dyDescent="0.2">
      <c r="A293" s="264" t="s">
        <v>424</v>
      </c>
      <c r="B293" s="312" t="s">
        <v>644</v>
      </c>
      <c r="C293" s="138">
        <v>12020447</v>
      </c>
      <c r="D293" s="297" t="s">
        <v>506</v>
      </c>
      <c r="E293" s="288">
        <v>8000000</v>
      </c>
      <c r="F293" s="289">
        <f>1172000+1500</f>
        <v>1173500</v>
      </c>
      <c r="G293" s="288">
        <v>5000000</v>
      </c>
    </row>
    <row r="294" spans="1:7" s="105" customFormat="1" ht="24.95" customHeight="1" x14ac:dyDescent="0.2">
      <c r="A294" s="264" t="s">
        <v>424</v>
      </c>
      <c r="B294" s="312" t="s">
        <v>644</v>
      </c>
      <c r="C294" s="138">
        <v>12020444</v>
      </c>
      <c r="D294" s="297" t="s">
        <v>507</v>
      </c>
      <c r="E294" s="288">
        <v>0</v>
      </c>
      <c r="F294" s="289">
        <v>0</v>
      </c>
      <c r="G294" s="288">
        <f t="shared" ref="G294:G296" si="31">0.4*E294</f>
        <v>0</v>
      </c>
    </row>
    <row r="295" spans="1:7" s="105" customFormat="1" ht="24.95" customHeight="1" x14ac:dyDescent="0.2">
      <c r="A295" s="264" t="s">
        <v>424</v>
      </c>
      <c r="B295" s="312" t="s">
        <v>644</v>
      </c>
      <c r="C295" s="138">
        <v>12024110</v>
      </c>
      <c r="D295" s="297" t="s">
        <v>508</v>
      </c>
      <c r="E295" s="288">
        <v>30000000</v>
      </c>
      <c r="F295" s="289">
        <v>450000</v>
      </c>
      <c r="G295" s="288">
        <v>5000000</v>
      </c>
    </row>
    <row r="296" spans="1:7" s="105" customFormat="1" ht="24.95" customHeight="1" x14ac:dyDescent="0.2">
      <c r="A296" s="265" t="s">
        <v>424</v>
      </c>
      <c r="B296" s="305" t="s">
        <v>644</v>
      </c>
      <c r="C296" s="305">
        <v>12024111</v>
      </c>
      <c r="D296" s="302" t="s">
        <v>509</v>
      </c>
      <c r="E296" s="306">
        <v>3000000</v>
      </c>
      <c r="F296" s="303">
        <v>660000</v>
      </c>
      <c r="G296" s="306">
        <f t="shared" si="31"/>
        <v>1200000</v>
      </c>
    </row>
    <row r="297" spans="1:7" s="105" customFormat="1" ht="14.25" customHeight="1" x14ac:dyDescent="0.2">
      <c r="A297" s="307"/>
      <c r="B297" s="377"/>
      <c r="C297" s="308"/>
      <c r="D297" s="309"/>
      <c r="E297" s="405">
        <f>SUM(E261:E296)</f>
        <v>441800000</v>
      </c>
      <c r="F297" s="290">
        <f>SUM(F261:F296)</f>
        <v>73041336</v>
      </c>
      <c r="G297" s="405">
        <f>SUM(G261:G296)</f>
        <v>199320000</v>
      </c>
    </row>
    <row r="298" spans="1:7" s="105" customFormat="1" ht="12" customHeight="1" x14ac:dyDescent="0.2">
      <c r="A298" s="126"/>
      <c r="B298" s="370"/>
      <c r="C298" s="279"/>
      <c r="D298" s="297"/>
      <c r="E298" s="288"/>
      <c r="F298" s="289"/>
      <c r="G298" s="288"/>
    </row>
    <row r="299" spans="1:7" s="105" customFormat="1" ht="24.95" customHeight="1" x14ac:dyDescent="0.2">
      <c r="A299" s="264" t="s">
        <v>440</v>
      </c>
      <c r="B299" s="312" t="s">
        <v>441</v>
      </c>
      <c r="C299" s="138">
        <v>12020438</v>
      </c>
      <c r="D299" s="297" t="s">
        <v>516</v>
      </c>
      <c r="E299" s="288">
        <v>300000000</v>
      </c>
      <c r="F299" s="289">
        <f>213665900+32520658.11</f>
        <v>246186558.11000001</v>
      </c>
      <c r="G299" s="288">
        <v>100000000</v>
      </c>
    </row>
    <row r="300" spans="1:7" s="105" customFormat="1" ht="24.95" customHeight="1" x14ac:dyDescent="0.2">
      <c r="A300" s="264" t="s">
        <v>440</v>
      </c>
      <c r="B300" s="312" t="s">
        <v>441</v>
      </c>
      <c r="C300" s="138">
        <v>12024108</v>
      </c>
      <c r="D300" s="311" t="s">
        <v>517</v>
      </c>
      <c r="E300" s="288">
        <v>4000000</v>
      </c>
      <c r="F300" s="289">
        <v>0</v>
      </c>
      <c r="G300" s="288">
        <v>2000000</v>
      </c>
    </row>
    <row r="301" spans="1:7" s="105" customFormat="1" ht="24.95" customHeight="1" x14ac:dyDescent="0.2">
      <c r="A301" s="264" t="s">
        <v>440</v>
      </c>
      <c r="B301" s="312" t="s">
        <v>441</v>
      </c>
      <c r="C301" s="138">
        <v>12024114</v>
      </c>
      <c r="D301" s="311" t="s">
        <v>518</v>
      </c>
      <c r="E301" s="288">
        <v>120000000</v>
      </c>
      <c r="F301" s="289">
        <v>15203.15</v>
      </c>
      <c r="G301" s="288">
        <v>60000000</v>
      </c>
    </row>
    <row r="302" spans="1:7" s="105" customFormat="1" ht="24.95" customHeight="1" x14ac:dyDescent="0.2">
      <c r="A302" s="264" t="s">
        <v>440</v>
      </c>
      <c r="B302" s="312" t="s">
        <v>441</v>
      </c>
      <c r="C302" s="138">
        <v>12024128</v>
      </c>
      <c r="D302" s="297" t="s">
        <v>519</v>
      </c>
      <c r="E302" s="288">
        <f>60000000</f>
        <v>60000000</v>
      </c>
      <c r="F302" s="289">
        <f>11398000+117600</f>
        <v>11515600</v>
      </c>
      <c r="G302" s="288">
        <f t="shared" ref="G302:G314" si="32">0.4*E302</f>
        <v>24000000</v>
      </c>
    </row>
    <row r="303" spans="1:7" s="105" customFormat="1" ht="24.95" customHeight="1" x14ac:dyDescent="0.2">
      <c r="A303" s="264" t="s">
        <v>440</v>
      </c>
      <c r="B303" s="312" t="s">
        <v>441</v>
      </c>
      <c r="C303" s="138">
        <v>12020423</v>
      </c>
      <c r="D303" s="311" t="s">
        <v>520</v>
      </c>
      <c r="E303" s="288">
        <v>50000000</v>
      </c>
      <c r="F303" s="289">
        <v>0</v>
      </c>
      <c r="G303" s="288">
        <v>10000000</v>
      </c>
    </row>
    <row r="304" spans="1:7" s="105" customFormat="1" ht="24.95" customHeight="1" x14ac:dyDescent="0.2">
      <c r="A304" s="264" t="s">
        <v>440</v>
      </c>
      <c r="B304" s="312" t="s">
        <v>441</v>
      </c>
      <c r="C304" s="138">
        <v>12020424</v>
      </c>
      <c r="D304" s="311" t="s">
        <v>584</v>
      </c>
      <c r="E304" s="288">
        <v>5000000</v>
      </c>
      <c r="F304" s="289">
        <f>1281700+1032000</f>
        <v>2313700</v>
      </c>
      <c r="G304" s="288">
        <v>5000000</v>
      </c>
    </row>
    <row r="305" spans="1:8" s="105" customFormat="1" ht="24.95" customHeight="1" x14ac:dyDescent="0.2">
      <c r="A305" s="264" t="s">
        <v>440</v>
      </c>
      <c r="B305" s="312" t="s">
        <v>441</v>
      </c>
      <c r="C305" s="138">
        <v>12020425</v>
      </c>
      <c r="D305" s="311" t="s">
        <v>585</v>
      </c>
      <c r="E305" s="288">
        <v>500000</v>
      </c>
      <c r="F305" s="289">
        <v>89000</v>
      </c>
      <c r="G305" s="288">
        <v>500000</v>
      </c>
    </row>
    <row r="306" spans="1:8" s="105" customFormat="1" ht="24.95" customHeight="1" x14ac:dyDescent="0.2">
      <c r="A306" s="264" t="s">
        <v>440</v>
      </c>
      <c r="B306" s="312" t="s">
        <v>441</v>
      </c>
      <c r="C306" s="138">
        <v>12020426</v>
      </c>
      <c r="D306" s="311" t="s">
        <v>586</v>
      </c>
      <c r="E306" s="288">
        <v>500000</v>
      </c>
      <c r="F306" s="289">
        <v>0</v>
      </c>
      <c r="G306" s="288">
        <v>0</v>
      </c>
    </row>
    <row r="307" spans="1:8" s="105" customFormat="1" ht="24.95" customHeight="1" x14ac:dyDescent="0.2">
      <c r="A307" s="264" t="s">
        <v>440</v>
      </c>
      <c r="B307" s="312" t="s">
        <v>441</v>
      </c>
      <c r="C307" s="138">
        <v>12020427</v>
      </c>
      <c r="D307" s="311" t="s">
        <v>430</v>
      </c>
      <c r="E307" s="288">
        <v>200000</v>
      </c>
      <c r="F307" s="289">
        <v>272000</v>
      </c>
      <c r="G307" s="288">
        <v>400000</v>
      </c>
    </row>
    <row r="308" spans="1:8" s="105" customFormat="1" ht="24.95" customHeight="1" x14ac:dyDescent="0.2">
      <c r="A308" s="264" t="s">
        <v>440</v>
      </c>
      <c r="B308" s="312" t="s">
        <v>441</v>
      </c>
      <c r="C308" s="138">
        <v>12020428</v>
      </c>
      <c r="D308" s="311" t="s">
        <v>587</v>
      </c>
      <c r="E308" s="288">
        <v>2000000</v>
      </c>
      <c r="F308" s="289">
        <v>703200</v>
      </c>
      <c r="G308" s="288">
        <v>1500000</v>
      </c>
    </row>
    <row r="309" spans="1:8" s="105" customFormat="1" ht="24.95" customHeight="1" x14ac:dyDescent="0.2">
      <c r="A309" s="264" t="s">
        <v>440</v>
      </c>
      <c r="B309" s="312" t="s">
        <v>441</v>
      </c>
      <c r="C309" s="138">
        <v>12020429</v>
      </c>
      <c r="D309" s="311" t="s">
        <v>590</v>
      </c>
      <c r="E309" s="288">
        <v>200000</v>
      </c>
      <c r="F309" s="289">
        <v>0</v>
      </c>
      <c r="G309" s="288">
        <v>200000</v>
      </c>
    </row>
    <row r="310" spans="1:8" s="105" customFormat="1" ht="24.95" customHeight="1" x14ac:dyDescent="0.2">
      <c r="A310" s="264" t="s">
        <v>440</v>
      </c>
      <c r="B310" s="312" t="s">
        <v>441</v>
      </c>
      <c r="C310" s="138">
        <v>12020430</v>
      </c>
      <c r="D310" s="311" t="s">
        <v>591</v>
      </c>
      <c r="E310" s="288">
        <v>4000000</v>
      </c>
      <c r="F310" s="289">
        <v>8600</v>
      </c>
      <c r="G310" s="288">
        <v>1000000</v>
      </c>
    </row>
    <row r="311" spans="1:8" s="105" customFormat="1" ht="24.95" customHeight="1" x14ac:dyDescent="0.2">
      <c r="A311" s="264" t="s">
        <v>440</v>
      </c>
      <c r="B311" s="312" t="s">
        <v>441</v>
      </c>
      <c r="C311" s="138">
        <v>12020431</v>
      </c>
      <c r="D311" s="311" t="s">
        <v>588</v>
      </c>
      <c r="E311" s="288">
        <v>500000</v>
      </c>
      <c r="F311" s="289">
        <v>0</v>
      </c>
      <c r="G311" s="288">
        <f t="shared" si="32"/>
        <v>200000</v>
      </c>
    </row>
    <row r="312" spans="1:8" s="105" customFormat="1" ht="24.95" customHeight="1" x14ac:dyDescent="0.2">
      <c r="A312" s="264" t="s">
        <v>440</v>
      </c>
      <c r="B312" s="312" t="s">
        <v>441</v>
      </c>
      <c r="C312" s="138">
        <v>12020432</v>
      </c>
      <c r="D312" s="297" t="s">
        <v>521</v>
      </c>
      <c r="E312" s="288">
        <v>4000000</v>
      </c>
      <c r="F312" s="289">
        <f>393363.33+289441.66</f>
        <v>682804.99</v>
      </c>
      <c r="G312" s="288">
        <f t="shared" si="32"/>
        <v>1600000</v>
      </c>
    </row>
    <row r="313" spans="1:8" s="105" customFormat="1" ht="19.5" customHeight="1" x14ac:dyDescent="0.2">
      <c r="A313" s="264" t="s">
        <v>440</v>
      </c>
      <c r="B313" s="312" t="s">
        <v>441</v>
      </c>
      <c r="C313" s="138">
        <v>12020433</v>
      </c>
      <c r="D313" s="297" t="s">
        <v>522</v>
      </c>
      <c r="E313" s="288">
        <v>18000000</v>
      </c>
      <c r="F313" s="289">
        <f>2714800+91000</f>
        <v>2805800</v>
      </c>
      <c r="G313" s="288">
        <v>10000000</v>
      </c>
    </row>
    <row r="314" spans="1:8" s="105" customFormat="1" ht="21" customHeight="1" x14ac:dyDescent="0.2">
      <c r="A314" s="264" t="s">
        <v>440</v>
      </c>
      <c r="B314" s="312" t="s">
        <v>441</v>
      </c>
      <c r="C314" s="138">
        <v>12020434</v>
      </c>
      <c r="D314" s="297" t="s">
        <v>461</v>
      </c>
      <c r="E314" s="288">
        <v>1000000</v>
      </c>
      <c r="F314" s="289">
        <v>0</v>
      </c>
      <c r="G314" s="288">
        <f t="shared" si="32"/>
        <v>400000</v>
      </c>
    </row>
    <row r="315" spans="1:8" s="105" customFormat="1" ht="15.75" customHeight="1" x14ac:dyDescent="0.2">
      <c r="A315" s="258"/>
      <c r="B315" s="378"/>
      <c r="C315" s="298"/>
      <c r="D315" s="299"/>
      <c r="E315" s="409">
        <f>SUM(E299:E314)</f>
        <v>569900000</v>
      </c>
      <c r="F315" s="296">
        <f>SUM(F299:F314)</f>
        <v>264592466.25000003</v>
      </c>
      <c r="G315" s="409">
        <f>SUM(G299:G314)</f>
        <v>216800000</v>
      </c>
    </row>
    <row r="316" spans="1:8" s="105" customFormat="1" ht="15.75" customHeight="1" x14ac:dyDescent="0.2">
      <c r="A316" s="474"/>
      <c r="B316" s="379"/>
      <c r="C316" s="298"/>
      <c r="D316" s="475" t="s">
        <v>553</v>
      </c>
      <c r="E316" s="294"/>
      <c r="F316" s="476"/>
      <c r="G316" s="294"/>
    </row>
    <row r="317" spans="1:8" s="101" customFormat="1" ht="38.25" x14ac:dyDescent="0.25">
      <c r="A317" s="115" t="s">
        <v>352</v>
      </c>
      <c r="B317" s="115" t="s">
        <v>351</v>
      </c>
      <c r="C317" s="115" t="s">
        <v>94</v>
      </c>
      <c r="D317" s="115" t="s">
        <v>353</v>
      </c>
      <c r="E317" s="496" t="s">
        <v>618</v>
      </c>
      <c r="F317" s="496" t="s">
        <v>638</v>
      </c>
      <c r="G317" s="496" t="s">
        <v>637</v>
      </c>
    </row>
    <row r="318" spans="1:8" s="105" customFormat="1" ht="15" customHeight="1" x14ac:dyDescent="0.2">
      <c r="A318" s="264" t="s">
        <v>454</v>
      </c>
      <c r="B318" s="312" t="s">
        <v>455</v>
      </c>
      <c r="C318" s="312">
        <v>12020438</v>
      </c>
      <c r="D318" s="297" t="s">
        <v>458</v>
      </c>
      <c r="E318" s="288">
        <v>2000000000</v>
      </c>
      <c r="F318" s="289">
        <v>310184660</v>
      </c>
      <c r="G318" s="288">
        <v>700000000</v>
      </c>
      <c r="H318" s="514"/>
    </row>
    <row r="319" spans="1:8" s="105" customFormat="1" ht="15" customHeight="1" x14ac:dyDescent="0.2">
      <c r="A319" s="264" t="s">
        <v>454</v>
      </c>
      <c r="B319" s="312" t="s">
        <v>455</v>
      </c>
      <c r="C319" s="312">
        <v>12020438</v>
      </c>
      <c r="D319" s="297" t="s">
        <v>511</v>
      </c>
      <c r="E319" s="288">
        <f>2500000000</f>
        <v>2500000000</v>
      </c>
      <c r="F319" s="289">
        <v>128280124</v>
      </c>
      <c r="G319" s="288">
        <v>900000000</v>
      </c>
    </row>
    <row r="320" spans="1:8" s="105" customFormat="1" ht="15" customHeight="1" x14ac:dyDescent="0.2">
      <c r="A320" s="265" t="s">
        <v>454</v>
      </c>
      <c r="B320" s="305" t="s">
        <v>455</v>
      </c>
      <c r="C320" s="305">
        <v>12020438</v>
      </c>
      <c r="D320" s="302" t="s">
        <v>512</v>
      </c>
      <c r="E320" s="306">
        <v>34500000</v>
      </c>
      <c r="F320" s="303">
        <v>5015800</v>
      </c>
      <c r="G320" s="306">
        <f t="shared" ref="G320:G323" si="33">0.4*E320</f>
        <v>13800000</v>
      </c>
    </row>
    <row r="321" spans="1:8" s="105" customFormat="1" ht="24.95" customHeight="1" x14ac:dyDescent="0.2">
      <c r="A321" s="264" t="s">
        <v>454</v>
      </c>
      <c r="B321" s="312" t="s">
        <v>455</v>
      </c>
      <c r="C321" s="312">
        <v>12020438</v>
      </c>
      <c r="D321" s="297" t="s">
        <v>513</v>
      </c>
      <c r="E321" s="288">
        <f>230000000+50000000</f>
        <v>280000000</v>
      </c>
      <c r="F321" s="289">
        <v>0</v>
      </c>
      <c r="G321" s="288">
        <f t="shared" si="33"/>
        <v>112000000</v>
      </c>
    </row>
    <row r="322" spans="1:8" s="105" customFormat="1" ht="24.95" customHeight="1" x14ac:dyDescent="0.2">
      <c r="A322" s="264" t="s">
        <v>454</v>
      </c>
      <c r="B322" s="312" t="s">
        <v>455</v>
      </c>
      <c r="C322" s="312">
        <v>12020438</v>
      </c>
      <c r="D322" s="297" t="s">
        <v>514</v>
      </c>
      <c r="E322" s="288">
        <f>230000000+100000000+150000000</f>
        <v>480000000</v>
      </c>
      <c r="F322" s="289">
        <v>6412400</v>
      </c>
      <c r="G322" s="288">
        <v>100000000</v>
      </c>
    </row>
    <row r="323" spans="1:8" s="105" customFormat="1" ht="24.95" customHeight="1" x14ac:dyDescent="0.2">
      <c r="A323" s="264" t="s">
        <v>454</v>
      </c>
      <c r="B323" s="312" t="s">
        <v>455</v>
      </c>
      <c r="C323" s="312">
        <v>12020438</v>
      </c>
      <c r="D323" s="311" t="s">
        <v>515</v>
      </c>
      <c r="E323" s="288">
        <v>172500000</v>
      </c>
      <c r="F323" s="289">
        <v>0</v>
      </c>
      <c r="G323" s="288">
        <f t="shared" si="33"/>
        <v>69000000</v>
      </c>
    </row>
    <row r="324" spans="1:8" s="105" customFormat="1" ht="24.95" customHeight="1" x14ac:dyDescent="0.2">
      <c r="A324" s="264" t="s">
        <v>454</v>
      </c>
      <c r="B324" s="312" t="s">
        <v>455</v>
      </c>
      <c r="C324" s="312">
        <v>12020439</v>
      </c>
      <c r="D324" s="311" t="s">
        <v>564</v>
      </c>
      <c r="E324" s="288">
        <f>347850000+3077602.05</f>
        <v>350927602.05000001</v>
      </c>
      <c r="F324" s="289">
        <v>119439928.68000001</v>
      </c>
      <c r="G324" s="288">
        <v>140371040.82000002</v>
      </c>
    </row>
    <row r="325" spans="1:8" s="105" customFormat="1" ht="24.95" customHeight="1" x14ac:dyDescent="0.2">
      <c r="A325" s="141"/>
      <c r="B325" s="396"/>
      <c r="C325" s="280"/>
      <c r="D325" s="302"/>
      <c r="E325" s="452">
        <f>SUM(E318:E324)</f>
        <v>5817927602.0500002</v>
      </c>
      <c r="F325" s="292">
        <f>SUM(F318:F324)</f>
        <v>569332912.68000007</v>
      </c>
      <c r="G325" s="452">
        <f>SUM(G318:G324)</f>
        <v>2035171040.8199999</v>
      </c>
    </row>
    <row r="326" spans="1:8" s="105" customFormat="1" ht="24.95" customHeight="1" x14ac:dyDescent="0.2">
      <c r="A326" s="258"/>
      <c r="B326" s="215"/>
      <c r="C326" s="298"/>
      <c r="D326" s="299"/>
      <c r="E326" s="453"/>
      <c r="F326" s="300"/>
      <c r="G326" s="453"/>
    </row>
    <row r="327" spans="1:8" s="104" customFormat="1" ht="24.95" customHeight="1" x14ac:dyDescent="0.2">
      <c r="A327" s="313" t="s">
        <v>492</v>
      </c>
      <c r="B327" s="146" t="s">
        <v>493</v>
      </c>
      <c r="C327" s="146">
        <v>12020408</v>
      </c>
      <c r="D327" s="208" t="s">
        <v>494</v>
      </c>
      <c r="E327" s="315">
        <v>300000000</v>
      </c>
      <c r="F327" s="316">
        <v>4075860.01</v>
      </c>
      <c r="G327" s="315">
        <v>8000000</v>
      </c>
    </row>
    <row r="328" spans="1:8" s="104" customFormat="1" ht="24.95" customHeight="1" x14ac:dyDescent="0.2">
      <c r="A328" s="244"/>
      <c r="B328" s="225"/>
      <c r="C328" s="225"/>
      <c r="D328" s="226"/>
      <c r="E328" s="400">
        <f>SUM(E327)</f>
        <v>300000000</v>
      </c>
      <c r="F328" s="204">
        <f>SUM(F327)</f>
        <v>4075860.01</v>
      </c>
      <c r="G328" s="400">
        <f>SUM(G327)</f>
        <v>8000000</v>
      </c>
    </row>
    <row r="329" spans="1:8" s="104" customFormat="1" ht="24.95" customHeight="1" x14ac:dyDescent="0.2">
      <c r="A329" s="317"/>
      <c r="B329" s="225"/>
      <c r="C329" s="237"/>
      <c r="D329" s="226"/>
      <c r="E329" s="318"/>
      <c r="F329" s="204"/>
      <c r="G329" s="318"/>
    </row>
    <row r="330" spans="1:8" s="104" customFormat="1" ht="24.95" customHeight="1" x14ac:dyDescent="0.2">
      <c r="A330" s="194"/>
      <c r="B330" s="134"/>
      <c r="C330" s="133">
        <v>120205</v>
      </c>
      <c r="D330" s="134" t="s">
        <v>150</v>
      </c>
      <c r="E330" s="319">
        <f t="shared" ref="E330" si="34">E334+E337+E341+E343+E347+E350</f>
        <v>58450000</v>
      </c>
      <c r="F330" s="460">
        <f t="shared" ref="F330:G330" si="35">F334+F337+F341+F343+F347+F350</f>
        <v>1599000</v>
      </c>
      <c r="G330" s="319">
        <f t="shared" si="35"/>
        <v>23980000</v>
      </c>
    </row>
    <row r="331" spans="1:8" ht="24.95" customHeight="1" x14ac:dyDescent="0.2">
      <c r="A331" s="126" t="s">
        <v>64</v>
      </c>
      <c r="B331" s="137" t="s">
        <v>65</v>
      </c>
      <c r="C331" s="138">
        <v>12020501</v>
      </c>
      <c r="D331" s="137" t="s">
        <v>223</v>
      </c>
      <c r="E331" s="139">
        <v>10000000</v>
      </c>
      <c r="F331" s="140">
        <v>0</v>
      </c>
      <c r="G331" s="139">
        <f t="shared" ref="G331:G333" si="36">0.4*E331</f>
        <v>4000000</v>
      </c>
      <c r="H331" s="104"/>
    </row>
    <row r="332" spans="1:8" ht="24.95" customHeight="1" x14ac:dyDescent="0.2">
      <c r="A332" s="126" t="s">
        <v>64</v>
      </c>
      <c r="B332" s="137" t="s">
        <v>65</v>
      </c>
      <c r="C332" s="138">
        <v>12020502</v>
      </c>
      <c r="D332" s="137" t="s">
        <v>151</v>
      </c>
      <c r="E332" s="139">
        <v>30000000</v>
      </c>
      <c r="F332" s="140">
        <v>0</v>
      </c>
      <c r="G332" s="139">
        <f t="shared" si="36"/>
        <v>12000000</v>
      </c>
    </row>
    <row r="333" spans="1:8" ht="24.95" customHeight="1" x14ac:dyDescent="0.2">
      <c r="A333" s="126" t="s">
        <v>64</v>
      </c>
      <c r="B333" s="137" t="s">
        <v>65</v>
      </c>
      <c r="C333" s="138">
        <v>12020503</v>
      </c>
      <c r="D333" s="137" t="s">
        <v>595</v>
      </c>
      <c r="E333" s="139">
        <v>2000000</v>
      </c>
      <c r="F333" s="140">
        <v>0</v>
      </c>
      <c r="G333" s="139">
        <f t="shared" si="36"/>
        <v>800000</v>
      </c>
    </row>
    <row r="334" spans="1:8" ht="24.95" customHeight="1" x14ac:dyDescent="0.2">
      <c r="A334" s="223"/>
      <c r="B334" s="226"/>
      <c r="C334" s="225"/>
      <c r="D334" s="226"/>
      <c r="E334" s="149">
        <f>SUM(E331:E333)</f>
        <v>42000000</v>
      </c>
      <c r="F334" s="149">
        <f>SUM(F331:F333)</f>
        <v>0</v>
      </c>
      <c r="G334" s="149">
        <f>SUM(G331:G333)</f>
        <v>16800000</v>
      </c>
    </row>
    <row r="335" spans="1:8" s="104" customFormat="1" ht="24.95" customHeight="1" x14ac:dyDescent="0.2">
      <c r="A335" s="320"/>
      <c r="B335" s="137"/>
      <c r="C335" s="166"/>
      <c r="D335" s="286"/>
      <c r="E335" s="403"/>
      <c r="F335" s="167"/>
      <c r="G335" s="403"/>
    </row>
    <row r="336" spans="1:8" s="104" customFormat="1" ht="24.95" customHeight="1" x14ac:dyDescent="0.2">
      <c r="A336" s="245" t="s">
        <v>42</v>
      </c>
      <c r="B336" s="137" t="s">
        <v>523</v>
      </c>
      <c r="C336" s="138">
        <v>12020504</v>
      </c>
      <c r="D336" s="137" t="s">
        <v>490</v>
      </c>
      <c r="E336" s="173">
        <v>250000</v>
      </c>
      <c r="F336" s="174">
        <v>0</v>
      </c>
      <c r="G336" s="173">
        <f>0.4*E336</f>
        <v>100000</v>
      </c>
    </row>
    <row r="337" spans="1:8" s="104" customFormat="1" ht="24.95" customHeight="1" x14ac:dyDescent="0.2">
      <c r="A337" s="213"/>
      <c r="B337" s="214"/>
      <c r="C337" s="215"/>
      <c r="D337" s="214"/>
      <c r="E337" s="277">
        <f>SUM(E336:E336)</f>
        <v>250000</v>
      </c>
      <c r="F337" s="278">
        <f>SUM(F336:F336)</f>
        <v>0</v>
      </c>
      <c r="G337" s="277">
        <f>SUM(G336:G336)</f>
        <v>100000</v>
      </c>
    </row>
    <row r="338" spans="1:8" s="104" customFormat="1" ht="24.95" customHeight="1" x14ac:dyDescent="0.2">
      <c r="A338" s="304"/>
      <c r="B338" s="477"/>
      <c r="C338" s="248"/>
      <c r="D338" s="475" t="s">
        <v>554</v>
      </c>
      <c r="E338" s="256"/>
      <c r="F338" s="478"/>
      <c r="G338" s="256"/>
    </row>
    <row r="339" spans="1:8" s="101" customFormat="1" ht="38.25" x14ac:dyDescent="0.25">
      <c r="A339" s="115" t="s">
        <v>352</v>
      </c>
      <c r="B339" s="115" t="s">
        <v>351</v>
      </c>
      <c r="C339" s="115" t="s">
        <v>94</v>
      </c>
      <c r="D339" s="115" t="s">
        <v>353</v>
      </c>
      <c r="E339" s="496" t="s">
        <v>618</v>
      </c>
      <c r="F339" s="496" t="s">
        <v>638</v>
      </c>
      <c r="G339" s="496" t="s">
        <v>637</v>
      </c>
    </row>
    <row r="340" spans="1:8" s="104" customFormat="1" ht="24.95" customHeight="1" x14ac:dyDescent="0.2">
      <c r="A340" s="264" t="s">
        <v>485</v>
      </c>
      <c r="B340" s="312" t="s">
        <v>367</v>
      </c>
      <c r="C340" s="138">
        <v>12020503</v>
      </c>
      <c r="D340" s="142" t="s">
        <v>152</v>
      </c>
      <c r="E340" s="243">
        <v>0</v>
      </c>
      <c r="F340" s="284">
        <v>0</v>
      </c>
      <c r="G340" s="243">
        <f>0.4*E340</f>
        <v>0</v>
      </c>
    </row>
    <row r="341" spans="1:8" s="104" customFormat="1" ht="24.95" customHeight="1" x14ac:dyDescent="0.2">
      <c r="A341" s="317"/>
      <c r="B341" s="225"/>
      <c r="C341" s="230"/>
      <c r="D341" s="226"/>
      <c r="E341" s="177">
        <f>SUM(E340)</f>
        <v>0</v>
      </c>
      <c r="F341" s="204">
        <f>SUM(F340)</f>
        <v>0</v>
      </c>
      <c r="G341" s="177">
        <f>SUM(G340)</f>
        <v>0</v>
      </c>
    </row>
    <row r="342" spans="1:8" s="104" customFormat="1" ht="24.95" customHeight="1" x14ac:dyDescent="0.2">
      <c r="A342" s="245" t="s">
        <v>35</v>
      </c>
      <c r="B342" s="137" t="s">
        <v>36</v>
      </c>
      <c r="C342" s="138">
        <v>12020507</v>
      </c>
      <c r="D342" s="137" t="s">
        <v>153</v>
      </c>
      <c r="E342" s="139">
        <v>6000000</v>
      </c>
      <c r="F342" s="145">
        <v>1538000</v>
      </c>
      <c r="G342" s="144">
        <v>3000000</v>
      </c>
    </row>
    <row r="343" spans="1:8" s="104" customFormat="1" ht="24.95" customHeight="1" x14ac:dyDescent="0.2">
      <c r="A343" s="213"/>
      <c r="B343" s="226"/>
      <c r="C343" s="225"/>
      <c r="D343" s="226"/>
      <c r="E343" s="149">
        <f>SUM(E342)</f>
        <v>6000000</v>
      </c>
      <c r="F343" s="209">
        <f>SUM(F342)</f>
        <v>1538000</v>
      </c>
      <c r="G343" s="149">
        <f>SUM(G342)</f>
        <v>3000000</v>
      </c>
    </row>
    <row r="344" spans="1:8" s="104" customFormat="1" ht="24.95" customHeight="1" x14ac:dyDescent="0.2">
      <c r="A344" s="320"/>
      <c r="B344" s="381"/>
      <c r="C344" s="295"/>
      <c r="D344" s="274"/>
      <c r="E344" s="295"/>
      <c r="F344" s="321"/>
      <c r="G344" s="295"/>
    </row>
    <row r="345" spans="1:8" s="104" customFormat="1" ht="24.95" customHeight="1" x14ac:dyDescent="0.2">
      <c r="A345" s="245" t="s">
        <v>30</v>
      </c>
      <c r="B345" s="322" t="s">
        <v>31</v>
      </c>
      <c r="C345" s="138">
        <v>12020508</v>
      </c>
      <c r="D345" s="137" t="s">
        <v>231</v>
      </c>
      <c r="E345" s="139">
        <v>7000000</v>
      </c>
      <c r="F345" s="140">
        <v>61000</v>
      </c>
      <c r="G345" s="139">
        <f t="shared" ref="G345:G346" si="37">0.4*E345</f>
        <v>2800000</v>
      </c>
      <c r="H345" s="100"/>
    </row>
    <row r="346" spans="1:8" s="104" customFormat="1" ht="24.95" customHeight="1" x14ac:dyDescent="0.2">
      <c r="A346" s="246" t="s">
        <v>30</v>
      </c>
      <c r="B346" s="322" t="s">
        <v>31</v>
      </c>
      <c r="C346" s="138">
        <v>12020508</v>
      </c>
      <c r="D346" s="137" t="s">
        <v>495</v>
      </c>
      <c r="E346" s="139">
        <v>200000</v>
      </c>
      <c r="F346" s="140">
        <v>0</v>
      </c>
      <c r="G346" s="139">
        <f t="shared" si="37"/>
        <v>80000</v>
      </c>
      <c r="H346" s="100"/>
    </row>
    <row r="347" spans="1:8" s="104" customFormat="1" ht="24.95" customHeight="1" x14ac:dyDescent="0.2">
      <c r="A347" s="271"/>
      <c r="B347" s="214"/>
      <c r="C347" s="215"/>
      <c r="D347" s="214"/>
      <c r="E347" s="216">
        <f>SUM(E345:E346)</f>
        <v>7200000</v>
      </c>
      <c r="F347" s="217">
        <f>SUM(F345:F346)</f>
        <v>61000</v>
      </c>
      <c r="G347" s="216">
        <f>SUM(G345:G346)</f>
        <v>2880000</v>
      </c>
      <c r="H347" s="100"/>
    </row>
    <row r="348" spans="1:8" s="104" customFormat="1" ht="24.95" customHeight="1" x14ac:dyDescent="0.2">
      <c r="A348" s="323"/>
      <c r="B348" s="214"/>
      <c r="C348" s="324"/>
      <c r="D348" s="214"/>
      <c r="E348" s="454"/>
      <c r="F348" s="217"/>
      <c r="G348" s="454"/>
      <c r="H348" s="100"/>
    </row>
    <row r="349" spans="1:8" ht="24.95" customHeight="1" x14ac:dyDescent="0.2">
      <c r="A349" s="141" t="s">
        <v>46</v>
      </c>
      <c r="B349" s="142" t="s">
        <v>47</v>
      </c>
      <c r="C349" s="143">
        <v>12020503</v>
      </c>
      <c r="D349" s="142" t="s">
        <v>152</v>
      </c>
      <c r="E349" s="283">
        <v>3000000</v>
      </c>
      <c r="F349" s="145">
        <v>0</v>
      </c>
      <c r="G349" s="283">
        <f>0.4*E349</f>
        <v>1200000</v>
      </c>
      <c r="H349" s="104"/>
    </row>
    <row r="350" spans="1:8" ht="24.95" customHeight="1" x14ac:dyDescent="0.2">
      <c r="A350" s="326"/>
      <c r="B350" s="396"/>
      <c r="C350" s="186"/>
      <c r="D350" s="186"/>
      <c r="E350" s="412">
        <f>SUM(E349)</f>
        <v>3000000</v>
      </c>
      <c r="F350" s="187">
        <f>SUM(F349)</f>
        <v>0</v>
      </c>
      <c r="G350" s="412">
        <f>SUM(G349)</f>
        <v>1200000</v>
      </c>
      <c r="H350" s="104"/>
    </row>
    <row r="351" spans="1:8" ht="24.95" customHeight="1" x14ac:dyDescent="0.2">
      <c r="A351" s="327"/>
      <c r="B351" s="377"/>
      <c r="C351" s="238"/>
      <c r="D351" s="149"/>
      <c r="E351" s="400"/>
      <c r="F351" s="209"/>
      <c r="G351" s="400"/>
      <c r="H351" s="104"/>
    </row>
    <row r="352" spans="1:8" ht="24.95" customHeight="1" x14ac:dyDescent="0.2">
      <c r="A352" s="194"/>
      <c r="B352" s="134"/>
      <c r="C352" s="133">
        <v>120206</v>
      </c>
      <c r="D352" s="134" t="s">
        <v>155</v>
      </c>
      <c r="E352" s="319">
        <f>E359+E365+E367+E370+E373+E389+E393+E397+E400+E405+E411+E413+E417+E419+E423+E427+E430+E435+E438+E442+E447+E450+E453+E457+E460+E466+E469+E473+E476+E482+E489+E492+E496</f>
        <v>2008600000</v>
      </c>
      <c r="F352" s="136">
        <f>F359+F365+F367+F370+F373+F389+F393+F397+F400+F405+F411+F413+F417+F419+F423+F427+F430+F435+F438+F442+F447+F450+F453+F457+F460+F466+F469+F473+F476+F482+F489+F492+F496</f>
        <v>274824719.99000001</v>
      </c>
      <c r="G352" s="319">
        <f>G359+G365+G367+G370+G373+G389+G393+G397+G400+G405+G411+G413+G417+G419+G423+G427+G430+G435+G438+G442+G447+G450+G453+G457+G460+G466+G469+G473+G476+G482+G489+G492+G496</f>
        <v>779516000</v>
      </c>
      <c r="H352" s="102"/>
    </row>
    <row r="353" spans="1:8" ht="24.95" customHeight="1" x14ac:dyDescent="0.2">
      <c r="A353" s="126" t="s">
        <v>26</v>
      </c>
      <c r="B353" s="137" t="s">
        <v>609</v>
      </c>
      <c r="C353" s="138">
        <v>12020601</v>
      </c>
      <c r="D353" s="137" t="s">
        <v>156</v>
      </c>
      <c r="E353" s="139">
        <v>1000000</v>
      </c>
      <c r="F353" s="140">
        <v>0</v>
      </c>
      <c r="G353" s="139">
        <f t="shared" ref="G353:G357" si="38">0.4*E353</f>
        <v>400000</v>
      </c>
    </row>
    <row r="354" spans="1:8" s="104" customFormat="1" ht="24.95" customHeight="1" x14ac:dyDescent="0.2">
      <c r="A354" s="126" t="s">
        <v>26</v>
      </c>
      <c r="B354" s="137" t="s">
        <v>609</v>
      </c>
      <c r="C354" s="138">
        <v>12020602</v>
      </c>
      <c r="D354" s="137" t="s">
        <v>157</v>
      </c>
      <c r="E354" s="139">
        <v>0</v>
      </c>
      <c r="F354" s="140">
        <v>0</v>
      </c>
      <c r="G354" s="139">
        <f t="shared" si="38"/>
        <v>0</v>
      </c>
    </row>
    <row r="355" spans="1:8" s="104" customFormat="1" ht="24.95" customHeight="1" x14ac:dyDescent="0.2">
      <c r="A355" s="126" t="s">
        <v>26</v>
      </c>
      <c r="B355" s="137" t="s">
        <v>609</v>
      </c>
      <c r="C355" s="138">
        <v>12020603</v>
      </c>
      <c r="D355" s="137" t="s">
        <v>159</v>
      </c>
      <c r="E355" s="139">
        <v>172200000</v>
      </c>
      <c r="F355" s="140">
        <v>0</v>
      </c>
      <c r="G355" s="139">
        <v>130000000</v>
      </c>
    </row>
    <row r="356" spans="1:8" ht="24.95" customHeight="1" x14ac:dyDescent="0.2">
      <c r="A356" s="126" t="s">
        <v>26</v>
      </c>
      <c r="B356" s="137" t="s">
        <v>609</v>
      </c>
      <c r="C356" s="138">
        <v>12020604</v>
      </c>
      <c r="D356" s="137" t="s">
        <v>288</v>
      </c>
      <c r="E356" s="139">
        <v>0</v>
      </c>
      <c r="F356" s="140">
        <v>0</v>
      </c>
      <c r="G356" s="139">
        <f t="shared" si="38"/>
        <v>0</v>
      </c>
      <c r="H356" s="104"/>
    </row>
    <row r="357" spans="1:8" ht="24.95" customHeight="1" x14ac:dyDescent="0.2">
      <c r="A357" s="126" t="s">
        <v>26</v>
      </c>
      <c r="B357" s="137" t="s">
        <v>609</v>
      </c>
      <c r="C357" s="138">
        <v>12020605</v>
      </c>
      <c r="D357" s="137" t="s">
        <v>322</v>
      </c>
      <c r="E357" s="139">
        <v>100000</v>
      </c>
      <c r="F357" s="140">
        <v>17500</v>
      </c>
      <c r="G357" s="139">
        <f t="shared" si="38"/>
        <v>40000</v>
      </c>
      <c r="H357" s="104"/>
    </row>
    <row r="358" spans="1:8" ht="24.95" customHeight="1" x14ac:dyDescent="0.2">
      <c r="A358" s="126" t="s">
        <v>26</v>
      </c>
      <c r="B358" s="137" t="s">
        <v>609</v>
      </c>
      <c r="C358" s="138">
        <v>12020606</v>
      </c>
      <c r="D358" s="137" t="s">
        <v>323</v>
      </c>
      <c r="E358" s="139">
        <v>50000000</v>
      </c>
      <c r="F358" s="140">
        <v>0</v>
      </c>
      <c r="G358" s="139">
        <v>20000000</v>
      </c>
      <c r="H358" s="104"/>
    </row>
    <row r="359" spans="1:8" ht="24.95" customHeight="1" x14ac:dyDescent="0.2">
      <c r="A359" s="213"/>
      <c r="B359" s="214"/>
      <c r="C359" s="215"/>
      <c r="D359" s="214"/>
      <c r="E359" s="216">
        <f>SUM(E353:E358)</f>
        <v>223300000</v>
      </c>
      <c r="F359" s="217">
        <f>SUM(F353:F358)</f>
        <v>17500</v>
      </c>
      <c r="G359" s="216">
        <f>SUM(G353:G358)</f>
        <v>150440000</v>
      </c>
      <c r="H359" s="104"/>
    </row>
    <row r="360" spans="1:8" s="104" customFormat="1" ht="24.95" customHeight="1" x14ac:dyDescent="0.2">
      <c r="A360" s="304"/>
      <c r="B360" s="477"/>
      <c r="C360" s="248"/>
      <c r="D360" s="475" t="s">
        <v>555</v>
      </c>
      <c r="E360" s="256"/>
      <c r="F360" s="478"/>
      <c r="G360" s="256"/>
    </row>
    <row r="361" spans="1:8" s="101" customFormat="1" ht="38.25" x14ac:dyDescent="0.25">
      <c r="A361" s="115" t="s">
        <v>352</v>
      </c>
      <c r="B361" s="115" t="s">
        <v>351</v>
      </c>
      <c r="C361" s="115" t="s">
        <v>94</v>
      </c>
      <c r="D361" s="115" t="s">
        <v>353</v>
      </c>
      <c r="E361" s="496" t="s">
        <v>618</v>
      </c>
      <c r="F361" s="496" t="s">
        <v>638</v>
      </c>
      <c r="G361" s="496" t="s">
        <v>637</v>
      </c>
    </row>
    <row r="362" spans="1:8" s="104" customFormat="1" ht="24.95" customHeight="1" x14ac:dyDescent="0.2">
      <c r="A362" s="126" t="s">
        <v>29</v>
      </c>
      <c r="B362" s="137" t="s">
        <v>300</v>
      </c>
      <c r="C362" s="138">
        <v>12020608</v>
      </c>
      <c r="D362" s="137" t="s">
        <v>230</v>
      </c>
      <c r="E362" s="139">
        <v>0</v>
      </c>
      <c r="F362" s="140">
        <v>0</v>
      </c>
      <c r="G362" s="139">
        <f t="shared" ref="G362:G364" si="39">0.4*E362</f>
        <v>0</v>
      </c>
    </row>
    <row r="363" spans="1:8" s="104" customFormat="1" ht="24.95" customHeight="1" x14ac:dyDescent="0.2">
      <c r="A363" s="126" t="s">
        <v>29</v>
      </c>
      <c r="B363" s="137" t="s">
        <v>300</v>
      </c>
      <c r="C363" s="328">
        <v>12020609</v>
      </c>
      <c r="D363" s="137" t="s">
        <v>160</v>
      </c>
      <c r="E363" s="139">
        <v>0</v>
      </c>
      <c r="F363" s="140">
        <v>0</v>
      </c>
      <c r="G363" s="139">
        <f t="shared" si="39"/>
        <v>0</v>
      </c>
    </row>
    <row r="364" spans="1:8" ht="24.95" customHeight="1" x14ac:dyDescent="0.2">
      <c r="A364" s="141" t="s">
        <v>29</v>
      </c>
      <c r="B364" s="142" t="s">
        <v>300</v>
      </c>
      <c r="C364" s="143">
        <v>12020610</v>
      </c>
      <c r="D364" s="142" t="s">
        <v>161</v>
      </c>
      <c r="E364" s="144">
        <v>50000</v>
      </c>
      <c r="F364" s="145">
        <v>0</v>
      </c>
      <c r="G364" s="144">
        <f t="shared" si="39"/>
        <v>20000</v>
      </c>
      <c r="H364" s="104"/>
    </row>
    <row r="365" spans="1:8" ht="24.95" customHeight="1" x14ac:dyDescent="0.2">
      <c r="A365" s="223"/>
      <c r="B365" s="226"/>
      <c r="C365" s="225"/>
      <c r="D365" s="226"/>
      <c r="E365" s="149">
        <f>SUM(E362:E364)</f>
        <v>50000</v>
      </c>
      <c r="F365" s="209">
        <f>SUM(F362:F364)</f>
        <v>0</v>
      </c>
      <c r="G365" s="149">
        <f>SUM(G362:G364)</f>
        <v>20000</v>
      </c>
      <c r="H365" s="104"/>
    </row>
    <row r="366" spans="1:8" s="104" customFormat="1" ht="24.95" customHeight="1" x14ac:dyDescent="0.2">
      <c r="A366" s="126" t="s">
        <v>565</v>
      </c>
      <c r="B366" s="137" t="s">
        <v>566</v>
      </c>
      <c r="C366" s="138">
        <v>12020611</v>
      </c>
      <c r="D366" s="137" t="s">
        <v>379</v>
      </c>
      <c r="E366" s="139">
        <v>1000000</v>
      </c>
      <c r="F366" s="140">
        <v>0</v>
      </c>
      <c r="G366" s="139">
        <f>0.4*E366</f>
        <v>400000</v>
      </c>
      <c r="H366" s="100"/>
    </row>
    <row r="367" spans="1:8" s="104" customFormat="1" ht="24.95" customHeight="1" x14ac:dyDescent="0.2">
      <c r="A367" s="223"/>
      <c r="B367" s="226"/>
      <c r="C367" s="225"/>
      <c r="D367" s="226"/>
      <c r="E367" s="149">
        <f>SUM(E366)</f>
        <v>1000000</v>
      </c>
      <c r="F367" s="209">
        <f>SUM(F366)</f>
        <v>0</v>
      </c>
      <c r="G367" s="149">
        <f>SUM(G366)</f>
        <v>400000</v>
      </c>
      <c r="H367" s="100"/>
    </row>
    <row r="368" spans="1:8" s="104" customFormat="1" ht="24.95" customHeight="1" x14ac:dyDescent="0.2">
      <c r="A368" s="253"/>
      <c r="B368" s="370"/>
      <c r="C368" s="179"/>
      <c r="D368" s="180"/>
      <c r="E368" s="285"/>
      <c r="F368" s="212"/>
      <c r="G368" s="285"/>
      <c r="H368" s="100"/>
    </row>
    <row r="369" spans="1:8" ht="24.95" customHeight="1" x14ac:dyDescent="0.2">
      <c r="A369" s="126" t="s">
        <v>66</v>
      </c>
      <c r="B369" s="137" t="s">
        <v>67</v>
      </c>
      <c r="C369" s="328">
        <v>12020612</v>
      </c>
      <c r="D369" s="137" t="s">
        <v>162</v>
      </c>
      <c r="E369" s="243">
        <v>2000000</v>
      </c>
      <c r="F369" s="211">
        <v>0</v>
      </c>
      <c r="G369" s="243">
        <f>0.4*E369</f>
        <v>800000</v>
      </c>
      <c r="H369" s="104"/>
    </row>
    <row r="370" spans="1:8" ht="24.95" customHeight="1" x14ac:dyDescent="0.2">
      <c r="A370" s="223"/>
      <c r="B370" s="226"/>
      <c r="C370" s="203"/>
      <c r="D370" s="226"/>
      <c r="E370" s="177">
        <f>SUM(E369)</f>
        <v>2000000</v>
      </c>
      <c r="F370" s="204">
        <f>SUM(F369)</f>
        <v>0</v>
      </c>
      <c r="G370" s="177">
        <f>SUM(G369)</f>
        <v>800000</v>
      </c>
      <c r="H370" s="104"/>
    </row>
    <row r="371" spans="1:8" ht="24.95" customHeight="1" x14ac:dyDescent="0.2">
      <c r="A371" s="261"/>
      <c r="B371" s="262"/>
      <c r="C371" s="329"/>
      <c r="D371" s="262"/>
      <c r="E371" s="402"/>
      <c r="F371" s="331"/>
      <c r="G371" s="402"/>
      <c r="H371" s="104"/>
    </row>
    <row r="372" spans="1:8" s="104" customFormat="1" ht="24.95" customHeight="1" x14ac:dyDescent="0.2">
      <c r="A372" s="141" t="s">
        <v>68</v>
      </c>
      <c r="B372" s="142" t="s">
        <v>69</v>
      </c>
      <c r="C372" s="143">
        <v>12020613</v>
      </c>
      <c r="D372" s="142" t="s">
        <v>163</v>
      </c>
      <c r="E372" s="283">
        <v>50000</v>
      </c>
      <c r="F372" s="284">
        <v>0</v>
      </c>
      <c r="G372" s="283">
        <v>0</v>
      </c>
      <c r="H372" s="100"/>
    </row>
    <row r="373" spans="1:8" s="104" customFormat="1" ht="24.95" customHeight="1" x14ac:dyDescent="0.2">
      <c r="A373" s="223"/>
      <c r="B373" s="226"/>
      <c r="C373" s="225"/>
      <c r="D373" s="226"/>
      <c r="E373" s="177">
        <f>SUM(E372)</f>
        <v>50000</v>
      </c>
      <c r="F373" s="204">
        <f>SUM(F372)</f>
        <v>0</v>
      </c>
      <c r="G373" s="177">
        <f>SUM(G372)</f>
        <v>0</v>
      </c>
      <c r="H373" s="100"/>
    </row>
    <row r="374" spans="1:8" ht="24.95" customHeight="1" x14ac:dyDescent="0.2">
      <c r="A374" s="126" t="s">
        <v>34</v>
      </c>
      <c r="B374" s="137" t="s">
        <v>603</v>
      </c>
      <c r="C374" s="138">
        <v>12020614</v>
      </c>
      <c r="D374" s="137" t="s">
        <v>164</v>
      </c>
      <c r="E374" s="139">
        <v>300000000</v>
      </c>
      <c r="F374" s="140">
        <v>0</v>
      </c>
      <c r="G374" s="139">
        <v>50000000</v>
      </c>
    </row>
    <row r="375" spans="1:8" s="104" customFormat="1" ht="24.95" customHeight="1" x14ac:dyDescent="0.2">
      <c r="A375" s="126" t="s">
        <v>34</v>
      </c>
      <c r="B375" s="137" t="s">
        <v>603</v>
      </c>
      <c r="C375" s="138">
        <v>12020614</v>
      </c>
      <c r="D375" s="137" t="s">
        <v>165</v>
      </c>
      <c r="E375" s="139">
        <v>100000000</v>
      </c>
      <c r="F375" s="140">
        <v>14696372.689999999</v>
      </c>
      <c r="G375" s="139">
        <v>50000000</v>
      </c>
      <c r="H375" s="100"/>
    </row>
    <row r="376" spans="1:8" s="104" customFormat="1" ht="24.95" customHeight="1" x14ac:dyDescent="0.2">
      <c r="A376" s="126" t="s">
        <v>34</v>
      </c>
      <c r="B376" s="137" t="s">
        <v>603</v>
      </c>
      <c r="C376" s="138">
        <v>12020614</v>
      </c>
      <c r="D376" s="137" t="s">
        <v>166</v>
      </c>
      <c r="E376" s="139">
        <v>100000000</v>
      </c>
      <c r="F376" s="140">
        <v>0</v>
      </c>
      <c r="G376" s="139">
        <v>40000000</v>
      </c>
    </row>
    <row r="377" spans="1:8" s="104" customFormat="1" ht="24.95" customHeight="1" x14ac:dyDescent="0.2">
      <c r="A377" s="126" t="s">
        <v>34</v>
      </c>
      <c r="B377" s="137" t="s">
        <v>603</v>
      </c>
      <c r="C377" s="138">
        <v>12020617</v>
      </c>
      <c r="D377" s="137" t="s">
        <v>167</v>
      </c>
      <c r="E377" s="139">
        <v>200000</v>
      </c>
      <c r="F377" s="140">
        <v>90000</v>
      </c>
      <c r="G377" s="139">
        <v>100000</v>
      </c>
    </row>
    <row r="378" spans="1:8" s="104" customFormat="1" ht="24.95" customHeight="1" x14ac:dyDescent="0.2">
      <c r="A378" s="126" t="s">
        <v>34</v>
      </c>
      <c r="B378" s="137" t="s">
        <v>603</v>
      </c>
      <c r="C378" s="138">
        <v>12020614</v>
      </c>
      <c r="D378" s="137" t="s">
        <v>361</v>
      </c>
      <c r="E378" s="139">
        <v>100000000</v>
      </c>
      <c r="F378" s="140">
        <v>0</v>
      </c>
      <c r="G378" s="139">
        <v>30000000</v>
      </c>
    </row>
    <row r="379" spans="1:8" s="104" customFormat="1" ht="24.95" customHeight="1" x14ac:dyDescent="0.2">
      <c r="A379" s="126" t="s">
        <v>34</v>
      </c>
      <c r="B379" s="137" t="s">
        <v>603</v>
      </c>
      <c r="C379" s="138">
        <v>12020614</v>
      </c>
      <c r="D379" s="137" t="s">
        <v>612</v>
      </c>
      <c r="E379" s="139">
        <v>200000000</v>
      </c>
      <c r="F379" s="140">
        <v>22500000</v>
      </c>
      <c r="G379" s="139">
        <v>60000000</v>
      </c>
    </row>
    <row r="380" spans="1:8" s="104" customFormat="1" ht="24.95" customHeight="1" x14ac:dyDescent="0.2">
      <c r="A380" s="126" t="s">
        <v>34</v>
      </c>
      <c r="B380" s="137" t="s">
        <v>603</v>
      </c>
      <c r="C380" s="138">
        <v>12020620</v>
      </c>
      <c r="D380" s="137" t="s">
        <v>337</v>
      </c>
      <c r="E380" s="139">
        <v>2000000</v>
      </c>
      <c r="F380" s="211">
        <v>0</v>
      </c>
      <c r="G380" s="139">
        <f t="shared" ref="G380:G381" si="40">0.4*E380</f>
        <v>800000</v>
      </c>
    </row>
    <row r="381" spans="1:8" s="104" customFormat="1" ht="24.95" customHeight="1" x14ac:dyDescent="0.2">
      <c r="A381" s="126" t="s">
        <v>620</v>
      </c>
      <c r="B381" s="137" t="s">
        <v>621</v>
      </c>
      <c r="C381" s="138">
        <v>12020614</v>
      </c>
      <c r="D381" s="137" t="s">
        <v>622</v>
      </c>
      <c r="E381" s="139">
        <v>100000000</v>
      </c>
      <c r="F381" s="140">
        <v>0</v>
      </c>
      <c r="G381" s="139">
        <f t="shared" si="40"/>
        <v>40000000</v>
      </c>
    </row>
    <row r="382" spans="1:8" s="104" customFormat="1" ht="24.95" customHeight="1" x14ac:dyDescent="0.2">
      <c r="A382" s="141" t="s">
        <v>620</v>
      </c>
      <c r="B382" s="142" t="s">
        <v>621</v>
      </c>
      <c r="C382" s="143">
        <v>12020615</v>
      </c>
      <c r="D382" s="142" t="s">
        <v>627</v>
      </c>
      <c r="E382" s="144">
        <v>0</v>
      </c>
      <c r="F382" s="145">
        <v>63140000</v>
      </c>
      <c r="G382" s="144">
        <v>80000000</v>
      </c>
    </row>
    <row r="383" spans="1:8" s="105" customFormat="1" ht="24.95" customHeight="1" x14ac:dyDescent="0.2">
      <c r="A383" s="363"/>
      <c r="B383" s="523"/>
      <c r="C383" s="349"/>
      <c r="D383" s="375" t="s">
        <v>556</v>
      </c>
      <c r="E383" s="373"/>
      <c r="F383" s="524"/>
      <c r="G383" s="373"/>
    </row>
    <row r="384" spans="1:8" s="101" customFormat="1" ht="24.95" customHeight="1" x14ac:dyDescent="0.25">
      <c r="A384" s="468" t="s">
        <v>352</v>
      </c>
      <c r="B384" s="468" t="s">
        <v>351</v>
      </c>
      <c r="C384" s="468" t="s">
        <v>94</v>
      </c>
      <c r="D384" s="468" t="s">
        <v>353</v>
      </c>
      <c r="E384" s="522" t="s">
        <v>618</v>
      </c>
      <c r="F384" s="522" t="s">
        <v>638</v>
      </c>
      <c r="G384" s="522" t="s">
        <v>637</v>
      </c>
    </row>
    <row r="385" spans="1:8" s="104" customFormat="1" ht="24.95" customHeight="1" x14ac:dyDescent="0.2">
      <c r="A385" s="126" t="s">
        <v>620</v>
      </c>
      <c r="B385" s="137" t="s">
        <v>621</v>
      </c>
      <c r="C385" s="138">
        <v>12020616</v>
      </c>
      <c r="D385" s="137" t="s">
        <v>639</v>
      </c>
      <c r="E385" s="139">
        <v>0</v>
      </c>
      <c r="F385" s="140">
        <v>1416000</v>
      </c>
      <c r="G385" s="139">
        <v>2000000</v>
      </c>
    </row>
    <row r="386" spans="1:8" s="104" customFormat="1" ht="24.95" customHeight="1" x14ac:dyDescent="0.2">
      <c r="A386" s="126" t="s">
        <v>620</v>
      </c>
      <c r="B386" s="137" t="s">
        <v>621</v>
      </c>
      <c r="C386" s="138">
        <v>12020617</v>
      </c>
      <c r="D386" s="137" t="s">
        <v>640</v>
      </c>
      <c r="E386" s="139">
        <v>0</v>
      </c>
      <c r="F386" s="140">
        <v>824643.2</v>
      </c>
      <c r="G386" s="139">
        <v>1000000</v>
      </c>
    </row>
    <row r="387" spans="1:8" s="104" customFormat="1" ht="24.95" customHeight="1" x14ac:dyDescent="0.2">
      <c r="A387" s="126" t="s">
        <v>620</v>
      </c>
      <c r="B387" s="137" t="s">
        <v>621</v>
      </c>
      <c r="C387" s="138">
        <v>12020618</v>
      </c>
      <c r="D387" s="137" t="s">
        <v>295</v>
      </c>
      <c r="E387" s="139">
        <v>0</v>
      </c>
      <c r="F387" s="140">
        <v>6750000</v>
      </c>
      <c r="G387" s="139">
        <v>8000000</v>
      </c>
    </row>
    <row r="388" spans="1:8" s="104" customFormat="1" ht="24.95" customHeight="1" x14ac:dyDescent="0.2">
      <c r="A388" s="126" t="s">
        <v>620</v>
      </c>
      <c r="B388" s="137" t="s">
        <v>621</v>
      </c>
      <c r="C388" s="138">
        <v>12020619</v>
      </c>
      <c r="D388" s="137" t="s">
        <v>641</v>
      </c>
      <c r="E388" s="139">
        <v>0</v>
      </c>
      <c r="F388" s="140">
        <v>1250000</v>
      </c>
      <c r="G388" s="139">
        <v>2000000</v>
      </c>
    </row>
    <row r="389" spans="1:8" s="104" customFormat="1" ht="24.95" customHeight="1" x14ac:dyDescent="0.2">
      <c r="A389" s="223"/>
      <c r="B389" s="226"/>
      <c r="C389" s="225"/>
      <c r="D389" s="226"/>
      <c r="E389" s="149">
        <f>SUM(E374:E388)</f>
        <v>902200000</v>
      </c>
      <c r="F389" s="499">
        <f>SUM(F374:F388)</f>
        <v>110667015.89</v>
      </c>
      <c r="G389" s="149">
        <f>SUM(G374:G388)</f>
        <v>363900000</v>
      </c>
    </row>
    <row r="390" spans="1:8" s="104" customFormat="1" ht="24.95" customHeight="1" x14ac:dyDescent="0.2">
      <c r="A390" s="126" t="s">
        <v>70</v>
      </c>
      <c r="B390" s="137" t="s">
        <v>71</v>
      </c>
      <c r="C390" s="138">
        <v>12020621</v>
      </c>
      <c r="D390" s="137" t="s">
        <v>168</v>
      </c>
      <c r="E390" s="139">
        <v>5000000</v>
      </c>
      <c r="F390" s="140">
        <v>0</v>
      </c>
      <c r="G390" s="139">
        <f t="shared" ref="G390:G396" si="41">0.4*E390</f>
        <v>2000000</v>
      </c>
    </row>
    <row r="391" spans="1:8" ht="24.95" customHeight="1" x14ac:dyDescent="0.2">
      <c r="A391" s="126" t="s">
        <v>70</v>
      </c>
      <c r="B391" s="137" t="s">
        <v>71</v>
      </c>
      <c r="C391" s="138">
        <v>12020622</v>
      </c>
      <c r="D391" s="137" t="s">
        <v>392</v>
      </c>
      <c r="E391" s="139">
        <v>150000</v>
      </c>
      <c r="F391" s="140">
        <v>13500</v>
      </c>
      <c r="G391" s="139">
        <f t="shared" si="41"/>
        <v>60000</v>
      </c>
      <c r="H391" s="104"/>
    </row>
    <row r="392" spans="1:8" ht="24.95" customHeight="1" x14ac:dyDescent="0.2">
      <c r="A392" s="141" t="s">
        <v>70</v>
      </c>
      <c r="B392" s="142" t="s">
        <v>71</v>
      </c>
      <c r="C392" s="143">
        <v>12020623</v>
      </c>
      <c r="D392" s="142" t="s">
        <v>615</v>
      </c>
      <c r="E392" s="144">
        <v>100000</v>
      </c>
      <c r="F392" s="145">
        <v>0</v>
      </c>
      <c r="G392" s="144">
        <f t="shared" si="41"/>
        <v>40000</v>
      </c>
      <c r="H392" s="104"/>
    </row>
    <row r="393" spans="1:8" ht="24.95" customHeight="1" x14ac:dyDescent="0.2">
      <c r="A393" s="223"/>
      <c r="B393" s="226"/>
      <c r="C393" s="225"/>
      <c r="D393" s="226"/>
      <c r="E393" s="149">
        <f>SUM(E390:E392)</f>
        <v>5250000</v>
      </c>
      <c r="F393" s="209">
        <f>SUM(F390:F392)</f>
        <v>13500</v>
      </c>
      <c r="G393" s="149">
        <f t="shared" si="41"/>
        <v>2100000</v>
      </c>
      <c r="H393" s="104"/>
    </row>
    <row r="394" spans="1:8" ht="24.95" customHeight="1" x14ac:dyDescent="0.2">
      <c r="A394" s="126" t="s">
        <v>72</v>
      </c>
      <c r="B394" s="397" t="s">
        <v>73</v>
      </c>
      <c r="C394" s="312">
        <v>12020621</v>
      </c>
      <c r="D394" s="322" t="s">
        <v>168</v>
      </c>
      <c r="E394" s="139">
        <v>150000</v>
      </c>
      <c r="F394" s="140">
        <v>25000</v>
      </c>
      <c r="G394" s="139">
        <f t="shared" si="41"/>
        <v>60000</v>
      </c>
      <c r="H394" s="104"/>
    </row>
    <row r="395" spans="1:8" ht="24.95" customHeight="1" x14ac:dyDescent="0.2">
      <c r="A395" s="126" t="s">
        <v>72</v>
      </c>
      <c r="B395" s="137" t="s">
        <v>73</v>
      </c>
      <c r="C395" s="138">
        <v>12020622</v>
      </c>
      <c r="D395" s="137" t="s">
        <v>285</v>
      </c>
      <c r="E395" s="139">
        <v>150000</v>
      </c>
      <c r="F395" s="140">
        <v>0</v>
      </c>
      <c r="G395" s="139">
        <f t="shared" si="41"/>
        <v>60000</v>
      </c>
      <c r="H395" s="104"/>
    </row>
    <row r="396" spans="1:8" ht="24.95" customHeight="1" x14ac:dyDescent="0.2">
      <c r="A396" s="126" t="s">
        <v>72</v>
      </c>
      <c r="B396" s="137" t="s">
        <v>73</v>
      </c>
      <c r="C396" s="138">
        <v>12020623</v>
      </c>
      <c r="D396" s="137" t="s">
        <v>172</v>
      </c>
      <c r="E396" s="139">
        <v>50000</v>
      </c>
      <c r="F396" s="140">
        <v>0</v>
      </c>
      <c r="G396" s="139">
        <f t="shared" si="41"/>
        <v>20000</v>
      </c>
      <c r="H396" s="104"/>
    </row>
    <row r="397" spans="1:8" ht="24.95" customHeight="1" x14ac:dyDescent="0.2">
      <c r="A397" s="223"/>
      <c r="B397" s="226"/>
      <c r="C397" s="225"/>
      <c r="D397" s="226"/>
      <c r="E397" s="149">
        <f>SUM(E394:E396)</f>
        <v>350000</v>
      </c>
      <c r="F397" s="209">
        <f>SUM(F394:F396)</f>
        <v>25000</v>
      </c>
      <c r="G397" s="149">
        <f>SUM(G394:G396)</f>
        <v>140000</v>
      </c>
      <c r="H397" s="104"/>
    </row>
    <row r="398" spans="1:8" ht="24.95" customHeight="1" x14ac:dyDescent="0.2">
      <c r="A398" s="236"/>
      <c r="B398" s="193"/>
      <c r="C398" s="128"/>
      <c r="D398" s="193"/>
      <c r="E398" s="282"/>
      <c r="F398" s="190"/>
      <c r="G398" s="282"/>
      <c r="H398" s="104"/>
    </row>
    <row r="399" spans="1:8" ht="24.95" customHeight="1" x14ac:dyDescent="0.2">
      <c r="A399" s="126" t="s">
        <v>74</v>
      </c>
      <c r="B399" s="137" t="s">
        <v>75</v>
      </c>
      <c r="C399" s="138">
        <v>12020621</v>
      </c>
      <c r="D399" s="137" t="s">
        <v>624</v>
      </c>
      <c r="E399" s="139">
        <v>300000</v>
      </c>
      <c r="F399" s="211">
        <v>34000</v>
      </c>
      <c r="G399" s="139">
        <f>0.4*E399</f>
        <v>120000</v>
      </c>
      <c r="H399" s="104"/>
    </row>
    <row r="400" spans="1:8" ht="24.95" customHeight="1" x14ac:dyDescent="0.2">
      <c r="A400" s="223"/>
      <c r="B400" s="226"/>
      <c r="C400" s="225"/>
      <c r="D400" s="226"/>
      <c r="E400" s="149">
        <f>SUM(E399:E399)</f>
        <v>300000</v>
      </c>
      <c r="F400" s="204">
        <f>SUM(F399:F399)</f>
        <v>34000</v>
      </c>
      <c r="G400" s="149">
        <f>SUM(G399:G399)</f>
        <v>120000</v>
      </c>
      <c r="H400" s="104"/>
    </row>
    <row r="401" spans="1:8" s="104" customFormat="1" ht="24.95" customHeight="1" x14ac:dyDescent="0.2">
      <c r="A401" s="126"/>
      <c r="B401" s="137"/>
      <c r="C401" s="179"/>
      <c r="D401" s="180"/>
      <c r="E401" s="285"/>
      <c r="F401" s="212"/>
      <c r="G401" s="285"/>
    </row>
    <row r="402" spans="1:8" s="104" customFormat="1" ht="24.95" customHeight="1" x14ac:dyDescent="0.2">
      <c r="A402" s="126" t="s">
        <v>76</v>
      </c>
      <c r="B402" s="137" t="s">
        <v>77</v>
      </c>
      <c r="C402" s="138">
        <v>12020621</v>
      </c>
      <c r="D402" s="137" t="s">
        <v>168</v>
      </c>
      <c r="E402" s="139">
        <v>1000000</v>
      </c>
      <c r="F402" s="211">
        <v>0</v>
      </c>
      <c r="G402" s="139">
        <f t="shared" ref="G402:G404" si="42">0.4*E402</f>
        <v>400000</v>
      </c>
    </row>
    <row r="403" spans="1:8" s="104" customFormat="1" ht="24.95" customHeight="1" x14ac:dyDescent="0.2">
      <c r="A403" s="126" t="s">
        <v>76</v>
      </c>
      <c r="B403" s="137" t="s">
        <v>77</v>
      </c>
      <c r="C403" s="138">
        <v>12020622</v>
      </c>
      <c r="D403" s="137" t="s">
        <v>285</v>
      </c>
      <c r="E403" s="139">
        <v>200000</v>
      </c>
      <c r="F403" s="211">
        <v>0</v>
      </c>
      <c r="G403" s="139">
        <f t="shared" si="42"/>
        <v>80000</v>
      </c>
    </row>
    <row r="404" spans="1:8" ht="24.95" customHeight="1" x14ac:dyDescent="0.2">
      <c r="A404" s="141" t="s">
        <v>76</v>
      </c>
      <c r="B404" s="142" t="s">
        <v>77</v>
      </c>
      <c r="C404" s="143">
        <v>12020623</v>
      </c>
      <c r="D404" s="142" t="s">
        <v>172</v>
      </c>
      <c r="E404" s="144">
        <v>300000</v>
      </c>
      <c r="F404" s="284">
        <v>6000</v>
      </c>
      <c r="G404" s="144">
        <f t="shared" si="42"/>
        <v>120000</v>
      </c>
      <c r="H404" s="104"/>
    </row>
    <row r="405" spans="1:8" ht="24.95" customHeight="1" x14ac:dyDescent="0.2">
      <c r="A405" s="223"/>
      <c r="B405" s="226"/>
      <c r="C405" s="225"/>
      <c r="D405" s="226"/>
      <c r="E405" s="149">
        <f>SUM(E402:E404)</f>
        <v>1500000</v>
      </c>
      <c r="F405" s="204">
        <f>SUM(F402:F404)</f>
        <v>6000</v>
      </c>
      <c r="G405" s="149">
        <f>SUM(G402:G404)</f>
        <v>600000</v>
      </c>
      <c r="H405" s="104"/>
    </row>
    <row r="406" spans="1:8" s="102" customFormat="1" ht="24.95" customHeight="1" x14ac:dyDescent="0.2">
      <c r="A406" s="469"/>
      <c r="B406" s="342"/>
      <c r="C406" s="237"/>
      <c r="D406" s="375" t="s">
        <v>557</v>
      </c>
      <c r="E406" s="238"/>
      <c r="F406" s="343"/>
      <c r="G406" s="238"/>
      <c r="H406" s="105"/>
    </row>
    <row r="407" spans="1:8" s="101" customFormat="1" ht="38.25" x14ac:dyDescent="0.25">
      <c r="A407" s="468" t="s">
        <v>352</v>
      </c>
      <c r="B407" s="468" t="s">
        <v>351</v>
      </c>
      <c r="C407" s="468" t="s">
        <v>94</v>
      </c>
      <c r="D407" s="468" t="s">
        <v>353</v>
      </c>
      <c r="E407" s="522" t="s">
        <v>618</v>
      </c>
      <c r="F407" s="522" t="s">
        <v>638</v>
      </c>
      <c r="G407" s="522" t="s">
        <v>637</v>
      </c>
    </row>
    <row r="408" spans="1:8" ht="24.95" customHeight="1" x14ac:dyDescent="0.2">
      <c r="A408" s="253">
        <v>52100100100</v>
      </c>
      <c r="B408" s="137" t="s">
        <v>28</v>
      </c>
      <c r="C408" s="138">
        <v>12020624</v>
      </c>
      <c r="D408" s="137" t="s">
        <v>169</v>
      </c>
      <c r="E408" s="139">
        <v>0</v>
      </c>
      <c r="F408" s="140">
        <v>0</v>
      </c>
      <c r="G408" s="139">
        <f t="shared" ref="G408:G410" si="43">0.4*E408</f>
        <v>0</v>
      </c>
      <c r="H408" s="104"/>
    </row>
    <row r="409" spans="1:8" s="104" customFormat="1" ht="24.95" customHeight="1" x14ac:dyDescent="0.2">
      <c r="A409" s="253">
        <v>52100100100</v>
      </c>
      <c r="B409" s="137" t="s">
        <v>28</v>
      </c>
      <c r="C409" s="138">
        <v>12020625</v>
      </c>
      <c r="D409" s="137" t="s">
        <v>287</v>
      </c>
      <c r="E409" s="139">
        <v>1000000</v>
      </c>
      <c r="F409" s="140">
        <v>88000</v>
      </c>
      <c r="G409" s="139">
        <f t="shared" si="43"/>
        <v>400000</v>
      </c>
      <c r="H409" s="100"/>
    </row>
    <row r="410" spans="1:8" ht="24.95" customHeight="1" x14ac:dyDescent="0.2">
      <c r="A410" s="253">
        <v>52100100100</v>
      </c>
      <c r="B410" s="137" t="s">
        <v>28</v>
      </c>
      <c r="C410" s="328">
        <v>12020626</v>
      </c>
      <c r="D410" s="137" t="s">
        <v>510</v>
      </c>
      <c r="E410" s="139">
        <v>7000000</v>
      </c>
      <c r="F410" s="140">
        <v>0</v>
      </c>
      <c r="G410" s="139">
        <f t="shared" si="43"/>
        <v>2800000</v>
      </c>
      <c r="H410" s="104"/>
    </row>
    <row r="411" spans="1:8" s="104" customFormat="1" ht="20.100000000000001" customHeight="1" x14ac:dyDescent="0.2">
      <c r="A411" s="225"/>
      <c r="B411" s="226"/>
      <c r="C411" s="225"/>
      <c r="D411" s="226"/>
      <c r="E411" s="149">
        <f>SUM(E408:E410)</f>
        <v>8000000</v>
      </c>
      <c r="F411" s="209">
        <f>SUM(F408:F410)</f>
        <v>88000</v>
      </c>
      <c r="G411" s="149">
        <f>SUM(G408:G410)</f>
        <v>3200000</v>
      </c>
      <c r="H411" s="100"/>
    </row>
    <row r="412" spans="1:8" ht="20.100000000000001" customHeight="1" x14ac:dyDescent="0.2">
      <c r="A412" s="333" t="s">
        <v>631</v>
      </c>
      <c r="B412" s="137" t="s">
        <v>226</v>
      </c>
      <c r="C412" s="328">
        <v>12020626</v>
      </c>
      <c r="D412" s="137" t="s">
        <v>296</v>
      </c>
      <c r="E412" s="139">
        <v>20000000</v>
      </c>
      <c r="F412" s="140"/>
      <c r="G412" s="139">
        <f>0.4*E412</f>
        <v>8000000</v>
      </c>
      <c r="H412" s="104"/>
    </row>
    <row r="413" spans="1:8" ht="20.100000000000001" customHeight="1" x14ac:dyDescent="0.2">
      <c r="A413" s="225"/>
      <c r="B413" s="226"/>
      <c r="C413" s="203"/>
      <c r="D413" s="226"/>
      <c r="E413" s="149">
        <f>SUM(E412)</f>
        <v>20000000</v>
      </c>
      <c r="F413" s="209">
        <f>SUM(F412)</f>
        <v>0</v>
      </c>
      <c r="G413" s="149">
        <f>SUM(G412)</f>
        <v>8000000</v>
      </c>
      <c r="H413" s="104"/>
    </row>
    <row r="414" spans="1:8" s="104" customFormat="1" ht="20.100000000000001" customHeight="1" x14ac:dyDescent="0.2">
      <c r="A414" s="320"/>
      <c r="B414" s="381"/>
      <c r="C414" s="295"/>
      <c r="D414" s="274"/>
      <c r="E414" s="295"/>
      <c r="F414" s="321"/>
      <c r="G414" s="295"/>
    </row>
    <row r="415" spans="1:8" ht="23.25" customHeight="1" x14ac:dyDescent="0.2">
      <c r="A415" s="253">
        <v>52100100100</v>
      </c>
      <c r="B415" s="137" t="s">
        <v>229</v>
      </c>
      <c r="C415" s="328">
        <v>12020626</v>
      </c>
      <c r="D415" s="137" t="s">
        <v>296</v>
      </c>
      <c r="E415" s="139">
        <v>7000000</v>
      </c>
      <c r="F415" s="140"/>
      <c r="G415" s="139">
        <f t="shared" ref="G415:G416" si="44">0.4*E415</f>
        <v>2800000</v>
      </c>
      <c r="H415" s="104"/>
    </row>
    <row r="416" spans="1:8" ht="24" customHeight="1" x14ac:dyDescent="0.2">
      <c r="A416" s="253">
        <v>52100100100</v>
      </c>
      <c r="B416" s="137" t="s">
        <v>229</v>
      </c>
      <c r="C416" s="328">
        <v>12020627</v>
      </c>
      <c r="D416" s="137" t="s">
        <v>321</v>
      </c>
      <c r="E416" s="139">
        <v>200000</v>
      </c>
      <c r="F416" s="140">
        <v>0</v>
      </c>
      <c r="G416" s="139">
        <f t="shared" si="44"/>
        <v>80000</v>
      </c>
      <c r="H416" s="104"/>
    </row>
    <row r="417" spans="1:8" ht="20.100000000000001" customHeight="1" x14ac:dyDescent="0.2">
      <c r="A417" s="225"/>
      <c r="B417" s="226"/>
      <c r="C417" s="203"/>
      <c r="D417" s="226"/>
      <c r="E417" s="149">
        <f>SUM(E415:E416)</f>
        <v>7200000</v>
      </c>
      <c r="F417" s="209">
        <f>SUM(F415:F416)</f>
        <v>0</v>
      </c>
      <c r="G417" s="149">
        <f>SUM(G415:G416)</f>
        <v>2880000</v>
      </c>
      <c r="H417" s="104"/>
    </row>
    <row r="418" spans="1:8" s="104" customFormat="1" ht="20.100000000000001" customHeight="1" x14ac:dyDescent="0.2">
      <c r="A418" s="126" t="s">
        <v>24</v>
      </c>
      <c r="B418" s="137" t="s">
        <v>25</v>
      </c>
      <c r="C418" s="328">
        <v>12020628</v>
      </c>
      <c r="D418" s="137" t="s">
        <v>170</v>
      </c>
      <c r="E418" s="243">
        <v>5000000</v>
      </c>
      <c r="F418" s="211">
        <f>1335660+234100</f>
        <v>1569760</v>
      </c>
      <c r="G418" s="243">
        <f>0.4*E418</f>
        <v>2000000</v>
      </c>
    </row>
    <row r="419" spans="1:8" s="104" customFormat="1" ht="20.100000000000001" customHeight="1" x14ac:dyDescent="0.2">
      <c r="A419" s="223"/>
      <c r="B419" s="226"/>
      <c r="C419" s="203"/>
      <c r="D419" s="226"/>
      <c r="E419" s="177">
        <f>SUM(E418)</f>
        <v>5000000</v>
      </c>
      <c r="F419" s="204">
        <f>SUM(F418)</f>
        <v>1569760</v>
      </c>
      <c r="G419" s="177">
        <f>SUM(G418)</f>
        <v>2000000</v>
      </c>
    </row>
    <row r="420" spans="1:8" s="104" customFormat="1" ht="20.100000000000001" customHeight="1" x14ac:dyDescent="0.2">
      <c r="A420" s="236"/>
      <c r="B420" s="193"/>
      <c r="C420" s="332"/>
      <c r="D420" s="193"/>
      <c r="E420" s="285"/>
      <c r="F420" s="212"/>
      <c r="G420" s="285"/>
    </row>
    <row r="421" spans="1:8" s="104" customFormat="1" ht="24.95" customHeight="1" x14ac:dyDescent="0.2">
      <c r="A421" s="126" t="s">
        <v>46</v>
      </c>
      <c r="B421" s="137" t="s">
        <v>47</v>
      </c>
      <c r="C421" s="328">
        <v>12020629</v>
      </c>
      <c r="D421" s="137" t="s">
        <v>171</v>
      </c>
      <c r="E421" s="139">
        <v>10000</v>
      </c>
      <c r="F421" s="140">
        <v>0</v>
      </c>
      <c r="G421" s="139">
        <f t="shared" ref="G421:G422" si="45">0.4*E421</f>
        <v>4000</v>
      </c>
      <c r="H421" s="100"/>
    </row>
    <row r="422" spans="1:8" s="104" customFormat="1" ht="24.95" customHeight="1" x14ac:dyDescent="0.2">
      <c r="A422" s="126" t="s">
        <v>46</v>
      </c>
      <c r="B422" s="137" t="s">
        <v>47</v>
      </c>
      <c r="C422" s="328">
        <v>12020630</v>
      </c>
      <c r="D422" s="137" t="s">
        <v>324</v>
      </c>
      <c r="E422" s="139">
        <v>100000</v>
      </c>
      <c r="F422" s="140">
        <v>0</v>
      </c>
      <c r="G422" s="139">
        <f t="shared" si="45"/>
        <v>40000</v>
      </c>
      <c r="H422" s="100"/>
    </row>
    <row r="423" spans="1:8" s="104" customFormat="1" ht="24.95" customHeight="1" x14ac:dyDescent="0.2">
      <c r="A423" s="223"/>
      <c r="B423" s="226"/>
      <c r="C423" s="203"/>
      <c r="D423" s="226"/>
      <c r="E423" s="149">
        <f>SUM(E421:E422)</f>
        <v>110000</v>
      </c>
      <c r="F423" s="209">
        <f>SUM(F421:F422)</f>
        <v>0</v>
      </c>
      <c r="G423" s="149">
        <f>SUM(G421:G422)</f>
        <v>44000</v>
      </c>
      <c r="H423" s="100"/>
    </row>
    <row r="424" spans="1:8" ht="24.95" customHeight="1" x14ac:dyDescent="0.2">
      <c r="A424" s="126"/>
      <c r="B424" s="137"/>
      <c r="C424" s="179"/>
      <c r="D424" s="180"/>
      <c r="E424" s="285"/>
      <c r="F424" s="212"/>
      <c r="G424" s="285"/>
      <c r="H424" s="104"/>
    </row>
    <row r="425" spans="1:8" s="104" customFormat="1" ht="24.95" customHeight="1" x14ac:dyDescent="0.2">
      <c r="A425" s="126" t="s">
        <v>78</v>
      </c>
      <c r="B425" s="137" t="s">
        <v>79</v>
      </c>
      <c r="C425" s="138">
        <v>12020621</v>
      </c>
      <c r="D425" s="137" t="s">
        <v>168</v>
      </c>
      <c r="E425" s="152">
        <v>100000</v>
      </c>
      <c r="F425" s="140">
        <v>0</v>
      </c>
      <c r="G425" s="152">
        <v>0</v>
      </c>
      <c r="H425" s="100"/>
    </row>
    <row r="426" spans="1:8" s="104" customFormat="1" ht="24.95" customHeight="1" x14ac:dyDescent="0.2">
      <c r="A426" s="126" t="s">
        <v>78</v>
      </c>
      <c r="B426" s="137" t="s">
        <v>79</v>
      </c>
      <c r="C426" s="138">
        <v>12020623</v>
      </c>
      <c r="D426" s="137" t="s">
        <v>172</v>
      </c>
      <c r="E426" s="152">
        <v>100000</v>
      </c>
      <c r="F426" s="140">
        <v>1000</v>
      </c>
      <c r="G426" s="152">
        <v>10000</v>
      </c>
    </row>
    <row r="427" spans="1:8" s="104" customFormat="1" ht="21.95" customHeight="1" x14ac:dyDescent="0.2">
      <c r="A427" s="223"/>
      <c r="B427" s="226"/>
      <c r="C427" s="225"/>
      <c r="D427" s="226"/>
      <c r="E427" s="149">
        <f>SUM(E425:E426)</f>
        <v>200000</v>
      </c>
      <c r="F427" s="209">
        <f>SUM(F425:F426)</f>
        <v>1000</v>
      </c>
      <c r="G427" s="149">
        <f>SUM(G425:G426)</f>
        <v>10000</v>
      </c>
    </row>
    <row r="428" spans="1:8" s="101" customFormat="1" ht="21.95" customHeight="1" x14ac:dyDescent="0.2">
      <c r="A428" s="253"/>
      <c r="B428" s="137"/>
      <c r="C428" s="179"/>
      <c r="D428" s="180"/>
      <c r="E428" s="285"/>
      <c r="F428" s="212"/>
      <c r="G428" s="285"/>
      <c r="H428" s="100"/>
    </row>
    <row r="429" spans="1:8" s="101" customFormat="1" ht="25.5" customHeight="1" x14ac:dyDescent="0.25">
      <c r="A429" s="253">
        <v>12500100100</v>
      </c>
      <c r="B429" s="137" t="s">
        <v>355</v>
      </c>
      <c r="C429" s="328">
        <v>12020631</v>
      </c>
      <c r="D429" s="137" t="s">
        <v>224</v>
      </c>
      <c r="E429" s="139">
        <v>1000000</v>
      </c>
      <c r="F429" s="140">
        <f>89800+50000</f>
        <v>139800</v>
      </c>
      <c r="G429" s="139">
        <f>0.4*E429</f>
        <v>400000</v>
      </c>
    </row>
    <row r="430" spans="1:8" s="101" customFormat="1" ht="20.100000000000001" customHeight="1" x14ac:dyDescent="0.25">
      <c r="A430" s="225"/>
      <c r="B430" s="226"/>
      <c r="C430" s="203"/>
      <c r="D430" s="226"/>
      <c r="E430" s="149">
        <f>SUM(E429)</f>
        <v>1000000</v>
      </c>
      <c r="F430" s="209">
        <f>SUM(F429)</f>
        <v>139800</v>
      </c>
      <c r="G430" s="149">
        <f>SUM(G429)</f>
        <v>400000</v>
      </c>
    </row>
    <row r="431" spans="1:8" ht="20.100000000000001" customHeight="1" x14ac:dyDescent="0.2">
      <c r="A431" s="126" t="s">
        <v>44</v>
      </c>
      <c r="B431" s="137" t="s">
        <v>58</v>
      </c>
      <c r="C431" s="138">
        <v>12020632</v>
      </c>
      <c r="D431" s="137" t="s">
        <v>173</v>
      </c>
      <c r="E431" s="173">
        <v>10000</v>
      </c>
      <c r="F431" s="174">
        <v>0</v>
      </c>
      <c r="G431" s="173">
        <v>0</v>
      </c>
    </row>
    <row r="432" spans="1:8" ht="13.5" customHeight="1" x14ac:dyDescent="0.2">
      <c r="A432" s="474"/>
      <c r="B432" s="477"/>
      <c r="C432" s="304"/>
      <c r="D432" s="475" t="s">
        <v>544</v>
      </c>
      <c r="E432" s="479"/>
      <c r="F432" s="480"/>
      <c r="G432" s="479"/>
    </row>
    <row r="433" spans="1:8" s="101" customFormat="1" ht="38.25" x14ac:dyDescent="0.25">
      <c r="A433" s="115" t="s">
        <v>352</v>
      </c>
      <c r="B433" s="115" t="s">
        <v>351</v>
      </c>
      <c r="C433" s="115" t="s">
        <v>94</v>
      </c>
      <c r="D433" s="115" t="s">
        <v>353</v>
      </c>
      <c r="E433" s="496" t="s">
        <v>618</v>
      </c>
      <c r="F433" s="496" t="s">
        <v>638</v>
      </c>
      <c r="G433" s="496" t="s">
        <v>637</v>
      </c>
    </row>
    <row r="434" spans="1:8" s="104" customFormat="1" ht="24.95" customHeight="1" x14ac:dyDescent="0.2">
      <c r="A434" s="141" t="s">
        <v>44</v>
      </c>
      <c r="B434" s="142" t="s">
        <v>58</v>
      </c>
      <c r="C434" s="143">
        <v>12020633</v>
      </c>
      <c r="D434" s="142" t="s">
        <v>306</v>
      </c>
      <c r="E434" s="202">
        <v>100000</v>
      </c>
      <c r="F434" s="197">
        <v>0</v>
      </c>
      <c r="G434" s="202">
        <f>0.4*E434</f>
        <v>40000</v>
      </c>
      <c r="H434" s="100"/>
    </row>
    <row r="435" spans="1:8" s="104" customFormat="1" ht="24.95" customHeight="1" x14ac:dyDescent="0.2">
      <c r="A435" s="223"/>
      <c r="B435" s="226"/>
      <c r="C435" s="225"/>
      <c r="D435" s="226"/>
      <c r="E435" s="227">
        <f>SUM(E431:E434)</f>
        <v>110000</v>
      </c>
      <c r="F435" s="228">
        <f>SUM(F431:F434)</f>
        <v>0</v>
      </c>
      <c r="G435" s="227">
        <f>SUM(G431:G434)</f>
        <v>40000</v>
      </c>
      <c r="H435" s="100"/>
    </row>
    <row r="436" spans="1:8" s="104" customFormat="1" ht="24.95" customHeight="1" x14ac:dyDescent="0.2">
      <c r="A436" s="247"/>
      <c r="B436" s="259"/>
      <c r="C436" s="248"/>
      <c r="D436" s="233"/>
      <c r="E436" s="401"/>
      <c r="F436" s="249"/>
      <c r="G436" s="401"/>
    </row>
    <row r="437" spans="1:8" s="101" customFormat="1" ht="24.95" customHeight="1" x14ac:dyDescent="0.2">
      <c r="A437" s="333" t="s">
        <v>563</v>
      </c>
      <c r="B437" s="137" t="s">
        <v>83</v>
      </c>
      <c r="C437" s="138">
        <v>12020634</v>
      </c>
      <c r="D437" s="137" t="s">
        <v>174</v>
      </c>
      <c r="E437" s="139">
        <v>8000000</v>
      </c>
      <c r="F437" s="140">
        <f>2947600+977990</f>
        <v>3925590</v>
      </c>
      <c r="G437" s="139">
        <f>0.4*E437</f>
        <v>3200000</v>
      </c>
      <c r="H437" s="100"/>
    </row>
    <row r="438" spans="1:8" s="101" customFormat="1" ht="24.95" customHeight="1" x14ac:dyDescent="0.2">
      <c r="A438" s="334"/>
      <c r="B438" s="226"/>
      <c r="C438" s="237"/>
      <c r="D438" s="226"/>
      <c r="E438" s="411">
        <f>SUM(E437)</f>
        <v>8000000</v>
      </c>
      <c r="F438" s="209">
        <f>SUM(F437)</f>
        <v>3925590</v>
      </c>
      <c r="G438" s="411">
        <f>SUM(G437)</f>
        <v>3200000</v>
      </c>
      <c r="H438" s="100"/>
    </row>
    <row r="439" spans="1:8" s="103" customFormat="1" ht="24.95" customHeight="1" x14ac:dyDescent="0.25">
      <c r="A439" s="126" t="s">
        <v>82</v>
      </c>
      <c r="B439" s="137" t="s">
        <v>60</v>
      </c>
      <c r="C439" s="138">
        <v>12020621</v>
      </c>
      <c r="D439" s="137" t="s">
        <v>168</v>
      </c>
      <c r="E439" s="139">
        <v>100000</v>
      </c>
      <c r="F439" s="140">
        <v>0</v>
      </c>
      <c r="G439" s="139">
        <f t="shared" ref="G439:G440" si="46">0.4*E439</f>
        <v>40000</v>
      </c>
      <c r="H439" s="101"/>
    </row>
    <row r="440" spans="1:8" s="101" customFormat="1" ht="24.95" customHeight="1" x14ac:dyDescent="0.25">
      <c r="A440" s="126" t="s">
        <v>82</v>
      </c>
      <c r="B440" s="137" t="s">
        <v>60</v>
      </c>
      <c r="C440" s="138">
        <v>12020635</v>
      </c>
      <c r="D440" s="137" t="s">
        <v>362</v>
      </c>
      <c r="E440" s="139">
        <v>12000000</v>
      </c>
      <c r="F440" s="140">
        <f>2866750+1359150</f>
        <v>4225900</v>
      </c>
      <c r="G440" s="139">
        <f t="shared" si="46"/>
        <v>4800000</v>
      </c>
      <c r="H440" s="103"/>
    </row>
    <row r="441" spans="1:8" s="101" customFormat="1" ht="24.95" customHeight="1" x14ac:dyDescent="0.25">
      <c r="A441" s="126" t="s">
        <v>82</v>
      </c>
      <c r="B441" s="137" t="s">
        <v>60</v>
      </c>
      <c r="C441" s="138">
        <v>12020636</v>
      </c>
      <c r="D441" s="137" t="s">
        <v>175</v>
      </c>
      <c r="E441" s="139">
        <v>200000000</v>
      </c>
      <c r="F441" s="140">
        <f>71358287+4132279</f>
        <v>75490566</v>
      </c>
      <c r="G441" s="139">
        <v>150000000</v>
      </c>
    </row>
    <row r="442" spans="1:8" s="101" customFormat="1" ht="24.95" customHeight="1" x14ac:dyDescent="0.25">
      <c r="A442" s="223"/>
      <c r="B442" s="226"/>
      <c r="C442" s="225"/>
      <c r="D442" s="226"/>
      <c r="E442" s="149">
        <f>SUM(E439:E441)</f>
        <v>212100000</v>
      </c>
      <c r="F442" s="209">
        <f>SUM(F439:F441)</f>
        <v>79716466</v>
      </c>
      <c r="G442" s="149">
        <f>SUM(G439:G441)</f>
        <v>154840000</v>
      </c>
    </row>
    <row r="443" spans="1:8" s="101" customFormat="1" ht="24.95" customHeight="1" x14ac:dyDescent="0.25">
      <c r="A443" s="213"/>
      <c r="B443" s="193"/>
      <c r="C443" s="128"/>
      <c r="D443" s="193"/>
      <c r="E443" s="282"/>
      <c r="F443" s="190"/>
      <c r="G443" s="282"/>
    </row>
    <row r="444" spans="1:8" s="101" customFormat="1" ht="24.95" customHeight="1" x14ac:dyDescent="0.25">
      <c r="A444" s="335" t="s">
        <v>413</v>
      </c>
      <c r="B444" s="312" t="s">
        <v>402</v>
      </c>
      <c r="C444" s="138">
        <v>12020637</v>
      </c>
      <c r="D444" s="137" t="s">
        <v>176</v>
      </c>
      <c r="E444" s="336">
        <v>5500000</v>
      </c>
      <c r="F444" s="211">
        <v>18140000.010000002</v>
      </c>
      <c r="G444" s="336">
        <v>10000000</v>
      </c>
    </row>
    <row r="445" spans="1:8" s="101" customFormat="1" ht="24.95" customHeight="1" x14ac:dyDescent="0.25">
      <c r="A445" s="241" t="s">
        <v>413</v>
      </c>
      <c r="B445" s="312" t="s">
        <v>402</v>
      </c>
      <c r="C445" s="138">
        <v>12020638</v>
      </c>
      <c r="D445" s="137" t="s">
        <v>158</v>
      </c>
      <c r="E445" s="336">
        <v>100000</v>
      </c>
      <c r="F445" s="211">
        <v>3000</v>
      </c>
      <c r="G445" s="336">
        <v>10000</v>
      </c>
    </row>
    <row r="446" spans="1:8" s="103" customFormat="1" ht="24.95" customHeight="1" x14ac:dyDescent="0.25">
      <c r="A446" s="337" t="s">
        <v>413</v>
      </c>
      <c r="B446" s="312" t="s">
        <v>402</v>
      </c>
      <c r="C446" s="328">
        <v>12020626</v>
      </c>
      <c r="D446" s="137" t="s">
        <v>177</v>
      </c>
      <c r="E446" s="336">
        <v>2000000</v>
      </c>
      <c r="F446" s="211">
        <v>15000</v>
      </c>
      <c r="G446" s="336">
        <f t="shared" ref="G446" si="47">0.4*E446</f>
        <v>800000</v>
      </c>
      <c r="H446" s="101"/>
    </row>
    <row r="447" spans="1:8" s="103" customFormat="1" ht="24.95" customHeight="1" x14ac:dyDescent="0.25">
      <c r="A447" s="223"/>
      <c r="B447" s="225"/>
      <c r="C447" s="203"/>
      <c r="D447" s="226"/>
      <c r="E447" s="339">
        <f>SUM(E444:E446)</f>
        <v>7600000</v>
      </c>
      <c r="F447" s="204">
        <f>SUM(F444:F446)</f>
        <v>18158000.010000002</v>
      </c>
      <c r="G447" s="339">
        <f>SUM(G444:G446)</f>
        <v>10810000</v>
      </c>
      <c r="H447" s="101"/>
    </row>
    <row r="448" spans="1:8" s="104" customFormat="1" ht="24.95" customHeight="1" x14ac:dyDescent="0.2">
      <c r="A448" s="253"/>
      <c r="B448" s="370"/>
      <c r="C448" s="179"/>
      <c r="D448" s="180"/>
      <c r="E448" s="455"/>
      <c r="F448" s="212"/>
      <c r="G448" s="455"/>
    </row>
    <row r="449" spans="1:8" s="104" customFormat="1" ht="24.95" customHeight="1" x14ac:dyDescent="0.2">
      <c r="A449" s="126" t="s">
        <v>84</v>
      </c>
      <c r="B449" s="137" t="s">
        <v>85</v>
      </c>
      <c r="C449" s="138">
        <v>12020639</v>
      </c>
      <c r="D449" s="137" t="s">
        <v>303</v>
      </c>
      <c r="E449" s="336">
        <v>2000000</v>
      </c>
      <c r="F449" s="338">
        <v>0</v>
      </c>
      <c r="G449" s="336">
        <v>0</v>
      </c>
    </row>
    <row r="450" spans="1:8" s="104" customFormat="1" ht="24.95" customHeight="1" x14ac:dyDescent="0.2">
      <c r="A450" s="223"/>
      <c r="B450" s="226"/>
      <c r="C450" s="225"/>
      <c r="D450" s="226"/>
      <c r="E450" s="339">
        <f>SUM(E449)</f>
        <v>2000000</v>
      </c>
      <c r="F450" s="340">
        <f>SUM(F449)</f>
        <v>0</v>
      </c>
      <c r="G450" s="339">
        <f>SUM(G449)</f>
        <v>0</v>
      </c>
    </row>
    <row r="451" spans="1:8" ht="24.95" customHeight="1" x14ac:dyDescent="0.2">
      <c r="A451" s="253"/>
      <c r="B451" s="137"/>
      <c r="C451" s="179"/>
      <c r="D451" s="180"/>
      <c r="E451" s="455"/>
      <c r="F451" s="212"/>
      <c r="G451" s="455"/>
    </row>
    <row r="452" spans="1:8" ht="24.95" customHeight="1" x14ac:dyDescent="0.2">
      <c r="A452" s="253">
        <v>11103800100</v>
      </c>
      <c r="B452" s="137" t="s">
        <v>227</v>
      </c>
      <c r="C452" s="138">
        <v>12020639</v>
      </c>
      <c r="D452" s="137" t="s">
        <v>303</v>
      </c>
      <c r="E452" s="336">
        <v>500000</v>
      </c>
      <c r="F452" s="211">
        <v>0</v>
      </c>
      <c r="G452" s="336">
        <v>0</v>
      </c>
    </row>
    <row r="453" spans="1:8" ht="24.95" customHeight="1" x14ac:dyDescent="0.2">
      <c r="A453" s="215"/>
      <c r="B453" s="214"/>
      <c r="C453" s="215"/>
      <c r="D453" s="214"/>
      <c r="E453" s="251">
        <f>SUM(E452)</f>
        <v>500000</v>
      </c>
      <c r="F453" s="260">
        <f>SUM(F452)</f>
        <v>0</v>
      </c>
      <c r="G453" s="251">
        <f>SUM(G452)</f>
        <v>0</v>
      </c>
    </row>
    <row r="454" spans="1:8" ht="24.95" customHeight="1" x14ac:dyDescent="0.2">
      <c r="A454" s="474"/>
      <c r="B454" s="477"/>
      <c r="C454" s="256"/>
      <c r="D454" s="475" t="s">
        <v>545</v>
      </c>
      <c r="E454" s="248"/>
      <c r="F454" s="257"/>
      <c r="G454" s="248"/>
    </row>
    <row r="455" spans="1:8" s="101" customFormat="1" ht="38.25" x14ac:dyDescent="0.25">
      <c r="A455" s="115" t="s">
        <v>352</v>
      </c>
      <c r="B455" s="115" t="s">
        <v>351</v>
      </c>
      <c r="C455" s="115" t="s">
        <v>94</v>
      </c>
      <c r="D455" s="115" t="s">
        <v>353</v>
      </c>
      <c r="E455" s="496" t="s">
        <v>618</v>
      </c>
      <c r="F455" s="496" t="s">
        <v>638</v>
      </c>
      <c r="G455" s="496" t="s">
        <v>637</v>
      </c>
    </row>
    <row r="456" spans="1:8" ht="24.95" customHeight="1" x14ac:dyDescent="0.2">
      <c r="A456" s="126" t="s">
        <v>54</v>
      </c>
      <c r="B456" s="137" t="s">
        <v>55</v>
      </c>
      <c r="C456" s="138">
        <v>12020640</v>
      </c>
      <c r="D456" s="137" t="s">
        <v>232</v>
      </c>
      <c r="E456" s="336">
        <v>1000000</v>
      </c>
      <c r="F456" s="211">
        <v>0</v>
      </c>
      <c r="G456" s="336">
        <f>0.4*E456</f>
        <v>400000</v>
      </c>
    </row>
    <row r="457" spans="1:8" ht="24.95" customHeight="1" x14ac:dyDescent="0.2">
      <c r="A457" s="223"/>
      <c r="B457" s="226"/>
      <c r="C457" s="225"/>
      <c r="D457" s="226"/>
      <c r="E457" s="339">
        <f>SUM(E456)</f>
        <v>1000000</v>
      </c>
      <c r="F457" s="204">
        <f>SUM(F456)</f>
        <v>0</v>
      </c>
      <c r="G457" s="339">
        <f>SUM(G456)</f>
        <v>400000</v>
      </c>
    </row>
    <row r="458" spans="1:8" s="104" customFormat="1" ht="24.95" customHeight="1" x14ac:dyDescent="0.2">
      <c r="A458" s="320"/>
      <c r="B458" s="127"/>
      <c r="C458" s="250"/>
      <c r="D458" s="199"/>
      <c r="E458" s="341"/>
      <c r="F458" s="201"/>
      <c r="G458" s="341"/>
      <c r="H458" s="100"/>
    </row>
    <row r="459" spans="1:8" ht="24.95" customHeight="1" x14ac:dyDescent="0.2">
      <c r="A459" s="126" t="s">
        <v>561</v>
      </c>
      <c r="B459" s="137" t="s">
        <v>608</v>
      </c>
      <c r="C459" s="138">
        <v>12020641</v>
      </c>
      <c r="D459" s="137" t="s">
        <v>237</v>
      </c>
      <c r="E459" s="336">
        <v>100000</v>
      </c>
      <c r="F459" s="211">
        <v>0</v>
      </c>
      <c r="G459" s="336">
        <v>0</v>
      </c>
    </row>
    <row r="460" spans="1:8" ht="24.95" customHeight="1" x14ac:dyDescent="0.2">
      <c r="A460" s="223"/>
      <c r="B460" s="226"/>
      <c r="C460" s="225"/>
      <c r="D460" s="226"/>
      <c r="E460" s="339">
        <f>SUM(E459)</f>
        <v>100000</v>
      </c>
      <c r="F460" s="204">
        <f>SUM(F459)</f>
        <v>0</v>
      </c>
      <c r="G460" s="339">
        <f>SUM(G459)</f>
        <v>0</v>
      </c>
    </row>
    <row r="461" spans="1:8" ht="24.95" customHeight="1" x14ac:dyDescent="0.2">
      <c r="A461" s="126">
        <v>21510200100</v>
      </c>
      <c r="B461" s="137" t="s">
        <v>354</v>
      </c>
      <c r="C461" s="138">
        <v>12020642</v>
      </c>
      <c r="D461" s="137" t="s">
        <v>605</v>
      </c>
      <c r="E461" s="288">
        <v>300000</v>
      </c>
      <c r="F461" s="289">
        <v>0</v>
      </c>
      <c r="G461" s="288">
        <f t="shared" ref="G461:G465" si="48">0.4*E461</f>
        <v>120000</v>
      </c>
    </row>
    <row r="462" spans="1:8" ht="24.95" customHeight="1" x14ac:dyDescent="0.2">
      <c r="A462" s="126">
        <v>21510200100</v>
      </c>
      <c r="B462" s="137" t="s">
        <v>354</v>
      </c>
      <c r="C462" s="138">
        <v>12020650</v>
      </c>
      <c r="D462" s="175" t="s">
        <v>604</v>
      </c>
      <c r="E462" s="288">
        <v>100000</v>
      </c>
      <c r="F462" s="289">
        <v>0</v>
      </c>
      <c r="G462" s="288">
        <f t="shared" si="48"/>
        <v>40000</v>
      </c>
    </row>
    <row r="463" spans="1:8" ht="24.95" customHeight="1" x14ac:dyDescent="0.2">
      <c r="A463" s="126"/>
      <c r="B463" s="137" t="s">
        <v>354</v>
      </c>
      <c r="C463" s="138">
        <v>12020650</v>
      </c>
      <c r="D463" s="175" t="s">
        <v>575</v>
      </c>
      <c r="E463" s="288">
        <v>50000</v>
      </c>
      <c r="F463" s="289">
        <v>0</v>
      </c>
      <c r="G463" s="288">
        <f t="shared" si="48"/>
        <v>20000</v>
      </c>
    </row>
    <row r="464" spans="1:8" ht="24.95" customHeight="1" x14ac:dyDescent="0.2">
      <c r="A464" s="126">
        <v>21510200100</v>
      </c>
      <c r="B464" s="137" t="s">
        <v>354</v>
      </c>
      <c r="C464" s="138">
        <v>12020651</v>
      </c>
      <c r="D464" s="175" t="s">
        <v>496</v>
      </c>
      <c r="E464" s="288">
        <v>0</v>
      </c>
      <c r="F464" s="289">
        <v>0</v>
      </c>
      <c r="G464" s="288">
        <f t="shared" si="48"/>
        <v>0</v>
      </c>
    </row>
    <row r="465" spans="1:7" ht="24.95" customHeight="1" x14ac:dyDescent="0.2">
      <c r="A465" s="126">
        <v>21510200100</v>
      </c>
      <c r="B465" s="137" t="s">
        <v>354</v>
      </c>
      <c r="C465" s="138">
        <v>12020652</v>
      </c>
      <c r="D465" s="175" t="s">
        <v>497</v>
      </c>
      <c r="E465" s="288">
        <v>100000</v>
      </c>
      <c r="F465" s="289">
        <v>9000</v>
      </c>
      <c r="G465" s="288">
        <f t="shared" si="48"/>
        <v>40000</v>
      </c>
    </row>
    <row r="466" spans="1:7" ht="24.95" customHeight="1" x14ac:dyDescent="0.2">
      <c r="A466" s="223"/>
      <c r="B466" s="226"/>
      <c r="C466" s="225"/>
      <c r="D466" s="224"/>
      <c r="E466" s="281">
        <f>SUM(E461:E465)</f>
        <v>550000</v>
      </c>
      <c r="F466" s="290">
        <f>SUM(F461:F465)</f>
        <v>9000</v>
      </c>
      <c r="G466" s="281">
        <f>SUM(G461:G465)</f>
        <v>220000</v>
      </c>
    </row>
    <row r="467" spans="1:7" ht="24.95" customHeight="1" x14ac:dyDescent="0.2">
      <c r="A467" s="126"/>
      <c r="B467" s="137"/>
      <c r="C467" s="138"/>
      <c r="D467" s="175"/>
      <c r="E467" s="288"/>
      <c r="F467" s="289"/>
      <c r="G467" s="288"/>
    </row>
    <row r="468" spans="1:7" ht="24.95" customHeight="1" x14ac:dyDescent="0.2">
      <c r="A468" s="141" t="s">
        <v>56</v>
      </c>
      <c r="B468" s="142" t="s">
        <v>609</v>
      </c>
      <c r="C468" s="143">
        <v>12020633</v>
      </c>
      <c r="D468" s="142" t="s">
        <v>306</v>
      </c>
      <c r="E468" s="283">
        <v>0</v>
      </c>
      <c r="F468" s="284">
        <v>0</v>
      </c>
      <c r="G468" s="283">
        <v>0</v>
      </c>
    </row>
    <row r="469" spans="1:7" ht="24.95" customHeight="1" x14ac:dyDescent="0.2">
      <c r="A469" s="223"/>
      <c r="B469" s="342"/>
      <c r="C469" s="225"/>
      <c r="D469" s="342"/>
      <c r="E469" s="177">
        <f>SUM(E468)</f>
        <v>0</v>
      </c>
      <c r="F469" s="343">
        <f>SUM(F468)</f>
        <v>0</v>
      </c>
      <c r="G469" s="177">
        <f>SUM(G468)</f>
        <v>0</v>
      </c>
    </row>
    <row r="470" spans="1:7" ht="24.95" customHeight="1" x14ac:dyDescent="0.2">
      <c r="A470" s="271"/>
      <c r="B470" s="165"/>
      <c r="C470" s="272"/>
      <c r="D470" s="165"/>
      <c r="E470" s="180"/>
      <c r="F470" s="206"/>
      <c r="G470" s="180"/>
    </row>
    <row r="471" spans="1:7" ht="24.95" customHeight="1" x14ac:dyDescent="0.2">
      <c r="A471" s="245" t="s">
        <v>406</v>
      </c>
      <c r="B471" s="127" t="s">
        <v>608</v>
      </c>
      <c r="C471" s="312">
        <v>12020644</v>
      </c>
      <c r="D471" s="127" t="s">
        <v>407</v>
      </c>
      <c r="E471" s="210">
        <v>0</v>
      </c>
      <c r="F471" s="481">
        <v>0</v>
      </c>
      <c r="G471" s="210">
        <f t="shared" ref="G471:G472" si="49">0.4*E471</f>
        <v>0</v>
      </c>
    </row>
    <row r="472" spans="1:7" ht="24.95" customHeight="1" x14ac:dyDescent="0.2">
      <c r="A472" s="246" t="s">
        <v>406</v>
      </c>
      <c r="B472" s="344" t="s">
        <v>608</v>
      </c>
      <c r="C472" s="305">
        <v>12020645</v>
      </c>
      <c r="D472" s="344" t="s">
        <v>408</v>
      </c>
      <c r="E472" s="345">
        <v>0</v>
      </c>
      <c r="F472" s="346">
        <v>0</v>
      </c>
      <c r="G472" s="345">
        <f t="shared" si="49"/>
        <v>0</v>
      </c>
    </row>
    <row r="473" spans="1:7" ht="24.95" customHeight="1" x14ac:dyDescent="0.2">
      <c r="A473" s="223"/>
      <c r="B473" s="342"/>
      <c r="C473" s="225"/>
      <c r="D473" s="342"/>
      <c r="E473" s="177">
        <f>SUM(E471:E472)</f>
        <v>0</v>
      </c>
      <c r="F473" s="343">
        <f>SUM(F471:F472)</f>
        <v>0</v>
      </c>
      <c r="G473" s="177">
        <f>SUM(G471:G472)</f>
        <v>0</v>
      </c>
    </row>
    <row r="474" spans="1:7" s="102" customFormat="1" ht="24.95" customHeight="1" x14ac:dyDescent="0.2">
      <c r="A474" s="258"/>
      <c r="B474" s="259"/>
      <c r="C474" s="304"/>
      <c r="D474" s="259"/>
      <c r="E474" s="356"/>
      <c r="F474" s="348"/>
      <c r="G474" s="356"/>
    </row>
    <row r="475" spans="1:7" s="102" customFormat="1" ht="24.95" customHeight="1" x14ac:dyDescent="0.2">
      <c r="A475" s="264" t="s">
        <v>414</v>
      </c>
      <c r="B475" s="312" t="s">
        <v>643</v>
      </c>
      <c r="C475" s="328">
        <v>12020626</v>
      </c>
      <c r="D475" s="137" t="s">
        <v>177</v>
      </c>
      <c r="E475" s="243">
        <v>7500000</v>
      </c>
      <c r="F475" s="211">
        <v>214819.85</v>
      </c>
      <c r="G475" s="243">
        <f>0.4*E475</f>
        <v>3000000</v>
      </c>
    </row>
    <row r="476" spans="1:7" s="102" customFormat="1" ht="24.95" customHeight="1" x14ac:dyDescent="0.2">
      <c r="A476" s="258"/>
      <c r="B476" s="259"/>
      <c r="C476" s="304"/>
      <c r="D476" s="259"/>
      <c r="E476" s="401">
        <f>SUM(E475)</f>
        <v>7500000</v>
      </c>
      <c r="F476" s="260">
        <f>SUM(F475)</f>
        <v>214819.85</v>
      </c>
      <c r="G476" s="401">
        <f>SUM(G475)</f>
        <v>3000000</v>
      </c>
    </row>
    <row r="477" spans="1:7" s="102" customFormat="1" ht="15" customHeight="1" x14ac:dyDescent="0.2">
      <c r="A477" s="474"/>
      <c r="B477" s="477"/>
      <c r="C477" s="304"/>
      <c r="D477" s="475" t="s">
        <v>546</v>
      </c>
      <c r="E477" s="256"/>
      <c r="F477" s="257"/>
      <c r="G477" s="256"/>
    </row>
    <row r="478" spans="1:7" s="101" customFormat="1" ht="38.25" x14ac:dyDescent="0.25">
      <c r="A478" s="115" t="s">
        <v>352</v>
      </c>
      <c r="B478" s="115" t="s">
        <v>351</v>
      </c>
      <c r="C478" s="115" t="s">
        <v>94</v>
      </c>
      <c r="D478" s="115" t="s">
        <v>353</v>
      </c>
      <c r="E478" s="496" t="s">
        <v>618</v>
      </c>
      <c r="F478" s="496" t="s">
        <v>638</v>
      </c>
      <c r="G478" s="496" t="s">
        <v>637</v>
      </c>
    </row>
    <row r="479" spans="1:7" s="102" customFormat="1" ht="24.95" customHeight="1" x14ac:dyDescent="0.2">
      <c r="A479" s="264" t="s">
        <v>424</v>
      </c>
      <c r="B479" s="312" t="s">
        <v>644</v>
      </c>
      <c r="C479" s="328">
        <v>12020627</v>
      </c>
      <c r="D479" s="137" t="s">
        <v>502</v>
      </c>
      <c r="E479" s="243">
        <v>3000000</v>
      </c>
      <c r="F479" s="211">
        <v>1065000</v>
      </c>
      <c r="G479" s="243">
        <v>2500000</v>
      </c>
    </row>
    <row r="480" spans="1:7" s="102" customFormat="1" ht="24.95" customHeight="1" x14ac:dyDescent="0.2">
      <c r="A480" s="264" t="s">
        <v>424</v>
      </c>
      <c r="B480" s="312" t="s">
        <v>644</v>
      </c>
      <c r="C480" s="328">
        <v>12020626</v>
      </c>
      <c r="D480" s="137" t="s">
        <v>177</v>
      </c>
      <c r="E480" s="243">
        <v>8000000</v>
      </c>
      <c r="F480" s="211">
        <v>1110000</v>
      </c>
      <c r="G480" s="243">
        <v>5000000</v>
      </c>
    </row>
    <row r="481" spans="1:7" s="102" customFormat="1" ht="24.95" customHeight="1" x14ac:dyDescent="0.2">
      <c r="A481" s="264" t="s">
        <v>424</v>
      </c>
      <c r="B481" s="312" t="s">
        <v>644</v>
      </c>
      <c r="C481" s="328">
        <v>12020646</v>
      </c>
      <c r="D481" s="137" t="s">
        <v>169</v>
      </c>
      <c r="E481" s="243">
        <v>2000000</v>
      </c>
      <c r="F481" s="211">
        <v>519220</v>
      </c>
      <c r="G481" s="243">
        <v>1000000</v>
      </c>
    </row>
    <row r="482" spans="1:7" s="102" customFormat="1" ht="24.95" customHeight="1" x14ac:dyDescent="0.2">
      <c r="A482" s="307"/>
      <c r="B482" s="208"/>
      <c r="C482" s="349"/>
      <c r="D482" s="208"/>
      <c r="E482" s="400">
        <f>SUM(E479:E481)</f>
        <v>13000000</v>
      </c>
      <c r="F482" s="204">
        <f>SUM(F479:F481)</f>
        <v>2694220</v>
      </c>
      <c r="G482" s="400">
        <f>SUM(G479:G481)</f>
        <v>8500000</v>
      </c>
    </row>
    <row r="483" spans="1:7" s="102" customFormat="1" ht="24.95" customHeight="1" x14ac:dyDescent="0.2">
      <c r="A483" s="258"/>
      <c r="B483" s="259"/>
      <c r="C483" s="304"/>
      <c r="D483" s="259"/>
      <c r="E483" s="356"/>
      <c r="F483" s="348"/>
      <c r="G483" s="356"/>
    </row>
    <row r="484" spans="1:7" s="102" customFormat="1" ht="24.95" customHeight="1" x14ac:dyDescent="0.2">
      <c r="A484" s="264" t="s">
        <v>440</v>
      </c>
      <c r="B484" s="312" t="s">
        <v>441</v>
      </c>
      <c r="C484" s="328">
        <v>12020626</v>
      </c>
      <c r="D484" s="137" t="s">
        <v>177</v>
      </c>
      <c r="E484" s="243">
        <v>7000000</v>
      </c>
      <c r="F484" s="211">
        <f>715000+261568.86</f>
        <v>976568.86</v>
      </c>
      <c r="G484" s="243">
        <f t="shared" ref="G484:G488" si="50">0.4*E484</f>
        <v>2800000</v>
      </c>
    </row>
    <row r="485" spans="1:7" s="102" customFormat="1" ht="24.95" customHeight="1" x14ac:dyDescent="0.2">
      <c r="A485" s="265" t="s">
        <v>440</v>
      </c>
      <c r="B485" s="305" t="s">
        <v>441</v>
      </c>
      <c r="C485" s="143">
        <v>12020621</v>
      </c>
      <c r="D485" s="142" t="s">
        <v>442</v>
      </c>
      <c r="E485" s="283">
        <v>20000</v>
      </c>
      <c r="F485" s="284">
        <v>0</v>
      </c>
      <c r="G485" s="283">
        <f t="shared" si="50"/>
        <v>8000</v>
      </c>
    </row>
    <row r="486" spans="1:7" s="102" customFormat="1" ht="24.95" customHeight="1" x14ac:dyDescent="0.2">
      <c r="A486" s="264" t="s">
        <v>440</v>
      </c>
      <c r="B486" s="312" t="s">
        <v>441</v>
      </c>
      <c r="C486" s="328">
        <v>12020647</v>
      </c>
      <c r="D486" s="137" t="s">
        <v>589</v>
      </c>
      <c r="E486" s="243">
        <v>100000</v>
      </c>
      <c r="F486" s="211">
        <v>0</v>
      </c>
      <c r="G486" s="243">
        <f t="shared" si="50"/>
        <v>40000</v>
      </c>
    </row>
    <row r="487" spans="1:7" s="102" customFormat="1" ht="24.95" customHeight="1" x14ac:dyDescent="0.2">
      <c r="A487" s="264" t="s">
        <v>440</v>
      </c>
      <c r="B487" s="312" t="s">
        <v>441</v>
      </c>
      <c r="C487" s="328">
        <v>12020628</v>
      </c>
      <c r="D487" s="137" t="s">
        <v>448</v>
      </c>
      <c r="E487" s="243">
        <v>10000</v>
      </c>
      <c r="F487" s="211">
        <v>0</v>
      </c>
      <c r="G487" s="243">
        <f t="shared" si="50"/>
        <v>4000</v>
      </c>
    </row>
    <row r="488" spans="1:7" s="102" customFormat="1" ht="24.95" customHeight="1" x14ac:dyDescent="0.2">
      <c r="A488" s="264" t="s">
        <v>440</v>
      </c>
      <c r="B488" s="312" t="s">
        <v>441</v>
      </c>
      <c r="C488" s="328">
        <v>12020648</v>
      </c>
      <c r="D488" s="137" t="s">
        <v>443</v>
      </c>
      <c r="E488" s="243">
        <v>1500000</v>
      </c>
      <c r="F488" s="211">
        <v>0</v>
      </c>
      <c r="G488" s="243">
        <f t="shared" si="50"/>
        <v>600000</v>
      </c>
    </row>
    <row r="489" spans="1:7" s="102" customFormat="1" ht="24.95" customHeight="1" x14ac:dyDescent="0.2">
      <c r="A489" s="307"/>
      <c r="B489" s="208"/>
      <c r="C489" s="349"/>
      <c r="D489" s="208"/>
      <c r="E489" s="400">
        <f>SUM(E484:E488)</f>
        <v>8630000</v>
      </c>
      <c r="F489" s="204">
        <f>SUM(F484:F488)</f>
        <v>976568.86</v>
      </c>
      <c r="G489" s="400">
        <f>SUM(G484:G488)</f>
        <v>3452000</v>
      </c>
    </row>
    <row r="490" spans="1:7" s="102" customFormat="1" ht="24.95" customHeight="1" x14ac:dyDescent="0.2">
      <c r="A490" s="258"/>
      <c r="B490" s="214"/>
      <c r="C490" s="304"/>
      <c r="D490" s="259"/>
      <c r="E490" s="356"/>
      <c r="F490" s="348"/>
      <c r="G490" s="356"/>
    </row>
    <row r="491" spans="1:7" s="102" customFormat="1" ht="24.95" customHeight="1" x14ac:dyDescent="0.2">
      <c r="A491" s="264" t="s">
        <v>454</v>
      </c>
      <c r="B491" s="312" t="s">
        <v>455</v>
      </c>
      <c r="C491" s="328">
        <v>12020626</v>
      </c>
      <c r="D491" s="297" t="s">
        <v>296</v>
      </c>
      <c r="E491" s="243">
        <v>70000000</v>
      </c>
      <c r="F491" s="211">
        <v>56568479.380000003</v>
      </c>
      <c r="G491" s="243">
        <v>60000000</v>
      </c>
    </row>
    <row r="492" spans="1:7" s="102" customFormat="1" ht="24.95" customHeight="1" x14ac:dyDescent="0.2">
      <c r="A492" s="307"/>
      <c r="B492" s="208"/>
      <c r="C492" s="349"/>
      <c r="D492" s="208"/>
      <c r="E492" s="400">
        <f>SUM(E491:E491)</f>
        <v>70000000</v>
      </c>
      <c r="F492" s="204">
        <f>SUM(F491:F491)</f>
        <v>56568479.380000003</v>
      </c>
      <c r="G492" s="400">
        <f>SUM(G491:G491)</f>
        <v>60000000</v>
      </c>
    </row>
    <row r="493" spans="1:7" s="102" customFormat="1" ht="24.95" customHeight="1" x14ac:dyDescent="0.2">
      <c r="A493" s="258"/>
      <c r="B493" s="259"/>
      <c r="C493" s="304"/>
      <c r="D493" s="259"/>
      <c r="E493" s="401"/>
      <c r="F493" s="260"/>
      <c r="G493" s="401"/>
    </row>
    <row r="494" spans="1:7" s="102" customFormat="1" ht="24.95" customHeight="1" x14ac:dyDescent="0.2">
      <c r="A494" s="126" t="s">
        <v>96</v>
      </c>
      <c r="B494" s="137" t="s">
        <v>567</v>
      </c>
      <c r="C494" s="328">
        <v>12020648</v>
      </c>
      <c r="D494" s="137" t="s">
        <v>486</v>
      </c>
      <c r="E494" s="243">
        <v>0</v>
      </c>
      <c r="F494" s="211">
        <v>0</v>
      </c>
      <c r="G494" s="243">
        <f t="shared" ref="G494" si="51">0.4*E494</f>
        <v>0</v>
      </c>
    </row>
    <row r="495" spans="1:7" s="102" customFormat="1" ht="24.95" customHeight="1" x14ac:dyDescent="0.2">
      <c r="A495" s="141" t="s">
        <v>96</v>
      </c>
      <c r="B495" s="142" t="s">
        <v>567</v>
      </c>
      <c r="C495" s="350">
        <v>12020649</v>
      </c>
      <c r="D495" s="142" t="s">
        <v>479</v>
      </c>
      <c r="E495" s="283">
        <v>500000000</v>
      </c>
      <c r="F495" s="284">
        <v>0</v>
      </c>
      <c r="G495" s="283">
        <v>0</v>
      </c>
    </row>
    <row r="496" spans="1:7" s="102" customFormat="1" ht="24.95" customHeight="1" x14ac:dyDescent="0.2">
      <c r="A496" s="307"/>
      <c r="B496" s="208"/>
      <c r="C496" s="349"/>
      <c r="D496" s="208"/>
      <c r="E496" s="400">
        <f>SUM(E494:E495)</f>
        <v>500000000</v>
      </c>
      <c r="F496" s="204">
        <f>SUM(F494:F495)</f>
        <v>0</v>
      </c>
      <c r="G496" s="400">
        <f>SUM(G494:G495)</f>
        <v>0</v>
      </c>
    </row>
    <row r="497" spans="1:8" s="102" customFormat="1" ht="24.95" customHeight="1" x14ac:dyDescent="0.2">
      <c r="A497" s="198"/>
      <c r="B497" s="127"/>
      <c r="C497" s="138"/>
      <c r="D497" s="127"/>
      <c r="E497" s="179"/>
      <c r="F497" s="206"/>
      <c r="G497" s="179"/>
    </row>
    <row r="498" spans="1:8" s="102" customFormat="1" ht="24.95" customHeight="1" x14ac:dyDescent="0.2">
      <c r="A498" s="198"/>
      <c r="B498" s="127"/>
      <c r="C498" s="138"/>
      <c r="D498" s="127"/>
      <c r="E498" s="179"/>
      <c r="F498" s="206"/>
      <c r="G498" s="179"/>
    </row>
    <row r="499" spans="1:8" s="102" customFormat="1" ht="24.95" customHeight="1" x14ac:dyDescent="0.2">
      <c r="A499" s="471"/>
      <c r="B499" s="344"/>
      <c r="C499" s="143"/>
      <c r="D499" s="472" t="s">
        <v>547</v>
      </c>
      <c r="E499" s="330"/>
      <c r="F499" s="376"/>
      <c r="G499" s="330"/>
    </row>
    <row r="500" spans="1:8" s="101" customFormat="1" ht="38.25" x14ac:dyDescent="0.25">
      <c r="A500" s="468" t="s">
        <v>352</v>
      </c>
      <c r="B500" s="468" t="s">
        <v>351</v>
      </c>
      <c r="C500" s="468" t="s">
        <v>94</v>
      </c>
      <c r="D500" s="468" t="s">
        <v>353</v>
      </c>
      <c r="E500" s="496" t="s">
        <v>618</v>
      </c>
      <c r="F500" s="496" t="s">
        <v>638</v>
      </c>
      <c r="G500" s="496" t="s">
        <v>637</v>
      </c>
    </row>
    <row r="501" spans="1:8" ht="24.95" customHeight="1" x14ac:dyDescent="0.2">
      <c r="A501" s="222"/>
      <c r="B501" s="134"/>
      <c r="C501" s="133">
        <v>120207</v>
      </c>
      <c r="D501" s="134" t="s">
        <v>178</v>
      </c>
      <c r="E501" s="135">
        <f>E505+E509+E511+E514+E518+E528+E542+E547+E550+E556+E558+E560+E569+E580+E588+E591</f>
        <v>517545000</v>
      </c>
      <c r="F501" s="136">
        <f>F505+F509+F511+F514+F518+F528+F542+F547+F550+F556+F558+F560+F569+F580+F588+F591</f>
        <v>199929367.04000002</v>
      </c>
      <c r="G501" s="135">
        <f>G505+G509+G511+G514+G518+G528+G542+G547+G550+G556+G558+G560+G569+G580+G588+G591</f>
        <v>296598000</v>
      </c>
    </row>
    <row r="502" spans="1:8" ht="24.95" customHeight="1" x14ac:dyDescent="0.2">
      <c r="A502" s="253">
        <v>12300100100</v>
      </c>
      <c r="B502" s="137" t="s">
        <v>300</v>
      </c>
      <c r="C502" s="138">
        <v>12020701</v>
      </c>
      <c r="D502" s="137" t="s">
        <v>179</v>
      </c>
      <c r="E502" s="139">
        <v>2000000</v>
      </c>
      <c r="F502" s="140">
        <v>296400</v>
      </c>
      <c r="G502" s="139">
        <v>1500000</v>
      </c>
    </row>
    <row r="503" spans="1:8" ht="24.95" customHeight="1" x14ac:dyDescent="0.2">
      <c r="A503" s="253">
        <v>12300100100</v>
      </c>
      <c r="B503" s="137" t="s">
        <v>300</v>
      </c>
      <c r="C503" s="138">
        <v>12020702</v>
      </c>
      <c r="D503" s="137" t="s">
        <v>181</v>
      </c>
      <c r="E503" s="139">
        <v>500000</v>
      </c>
      <c r="F503" s="140">
        <f>100000+100000</f>
        <v>200000</v>
      </c>
      <c r="G503" s="139">
        <f t="shared" ref="G503:G504" si="52">0.4*E503</f>
        <v>200000</v>
      </c>
    </row>
    <row r="504" spans="1:8" ht="24.95" customHeight="1" x14ac:dyDescent="0.2">
      <c r="A504" s="253">
        <v>12300100100</v>
      </c>
      <c r="B504" s="137" t="s">
        <v>300</v>
      </c>
      <c r="C504" s="138">
        <v>12020703</v>
      </c>
      <c r="D504" s="137" t="s">
        <v>182</v>
      </c>
      <c r="E504" s="139">
        <v>100000</v>
      </c>
      <c r="F504" s="140">
        <v>0</v>
      </c>
      <c r="G504" s="139">
        <f t="shared" si="52"/>
        <v>40000</v>
      </c>
    </row>
    <row r="505" spans="1:8" ht="24.95" customHeight="1" x14ac:dyDescent="0.2">
      <c r="A505" s="225"/>
      <c r="B505" s="226"/>
      <c r="C505" s="225"/>
      <c r="D505" s="226"/>
      <c r="E505" s="149">
        <f>SUM(E502:E504)</f>
        <v>2600000</v>
      </c>
      <c r="F505" s="209">
        <f>SUM(F502:F504)</f>
        <v>496400</v>
      </c>
      <c r="G505" s="149">
        <f>SUM(G502:G504)</f>
        <v>1740000</v>
      </c>
    </row>
    <row r="506" spans="1:8" s="104" customFormat="1" ht="24.95" customHeight="1" x14ac:dyDescent="0.2">
      <c r="A506" s="126"/>
      <c r="B506" s="137"/>
      <c r="C506" s="179"/>
      <c r="D506" s="180"/>
      <c r="E506" s="285"/>
      <c r="F506" s="212"/>
      <c r="G506" s="285"/>
    </row>
    <row r="507" spans="1:8" s="104" customFormat="1" ht="24.95" customHeight="1" x14ac:dyDescent="0.2">
      <c r="A507" s="126" t="s">
        <v>26</v>
      </c>
      <c r="B507" s="137" t="s">
        <v>609</v>
      </c>
      <c r="C507" s="138">
        <v>12020704</v>
      </c>
      <c r="D507" s="137" t="s">
        <v>180</v>
      </c>
      <c r="E507" s="139">
        <v>150000</v>
      </c>
      <c r="F507" s="140">
        <v>61500</v>
      </c>
      <c r="G507" s="139">
        <v>80000</v>
      </c>
      <c r="H507" s="100"/>
    </row>
    <row r="508" spans="1:8" s="104" customFormat="1" ht="24.95" customHeight="1" x14ac:dyDescent="0.2">
      <c r="A508" s="126" t="s">
        <v>26</v>
      </c>
      <c r="B508" s="137" t="s">
        <v>609</v>
      </c>
      <c r="C508" s="138">
        <v>12020705</v>
      </c>
      <c r="D508" s="137" t="s">
        <v>360</v>
      </c>
      <c r="E508" s="139">
        <v>0</v>
      </c>
      <c r="F508" s="140">
        <v>0</v>
      </c>
      <c r="G508" s="139">
        <v>0</v>
      </c>
      <c r="H508" s="100"/>
    </row>
    <row r="509" spans="1:8" s="104" customFormat="1" ht="24.95" customHeight="1" x14ac:dyDescent="0.2">
      <c r="A509" s="223"/>
      <c r="B509" s="226"/>
      <c r="C509" s="225"/>
      <c r="D509" s="226"/>
      <c r="E509" s="149">
        <f>SUM(E507:E508)</f>
        <v>150000</v>
      </c>
      <c r="F509" s="209">
        <f>SUM(F507:F508)</f>
        <v>61500</v>
      </c>
      <c r="G509" s="149">
        <f>SUM(G507:G508)</f>
        <v>80000</v>
      </c>
      <c r="H509" s="100"/>
    </row>
    <row r="510" spans="1:8" s="104" customFormat="1" ht="24.95" customHeight="1" x14ac:dyDescent="0.2">
      <c r="A510" s="126" t="s">
        <v>48</v>
      </c>
      <c r="B510" s="137" t="s">
        <v>356</v>
      </c>
      <c r="C510" s="328">
        <v>12020706</v>
      </c>
      <c r="D510" s="137" t="s">
        <v>334</v>
      </c>
      <c r="E510" s="243">
        <v>0</v>
      </c>
      <c r="F510" s="211">
        <v>0</v>
      </c>
      <c r="G510" s="243">
        <v>0</v>
      </c>
    </row>
    <row r="511" spans="1:8" s="104" customFormat="1" ht="24.95" customHeight="1" x14ac:dyDescent="0.2">
      <c r="A511" s="223"/>
      <c r="B511" s="226"/>
      <c r="C511" s="203"/>
      <c r="D511" s="226"/>
      <c r="E511" s="177">
        <f>SUM(E510)</f>
        <v>0</v>
      </c>
      <c r="F511" s="204">
        <f>SUM(F510)</f>
        <v>0</v>
      </c>
      <c r="G511" s="177">
        <f>SUM(G510)</f>
        <v>0</v>
      </c>
    </row>
    <row r="512" spans="1:8" s="104" customFormat="1" ht="24.95" customHeight="1" x14ac:dyDescent="0.2">
      <c r="A512" s="320"/>
      <c r="B512" s="127"/>
      <c r="C512" s="250"/>
      <c r="D512" s="127"/>
      <c r="E512" s="341"/>
      <c r="F512" s="201"/>
      <c r="G512" s="341"/>
      <c r="H512" s="100"/>
    </row>
    <row r="513" spans="1:8" s="104" customFormat="1" ht="24.95" customHeight="1" x14ac:dyDescent="0.2">
      <c r="A513" s="126" t="s">
        <v>96</v>
      </c>
      <c r="B513" s="137" t="s">
        <v>567</v>
      </c>
      <c r="C513" s="138">
        <v>12020707</v>
      </c>
      <c r="D513" s="137" t="s">
        <v>183</v>
      </c>
      <c r="E513" s="139">
        <v>15000000</v>
      </c>
      <c r="F513" s="140">
        <v>1775000</v>
      </c>
      <c r="G513" s="139">
        <f t="shared" ref="G513" si="53">0.4*E513</f>
        <v>6000000</v>
      </c>
      <c r="H513" s="100"/>
    </row>
    <row r="514" spans="1:8" s="104" customFormat="1" ht="24.95" customHeight="1" x14ac:dyDescent="0.2">
      <c r="A514" s="223"/>
      <c r="B514" s="226"/>
      <c r="C514" s="225"/>
      <c r="D514" s="226"/>
      <c r="E514" s="149">
        <f>SUM(E513)</f>
        <v>15000000</v>
      </c>
      <c r="F514" s="209">
        <f>SUM(F513)</f>
        <v>1775000</v>
      </c>
      <c r="G514" s="149">
        <f>SUM(G513)</f>
        <v>6000000</v>
      </c>
      <c r="H514" s="100"/>
    </row>
    <row r="515" spans="1:8" s="104" customFormat="1" ht="24.95" customHeight="1" x14ac:dyDescent="0.2">
      <c r="A515" s="126"/>
      <c r="B515" s="137"/>
      <c r="C515" s="179"/>
      <c r="D515" s="180"/>
      <c r="E515" s="285"/>
      <c r="F515" s="212"/>
      <c r="G515" s="285"/>
    </row>
    <row r="516" spans="1:8" s="104" customFormat="1" ht="24.95" customHeight="1" x14ac:dyDescent="0.2">
      <c r="A516" s="126" t="s">
        <v>57</v>
      </c>
      <c r="B516" s="137" t="s">
        <v>58</v>
      </c>
      <c r="C516" s="138">
        <v>12020708</v>
      </c>
      <c r="D516" s="137" t="s">
        <v>305</v>
      </c>
      <c r="E516" s="173">
        <v>0</v>
      </c>
      <c r="F516" s="174">
        <v>0</v>
      </c>
      <c r="G516" s="173">
        <v>0</v>
      </c>
    </row>
    <row r="517" spans="1:8" ht="24.95" customHeight="1" x14ac:dyDescent="0.2">
      <c r="A517" s="126" t="s">
        <v>57</v>
      </c>
      <c r="B517" s="137" t="s">
        <v>58</v>
      </c>
      <c r="C517" s="138">
        <v>12020709</v>
      </c>
      <c r="D517" s="137" t="s">
        <v>184</v>
      </c>
      <c r="E517" s="173">
        <v>200000</v>
      </c>
      <c r="F517" s="174">
        <v>193000</v>
      </c>
      <c r="G517" s="173">
        <v>400000</v>
      </c>
      <c r="H517" s="104"/>
    </row>
    <row r="518" spans="1:8" ht="24.95" customHeight="1" x14ac:dyDescent="0.2">
      <c r="A518" s="213"/>
      <c r="B518" s="214"/>
      <c r="C518" s="215"/>
      <c r="D518" s="214"/>
      <c r="E518" s="277">
        <f>SUM(E516:E517)</f>
        <v>200000</v>
      </c>
      <c r="F518" s="278">
        <f>SUM(F516:F517)</f>
        <v>193000</v>
      </c>
      <c r="G518" s="277">
        <f>SUM(G516:G517)</f>
        <v>400000</v>
      </c>
      <c r="H518" s="104"/>
    </row>
    <row r="519" spans="1:8" ht="24.95" customHeight="1" x14ac:dyDescent="0.2">
      <c r="A519" s="362"/>
      <c r="B519" s="456"/>
      <c r="C519" s="324"/>
      <c r="D519" s="475" t="s">
        <v>548</v>
      </c>
      <c r="E519" s="482"/>
      <c r="F519" s="483"/>
      <c r="G519" s="482"/>
      <c r="H519" s="104"/>
    </row>
    <row r="520" spans="1:8" s="101" customFormat="1" ht="38.25" x14ac:dyDescent="0.25">
      <c r="A520" s="115" t="s">
        <v>352</v>
      </c>
      <c r="B520" s="115" t="s">
        <v>351</v>
      </c>
      <c r="C520" s="115" t="s">
        <v>94</v>
      </c>
      <c r="D520" s="115" t="s">
        <v>353</v>
      </c>
      <c r="E520" s="496" t="s">
        <v>618</v>
      </c>
      <c r="F520" s="496" t="s">
        <v>638</v>
      </c>
      <c r="G520" s="496" t="s">
        <v>637</v>
      </c>
    </row>
    <row r="521" spans="1:8" ht="24.95" customHeight="1" x14ac:dyDescent="0.2">
      <c r="A521" s="126" t="s">
        <v>82</v>
      </c>
      <c r="B521" s="137" t="s">
        <v>83</v>
      </c>
      <c r="C521" s="138">
        <v>12020710</v>
      </c>
      <c r="D521" s="137" t="s">
        <v>185</v>
      </c>
      <c r="E521" s="139">
        <v>130000000</v>
      </c>
      <c r="F521" s="140">
        <f>37092274+18041696.46</f>
        <v>55133970.460000001</v>
      </c>
      <c r="G521" s="139">
        <v>80000000</v>
      </c>
    </row>
    <row r="522" spans="1:8" ht="24.95" customHeight="1" x14ac:dyDescent="0.2">
      <c r="A522" s="126" t="s">
        <v>82</v>
      </c>
      <c r="B522" s="137" t="s">
        <v>83</v>
      </c>
      <c r="C522" s="138">
        <v>12020711</v>
      </c>
      <c r="D522" s="137" t="s">
        <v>186</v>
      </c>
      <c r="E522" s="139">
        <v>60000000</v>
      </c>
      <c r="F522" s="140">
        <f>25054290+10004450</f>
        <v>35058740</v>
      </c>
      <c r="G522" s="139">
        <v>50000000</v>
      </c>
      <c r="H522" s="108"/>
    </row>
    <row r="523" spans="1:8" s="102" customFormat="1" ht="24.95" customHeight="1" x14ac:dyDescent="0.2">
      <c r="A523" s="126" t="s">
        <v>82</v>
      </c>
      <c r="B523" s="137" t="s">
        <v>83</v>
      </c>
      <c r="C523" s="138">
        <v>12020712</v>
      </c>
      <c r="D523" s="137" t="s">
        <v>187</v>
      </c>
      <c r="E523" s="139">
        <v>7000000</v>
      </c>
      <c r="F523" s="140">
        <f>1242800+546400</f>
        <v>1789200</v>
      </c>
      <c r="G523" s="139">
        <v>3500000</v>
      </c>
      <c r="H523" s="100"/>
    </row>
    <row r="524" spans="1:8" ht="24.95" customHeight="1" x14ac:dyDescent="0.2">
      <c r="A524" s="126" t="s">
        <v>82</v>
      </c>
      <c r="B524" s="137" t="s">
        <v>83</v>
      </c>
      <c r="C524" s="138">
        <v>12020713</v>
      </c>
      <c r="D524" s="137" t="s">
        <v>188</v>
      </c>
      <c r="E524" s="139">
        <v>10000000</v>
      </c>
      <c r="F524" s="140">
        <f>2823050+888550</f>
        <v>3711600</v>
      </c>
      <c r="G524" s="139">
        <v>8000000</v>
      </c>
      <c r="H524" s="102"/>
    </row>
    <row r="525" spans="1:8" ht="24.95" customHeight="1" x14ac:dyDescent="0.2">
      <c r="A525" s="126" t="s">
        <v>82</v>
      </c>
      <c r="B525" s="137" t="s">
        <v>83</v>
      </c>
      <c r="C525" s="138">
        <v>12020714</v>
      </c>
      <c r="D525" s="137" t="s">
        <v>189</v>
      </c>
      <c r="E525" s="139">
        <v>25000000</v>
      </c>
      <c r="F525" s="140">
        <f>16806450+7413700</f>
        <v>24220150</v>
      </c>
      <c r="G525" s="139">
        <v>30000000</v>
      </c>
      <c r="H525" s="102"/>
    </row>
    <row r="526" spans="1:8" ht="24.95" customHeight="1" x14ac:dyDescent="0.2">
      <c r="A526" s="126" t="s">
        <v>82</v>
      </c>
      <c r="B526" s="137" t="s">
        <v>83</v>
      </c>
      <c r="C526" s="138">
        <v>12020715</v>
      </c>
      <c r="D526" s="137" t="s">
        <v>626</v>
      </c>
      <c r="E526" s="139">
        <v>0</v>
      </c>
      <c r="F526" s="140">
        <f>1699800+242400</f>
        <v>1942200</v>
      </c>
      <c r="G526" s="139">
        <v>5000000</v>
      </c>
      <c r="H526" s="102"/>
    </row>
    <row r="527" spans="1:8" ht="24.95" customHeight="1" x14ac:dyDescent="0.2">
      <c r="A527" s="141" t="s">
        <v>82</v>
      </c>
      <c r="B527" s="142" t="s">
        <v>83</v>
      </c>
      <c r="C527" s="143">
        <v>12020716</v>
      </c>
      <c r="D527" s="142" t="s">
        <v>625</v>
      </c>
      <c r="E527" s="144">
        <v>0</v>
      </c>
      <c r="F527" s="145">
        <f>1603250+960850</f>
        <v>2564100</v>
      </c>
      <c r="G527" s="144">
        <v>4800000</v>
      </c>
    </row>
    <row r="528" spans="1:8" ht="24.95" customHeight="1" x14ac:dyDescent="0.2">
      <c r="A528" s="146"/>
      <c r="B528" s="377"/>
      <c r="C528" s="177"/>
      <c r="D528" s="177"/>
      <c r="E528" s="177">
        <f>SUM(E521:E527)</f>
        <v>232000000</v>
      </c>
      <c r="F528" s="204">
        <f>SUM(F521:F527)</f>
        <v>124419960.46000001</v>
      </c>
      <c r="G528" s="177">
        <f>SUM(G521:G527)</f>
        <v>181300000</v>
      </c>
    </row>
    <row r="529" spans="1:8" ht="24.95" customHeight="1" x14ac:dyDescent="0.2">
      <c r="A529" s="126" t="s">
        <v>59</v>
      </c>
      <c r="B529" s="137" t="s">
        <v>60</v>
      </c>
      <c r="C529" s="138">
        <v>12020715</v>
      </c>
      <c r="D529" s="137" t="s">
        <v>190</v>
      </c>
      <c r="E529" s="139">
        <v>100000000</v>
      </c>
      <c r="F529" s="140">
        <f>28947238+14901065</f>
        <v>43848303</v>
      </c>
      <c r="G529" s="139">
        <f t="shared" ref="G529:G534" si="54">0.4*E529</f>
        <v>40000000</v>
      </c>
    </row>
    <row r="530" spans="1:8" s="104" customFormat="1" ht="24.95" customHeight="1" x14ac:dyDescent="0.2">
      <c r="A530" s="126" t="s">
        <v>59</v>
      </c>
      <c r="B530" s="137" t="s">
        <v>60</v>
      </c>
      <c r="C530" s="138">
        <v>12020716</v>
      </c>
      <c r="D530" s="137" t="s">
        <v>191</v>
      </c>
      <c r="E530" s="139">
        <v>4000000</v>
      </c>
      <c r="F530" s="140">
        <f>1549080+706550</f>
        <v>2255630</v>
      </c>
      <c r="G530" s="139">
        <f t="shared" si="54"/>
        <v>1600000</v>
      </c>
      <c r="H530" s="100"/>
    </row>
    <row r="531" spans="1:8" s="104" customFormat="1" ht="24.95" customHeight="1" x14ac:dyDescent="0.2">
      <c r="A531" s="126" t="s">
        <v>59</v>
      </c>
      <c r="B531" s="137" t="s">
        <v>60</v>
      </c>
      <c r="C531" s="138">
        <v>12020717</v>
      </c>
      <c r="D531" s="137" t="s">
        <v>192</v>
      </c>
      <c r="E531" s="139">
        <v>2000000</v>
      </c>
      <c r="F531" s="140">
        <f>514000+244800</f>
        <v>758800</v>
      </c>
      <c r="G531" s="139">
        <f t="shared" si="54"/>
        <v>800000</v>
      </c>
    </row>
    <row r="532" spans="1:8" s="104" customFormat="1" ht="24.95" customHeight="1" x14ac:dyDescent="0.2">
      <c r="A532" s="126" t="s">
        <v>59</v>
      </c>
      <c r="B532" s="137" t="s">
        <v>60</v>
      </c>
      <c r="C532" s="138">
        <v>12020718</v>
      </c>
      <c r="D532" s="137" t="s">
        <v>281</v>
      </c>
      <c r="E532" s="139">
        <v>10000000</v>
      </c>
      <c r="F532" s="140">
        <f>2784150+1375400</f>
        <v>4159550</v>
      </c>
      <c r="G532" s="139">
        <f t="shared" si="54"/>
        <v>4000000</v>
      </c>
    </row>
    <row r="533" spans="1:8" s="104" customFormat="1" ht="24.95" customHeight="1" x14ac:dyDescent="0.2">
      <c r="A533" s="126" t="s">
        <v>59</v>
      </c>
      <c r="B533" s="137" t="s">
        <v>60</v>
      </c>
      <c r="C533" s="138">
        <v>12020719</v>
      </c>
      <c r="D533" s="137" t="s">
        <v>193</v>
      </c>
      <c r="E533" s="139">
        <v>150000</v>
      </c>
      <c r="F533" s="140">
        <f>28690+20650</f>
        <v>49340</v>
      </c>
      <c r="G533" s="139">
        <f t="shared" si="54"/>
        <v>60000</v>
      </c>
    </row>
    <row r="534" spans="1:8" ht="24.95" customHeight="1" x14ac:dyDescent="0.2">
      <c r="A534" s="141" t="s">
        <v>59</v>
      </c>
      <c r="B534" s="142" t="s">
        <v>60</v>
      </c>
      <c r="C534" s="143">
        <v>12020720</v>
      </c>
      <c r="D534" s="142" t="s">
        <v>319</v>
      </c>
      <c r="E534" s="144">
        <v>3000000</v>
      </c>
      <c r="F534" s="145">
        <f>727670+517270</f>
        <v>1244940</v>
      </c>
      <c r="G534" s="144">
        <f t="shared" si="54"/>
        <v>1200000</v>
      </c>
      <c r="H534" s="104"/>
    </row>
    <row r="535" spans="1:8" ht="16.5" customHeight="1" x14ac:dyDescent="0.2"/>
    <row r="536" spans="1:8" s="104" customFormat="1" ht="24.95" customHeight="1" x14ac:dyDescent="0.2">
      <c r="A536" s="126" t="s">
        <v>59</v>
      </c>
      <c r="B536" s="137" t="s">
        <v>60</v>
      </c>
      <c r="C536" s="138">
        <v>12020721</v>
      </c>
      <c r="D536" s="137" t="s">
        <v>195</v>
      </c>
      <c r="E536" s="139">
        <f>5000000-1000000</f>
        <v>4000000</v>
      </c>
      <c r="F536" s="140">
        <f>1133600+844750</f>
        <v>1978350</v>
      </c>
      <c r="G536" s="139">
        <f t="shared" ref="G536:G539" si="55">0.4*E536</f>
        <v>1600000</v>
      </c>
      <c r="H536" s="100"/>
    </row>
    <row r="537" spans="1:8" s="104" customFormat="1" ht="24.95" customHeight="1" x14ac:dyDescent="0.2">
      <c r="A537" s="126" t="s">
        <v>59</v>
      </c>
      <c r="B537" s="137" t="s">
        <v>60</v>
      </c>
      <c r="C537" s="138">
        <v>12020722</v>
      </c>
      <c r="D537" s="137" t="s">
        <v>196</v>
      </c>
      <c r="E537" s="139">
        <v>100000</v>
      </c>
      <c r="F537" s="140">
        <f>47000+23800</f>
        <v>70800</v>
      </c>
      <c r="G537" s="139">
        <f t="shared" si="55"/>
        <v>40000</v>
      </c>
    </row>
    <row r="538" spans="1:8" s="104" customFormat="1" ht="24.95" customHeight="1" x14ac:dyDescent="0.2">
      <c r="A538" s="126" t="s">
        <v>59</v>
      </c>
      <c r="B538" s="137" t="s">
        <v>60</v>
      </c>
      <c r="C538" s="138">
        <v>12020723</v>
      </c>
      <c r="D538" s="137" t="s">
        <v>197</v>
      </c>
      <c r="E538" s="139">
        <v>1000000</v>
      </c>
      <c r="F538" s="140">
        <f>37450+77600</f>
        <v>115050</v>
      </c>
      <c r="G538" s="139">
        <f t="shared" si="55"/>
        <v>400000</v>
      </c>
    </row>
    <row r="539" spans="1:8" s="104" customFormat="1" ht="24.95" customHeight="1" x14ac:dyDescent="0.2">
      <c r="A539" s="126" t="s">
        <v>59</v>
      </c>
      <c r="B539" s="137" t="s">
        <v>60</v>
      </c>
      <c r="C539" s="138">
        <v>12020724</v>
      </c>
      <c r="D539" s="137" t="s">
        <v>617</v>
      </c>
      <c r="E539" s="139">
        <v>1000000</v>
      </c>
      <c r="F539" s="140">
        <v>0</v>
      </c>
      <c r="G539" s="139">
        <f t="shared" si="55"/>
        <v>400000</v>
      </c>
    </row>
    <row r="540" spans="1:8" s="104" customFormat="1" ht="24.95" customHeight="1" x14ac:dyDescent="0.2">
      <c r="A540" s="126" t="s">
        <v>59</v>
      </c>
      <c r="B540" s="137" t="s">
        <v>60</v>
      </c>
      <c r="C540" s="138">
        <v>12020725</v>
      </c>
      <c r="D540" s="137" t="s">
        <v>282</v>
      </c>
      <c r="E540" s="139">
        <v>300000</v>
      </c>
      <c r="F540" s="140">
        <f>95350+38950</f>
        <v>134300</v>
      </c>
      <c r="G540" s="139">
        <v>200000</v>
      </c>
    </row>
    <row r="541" spans="1:8" ht="24.95" customHeight="1" x14ac:dyDescent="0.2">
      <c r="A541" s="126" t="s">
        <v>59</v>
      </c>
      <c r="B541" s="137" t="s">
        <v>60</v>
      </c>
      <c r="C541" s="138">
        <v>12020726</v>
      </c>
      <c r="D541" s="137" t="s">
        <v>194</v>
      </c>
      <c r="E541" s="139">
        <v>200000</v>
      </c>
      <c r="F541" s="140">
        <f>45300+60600</f>
        <v>105900</v>
      </c>
      <c r="G541" s="139">
        <v>200000</v>
      </c>
      <c r="H541" s="104"/>
    </row>
    <row r="542" spans="1:8" ht="15.75" customHeight="1" x14ac:dyDescent="0.2">
      <c r="A542" s="223"/>
      <c r="B542" s="226"/>
      <c r="C542" s="225"/>
      <c r="D542" s="226"/>
      <c r="E542" s="149">
        <f>SUM(E529:E541)</f>
        <v>125750000</v>
      </c>
      <c r="F542" s="209">
        <f>SUM(F529:F541)</f>
        <v>54720963</v>
      </c>
      <c r="G542" s="149">
        <f>SUM(G529:G541)</f>
        <v>50500000</v>
      </c>
      <c r="H542" s="104"/>
    </row>
    <row r="543" spans="1:8" ht="15.75" customHeight="1" x14ac:dyDescent="0.2">
      <c r="A543" s="198"/>
      <c r="B543" s="127"/>
      <c r="C543" s="179"/>
      <c r="D543" s="274" t="s">
        <v>410</v>
      </c>
      <c r="E543" s="179"/>
      <c r="F543" s="206"/>
      <c r="G543" s="179"/>
    </row>
    <row r="544" spans="1:8" s="101" customFormat="1" ht="38.25" x14ac:dyDescent="0.25">
      <c r="A544" s="115" t="s">
        <v>352</v>
      </c>
      <c r="B544" s="115" t="s">
        <v>351</v>
      </c>
      <c r="C544" s="115" t="s">
        <v>94</v>
      </c>
      <c r="D544" s="115" t="s">
        <v>353</v>
      </c>
      <c r="E544" s="496" t="s">
        <v>618</v>
      </c>
      <c r="F544" s="496" t="s">
        <v>638</v>
      </c>
      <c r="G544" s="496" t="s">
        <v>637</v>
      </c>
    </row>
    <row r="545" spans="1:8" ht="21.75" customHeight="1" x14ac:dyDescent="0.2">
      <c r="A545" s="126" t="s">
        <v>86</v>
      </c>
      <c r="B545" s="137" t="s">
        <v>87</v>
      </c>
      <c r="C545" s="138">
        <v>12020726</v>
      </c>
      <c r="D545" s="175" t="s">
        <v>198</v>
      </c>
      <c r="E545" s="288">
        <v>6000000</v>
      </c>
      <c r="F545" s="289">
        <f>1413000+1247000</f>
        <v>2660000</v>
      </c>
      <c r="G545" s="288">
        <v>3500000</v>
      </c>
    </row>
    <row r="546" spans="1:8" ht="18" customHeight="1" x14ac:dyDescent="0.2">
      <c r="A546" s="126" t="s">
        <v>86</v>
      </c>
      <c r="B546" s="137" t="s">
        <v>87</v>
      </c>
      <c r="C546" s="138">
        <v>12020727</v>
      </c>
      <c r="D546" s="175" t="s">
        <v>199</v>
      </c>
      <c r="E546" s="288">
        <v>4000000</v>
      </c>
      <c r="F546" s="289">
        <f>942000+832000</f>
        <v>1774000</v>
      </c>
      <c r="G546" s="288">
        <v>2500000</v>
      </c>
    </row>
    <row r="547" spans="1:8" ht="18" customHeight="1" x14ac:dyDescent="0.2">
      <c r="A547" s="223"/>
      <c r="B547" s="226"/>
      <c r="C547" s="225"/>
      <c r="D547" s="224"/>
      <c r="E547" s="281">
        <f>SUM(E545:E546)</f>
        <v>10000000</v>
      </c>
      <c r="F547" s="290">
        <f>SUM(F545:F546)</f>
        <v>4434000</v>
      </c>
      <c r="G547" s="281">
        <f>SUM(G545:G546)</f>
        <v>6000000</v>
      </c>
    </row>
    <row r="548" spans="1:8" ht="24.95" customHeight="1" x14ac:dyDescent="0.2">
      <c r="A548" s="126" t="s">
        <v>56</v>
      </c>
      <c r="B548" s="137" t="s">
        <v>609</v>
      </c>
      <c r="C548" s="138">
        <v>12020728</v>
      </c>
      <c r="D548" s="137" t="s">
        <v>633</v>
      </c>
      <c r="E548" s="243">
        <v>0</v>
      </c>
      <c r="F548" s="211">
        <v>160000</v>
      </c>
      <c r="G548" s="243">
        <v>300000</v>
      </c>
    </row>
    <row r="549" spans="1:8" ht="24.95" customHeight="1" x14ac:dyDescent="0.2">
      <c r="A549" s="126" t="s">
        <v>56</v>
      </c>
      <c r="B549" s="137" t="s">
        <v>609</v>
      </c>
      <c r="C549" s="138">
        <v>12020729</v>
      </c>
      <c r="D549" s="137" t="s">
        <v>233</v>
      </c>
      <c r="E549" s="243">
        <v>0</v>
      </c>
      <c r="F549" s="211">
        <v>0</v>
      </c>
      <c r="G549" s="243">
        <v>0</v>
      </c>
    </row>
    <row r="550" spans="1:8" ht="12.75" customHeight="1" x14ac:dyDescent="0.2">
      <c r="A550" s="223"/>
      <c r="B550" s="226"/>
      <c r="C550" s="225"/>
      <c r="D550" s="226"/>
      <c r="E550" s="177">
        <f>SUM(E548:E549)</f>
        <v>0</v>
      </c>
      <c r="F550" s="204">
        <f>SUM(F548:F549)</f>
        <v>160000</v>
      </c>
      <c r="G550" s="177">
        <f>SUM(G548:G549)</f>
        <v>300000</v>
      </c>
    </row>
    <row r="551" spans="1:8" ht="15" customHeight="1" x14ac:dyDescent="0.2">
      <c r="A551" s="352"/>
      <c r="B551" s="312"/>
      <c r="C551" s="179"/>
      <c r="D551" s="180"/>
      <c r="E551" s="285"/>
      <c r="F551" s="212"/>
      <c r="G551" s="285"/>
      <c r="H551" s="104"/>
    </row>
    <row r="552" spans="1:8" ht="24.95" customHeight="1" x14ac:dyDescent="0.2">
      <c r="A552" s="352" t="s">
        <v>311</v>
      </c>
      <c r="B552" s="312" t="s">
        <v>312</v>
      </c>
      <c r="C552" s="138">
        <v>12020730</v>
      </c>
      <c r="D552" s="242" t="s">
        <v>313</v>
      </c>
      <c r="E552" s="211">
        <v>0</v>
      </c>
      <c r="F552" s="211">
        <v>0</v>
      </c>
      <c r="G552" s="211">
        <v>0</v>
      </c>
      <c r="H552" s="104"/>
    </row>
    <row r="553" spans="1:8" ht="24.95" customHeight="1" x14ac:dyDescent="0.2">
      <c r="A553" s="352" t="s">
        <v>311</v>
      </c>
      <c r="B553" s="312" t="s">
        <v>312</v>
      </c>
      <c r="C553" s="138">
        <v>12020731</v>
      </c>
      <c r="D553" s="242" t="s">
        <v>314</v>
      </c>
      <c r="E553" s="211">
        <v>0</v>
      </c>
      <c r="F553" s="211">
        <v>0</v>
      </c>
      <c r="G553" s="211">
        <v>0</v>
      </c>
      <c r="H553" s="104"/>
    </row>
    <row r="554" spans="1:8" ht="24.95" customHeight="1" x14ac:dyDescent="0.2">
      <c r="A554" s="352" t="s">
        <v>311</v>
      </c>
      <c r="B554" s="312" t="s">
        <v>312</v>
      </c>
      <c r="C554" s="138">
        <v>12020732</v>
      </c>
      <c r="D554" s="242" t="s">
        <v>315</v>
      </c>
      <c r="E554" s="211">
        <v>0</v>
      </c>
      <c r="F554" s="211">
        <v>0</v>
      </c>
      <c r="G554" s="211">
        <v>0</v>
      </c>
      <c r="H554" s="104"/>
    </row>
    <row r="555" spans="1:8" ht="24.95" customHeight="1" x14ac:dyDescent="0.2">
      <c r="A555" s="353" t="s">
        <v>311</v>
      </c>
      <c r="B555" s="305" t="s">
        <v>312</v>
      </c>
      <c r="C555" s="143">
        <v>12020733</v>
      </c>
      <c r="D555" s="301" t="s">
        <v>316</v>
      </c>
      <c r="E555" s="284">
        <v>0</v>
      </c>
      <c r="F555" s="284">
        <v>0</v>
      </c>
      <c r="G555" s="284">
        <v>0</v>
      </c>
      <c r="H555" s="104"/>
    </row>
    <row r="556" spans="1:8" ht="9.75" customHeight="1" x14ac:dyDescent="0.2">
      <c r="A556" s="354"/>
      <c r="B556" s="225"/>
      <c r="C556" s="225"/>
      <c r="D556" s="203"/>
      <c r="E556" s="177">
        <f>SUM(E552:E555)</f>
        <v>0</v>
      </c>
      <c r="F556" s="204">
        <f>SUM(F552:F555)</f>
        <v>0</v>
      </c>
      <c r="G556" s="177">
        <f>SUM(G552:G555)</f>
        <v>0</v>
      </c>
      <c r="H556" s="104"/>
    </row>
    <row r="557" spans="1:8" ht="24.95" customHeight="1" x14ac:dyDescent="0.2">
      <c r="A557" s="126" t="s">
        <v>46</v>
      </c>
      <c r="B557" s="137" t="s">
        <v>47</v>
      </c>
      <c r="C557" s="138">
        <v>12020734</v>
      </c>
      <c r="D557" s="242" t="s">
        <v>328</v>
      </c>
      <c r="E557" s="243">
        <v>100000</v>
      </c>
      <c r="F557" s="211">
        <v>0</v>
      </c>
      <c r="G557" s="243"/>
      <c r="H557" s="104"/>
    </row>
    <row r="558" spans="1:8" ht="13.5" customHeight="1" x14ac:dyDescent="0.2">
      <c r="A558" s="223"/>
      <c r="B558" s="226"/>
      <c r="C558" s="225"/>
      <c r="D558" s="203"/>
      <c r="E558" s="177">
        <f>SUM(E557:E557)</f>
        <v>100000</v>
      </c>
      <c r="F558" s="204">
        <f>SUM(F557:F557)</f>
        <v>0</v>
      </c>
      <c r="G558" s="177">
        <f>SUM(G557:G557)</f>
        <v>0</v>
      </c>
      <c r="H558" s="104"/>
    </row>
    <row r="559" spans="1:8" ht="24.95" customHeight="1" x14ac:dyDescent="0.2">
      <c r="A559" s="246" t="s">
        <v>406</v>
      </c>
      <c r="B559" s="127" t="s">
        <v>608</v>
      </c>
      <c r="C559" s="305">
        <v>12020738</v>
      </c>
      <c r="D559" s="113" t="s">
        <v>409</v>
      </c>
      <c r="E559" s="210">
        <v>0</v>
      </c>
      <c r="F559" s="355">
        <v>0</v>
      </c>
      <c r="G559" s="210">
        <v>0</v>
      </c>
      <c r="H559" s="104"/>
    </row>
    <row r="560" spans="1:8" ht="10.5" customHeight="1" x14ac:dyDescent="0.2">
      <c r="A560" s="146"/>
      <c r="B560" s="398"/>
      <c r="C560" s="177"/>
      <c r="D560" s="318"/>
      <c r="E560" s="177">
        <f>SUM(E559)</f>
        <v>0</v>
      </c>
      <c r="F560" s="343">
        <f>SUM(F559)</f>
        <v>0</v>
      </c>
      <c r="G560" s="177">
        <f>SUM(G559)</f>
        <v>0</v>
      </c>
      <c r="H560" s="104"/>
    </row>
    <row r="561" spans="1:8" ht="24.95" customHeight="1" x14ac:dyDescent="0.2">
      <c r="A561" s="293" t="s">
        <v>414</v>
      </c>
      <c r="B561" s="247" t="s">
        <v>643</v>
      </c>
      <c r="C561" s="250">
        <v>12020739</v>
      </c>
      <c r="D561" s="356" t="s">
        <v>420</v>
      </c>
      <c r="E561" s="356">
        <v>6000000</v>
      </c>
      <c r="F561" s="348">
        <f>1991196+1039900</f>
        <v>3031096</v>
      </c>
      <c r="G561" s="356">
        <v>4000000</v>
      </c>
      <c r="H561" s="104"/>
    </row>
    <row r="562" spans="1:8" ht="24.95" customHeight="1" x14ac:dyDescent="0.2">
      <c r="A562" s="264" t="s">
        <v>414</v>
      </c>
      <c r="B562" s="253" t="s">
        <v>643</v>
      </c>
      <c r="C562" s="312">
        <v>12020740</v>
      </c>
      <c r="D562" s="243" t="s">
        <v>419</v>
      </c>
      <c r="E562" s="243">
        <v>250000</v>
      </c>
      <c r="F562" s="211">
        <v>0</v>
      </c>
      <c r="G562" s="243">
        <f t="shared" ref="G562:G568" si="56">0.4*E562</f>
        <v>100000</v>
      </c>
      <c r="H562" s="104"/>
    </row>
    <row r="563" spans="1:8" ht="24.95" customHeight="1" x14ac:dyDescent="0.2">
      <c r="A563" s="264" t="s">
        <v>414</v>
      </c>
      <c r="B563" s="312" t="s">
        <v>643</v>
      </c>
      <c r="C563" s="312">
        <v>12020741</v>
      </c>
      <c r="D563" s="210" t="s">
        <v>418</v>
      </c>
      <c r="E563" s="243">
        <v>95000</v>
      </c>
      <c r="F563" s="211">
        <v>0</v>
      </c>
      <c r="G563" s="243">
        <f t="shared" si="56"/>
        <v>38000</v>
      </c>
      <c r="H563" s="104"/>
    </row>
    <row r="564" spans="1:8" ht="24.95" customHeight="1" x14ac:dyDescent="0.2">
      <c r="A564" s="264" t="s">
        <v>414</v>
      </c>
      <c r="B564" s="312" t="s">
        <v>643</v>
      </c>
      <c r="C564" s="312">
        <v>12020742</v>
      </c>
      <c r="D564" s="210" t="s">
        <v>417</v>
      </c>
      <c r="E564" s="243">
        <v>600000</v>
      </c>
      <c r="F564" s="211">
        <v>179374</v>
      </c>
      <c r="G564" s="243">
        <v>400000</v>
      </c>
      <c r="H564" s="104"/>
    </row>
    <row r="565" spans="1:8" ht="24.95" customHeight="1" x14ac:dyDescent="0.2">
      <c r="A565" s="264" t="s">
        <v>414</v>
      </c>
      <c r="B565" s="312" t="s">
        <v>643</v>
      </c>
      <c r="C565" s="312">
        <v>12020743</v>
      </c>
      <c r="D565" s="210" t="s">
        <v>416</v>
      </c>
      <c r="E565" s="243">
        <v>3000000</v>
      </c>
      <c r="F565" s="211">
        <f>367039.5+285374.72</f>
        <v>652414.22</v>
      </c>
      <c r="G565" s="243">
        <f t="shared" si="56"/>
        <v>1200000</v>
      </c>
      <c r="H565" s="104"/>
    </row>
    <row r="566" spans="1:8" ht="24.95" customHeight="1" x14ac:dyDescent="0.2">
      <c r="A566" s="264" t="s">
        <v>414</v>
      </c>
      <c r="B566" s="312" t="s">
        <v>643</v>
      </c>
      <c r="C566" s="312">
        <v>12020744</v>
      </c>
      <c r="D566" s="210" t="s">
        <v>421</v>
      </c>
      <c r="E566" s="243">
        <v>1000000</v>
      </c>
      <c r="F566" s="211">
        <f>49685+195174.36</f>
        <v>244859.36</v>
      </c>
      <c r="G566" s="243">
        <f t="shared" si="56"/>
        <v>400000</v>
      </c>
      <c r="H566" s="104"/>
    </row>
    <row r="567" spans="1:8" ht="24.95" customHeight="1" x14ac:dyDescent="0.2">
      <c r="A567" s="264" t="s">
        <v>414</v>
      </c>
      <c r="B567" s="312" t="s">
        <v>643</v>
      </c>
      <c r="C567" s="312">
        <v>12020745</v>
      </c>
      <c r="D567" s="210" t="s">
        <v>422</v>
      </c>
      <c r="E567" s="243">
        <v>500000</v>
      </c>
      <c r="F567" s="211">
        <v>0</v>
      </c>
      <c r="G567" s="243">
        <f t="shared" si="56"/>
        <v>200000</v>
      </c>
      <c r="H567" s="104"/>
    </row>
    <row r="568" spans="1:8" ht="24.95" customHeight="1" x14ac:dyDescent="0.2">
      <c r="A568" s="265" t="s">
        <v>414</v>
      </c>
      <c r="B568" s="305" t="s">
        <v>643</v>
      </c>
      <c r="C568" s="305">
        <v>12020746</v>
      </c>
      <c r="D568" s="345" t="s">
        <v>423</v>
      </c>
      <c r="E568" s="345">
        <v>500000</v>
      </c>
      <c r="F568" s="284">
        <v>485500</v>
      </c>
      <c r="G568" s="283">
        <f t="shared" si="56"/>
        <v>200000</v>
      </c>
      <c r="H568" s="104"/>
    </row>
    <row r="569" spans="1:8" ht="18.75" customHeight="1" x14ac:dyDescent="0.2">
      <c r="A569" s="247"/>
      <c r="B569" s="378"/>
      <c r="C569" s="347"/>
      <c r="D569" s="181"/>
      <c r="E569" s="401">
        <f>SUM(E561:E568)</f>
        <v>11945000</v>
      </c>
      <c r="F569" s="260">
        <f>SUM(F561:F568)</f>
        <v>4593243.58</v>
      </c>
      <c r="G569" s="401">
        <f>SUM(G561:G568)</f>
        <v>6538000</v>
      </c>
      <c r="H569" s="104"/>
    </row>
    <row r="570" spans="1:8" ht="18.75" customHeight="1" x14ac:dyDescent="0.2">
      <c r="A570" s="304"/>
      <c r="B570" s="379"/>
      <c r="C570" s="347"/>
      <c r="D570" s="475" t="s">
        <v>549</v>
      </c>
      <c r="E570" s="347"/>
      <c r="F570" s="484"/>
      <c r="G570" s="347"/>
      <c r="H570" s="104"/>
    </row>
    <row r="571" spans="1:8" s="101" customFormat="1" ht="38.25" x14ac:dyDescent="0.25">
      <c r="A571" s="115" t="s">
        <v>352</v>
      </c>
      <c r="B571" s="115" t="s">
        <v>351</v>
      </c>
      <c r="C571" s="115" t="s">
        <v>94</v>
      </c>
      <c r="D571" s="115" t="s">
        <v>353</v>
      </c>
      <c r="E571" s="496" t="s">
        <v>618</v>
      </c>
      <c r="F571" s="496" t="s">
        <v>638</v>
      </c>
      <c r="G571" s="496" t="s">
        <v>637</v>
      </c>
    </row>
    <row r="572" spans="1:8" ht="24.95" customHeight="1" x14ac:dyDescent="0.2">
      <c r="A572" s="264" t="s">
        <v>424</v>
      </c>
      <c r="B572" s="312" t="s">
        <v>644</v>
      </c>
      <c r="C572" s="312">
        <v>12020746</v>
      </c>
      <c r="D572" s="210" t="s">
        <v>437</v>
      </c>
      <c r="E572" s="243">
        <v>5000000</v>
      </c>
      <c r="F572" s="211">
        <v>2034000</v>
      </c>
      <c r="G572" s="243">
        <v>3000000</v>
      </c>
      <c r="H572" s="104"/>
    </row>
    <row r="573" spans="1:8" ht="24.95" customHeight="1" x14ac:dyDescent="0.2">
      <c r="A573" s="264" t="s">
        <v>424</v>
      </c>
      <c r="B573" s="312" t="s">
        <v>644</v>
      </c>
      <c r="C573" s="312">
        <v>12020747</v>
      </c>
      <c r="D573" s="210" t="s">
        <v>180</v>
      </c>
      <c r="E573" s="243">
        <v>1000000</v>
      </c>
      <c r="F573" s="211">
        <v>0</v>
      </c>
      <c r="G573" s="243">
        <v>0</v>
      </c>
      <c r="H573" s="104"/>
    </row>
    <row r="574" spans="1:8" ht="24.95" customHeight="1" x14ac:dyDescent="0.2">
      <c r="A574" s="264" t="s">
        <v>424</v>
      </c>
      <c r="B574" s="253" t="s">
        <v>644</v>
      </c>
      <c r="C574" s="312">
        <v>12020748</v>
      </c>
      <c r="D574" s="243" t="s">
        <v>438</v>
      </c>
      <c r="E574" s="243">
        <v>0</v>
      </c>
      <c r="F574" s="211">
        <v>0</v>
      </c>
      <c r="G574" s="243">
        <f t="shared" ref="G574:G579" si="57">0.4*E574</f>
        <v>0</v>
      </c>
      <c r="H574" s="104"/>
    </row>
    <row r="575" spans="1:8" ht="24.95" customHeight="1" x14ac:dyDescent="0.2">
      <c r="A575" s="264" t="s">
        <v>424</v>
      </c>
      <c r="B575" s="253" t="s">
        <v>644</v>
      </c>
      <c r="C575" s="312">
        <v>12020739</v>
      </c>
      <c r="D575" s="243" t="s">
        <v>439</v>
      </c>
      <c r="E575" s="243">
        <v>70000000</v>
      </c>
      <c r="F575" s="211">
        <v>0</v>
      </c>
      <c r="G575" s="243">
        <v>20000000</v>
      </c>
      <c r="H575" s="104"/>
    </row>
    <row r="576" spans="1:8" ht="24.95" customHeight="1" x14ac:dyDescent="0.2">
      <c r="A576" s="264" t="s">
        <v>424</v>
      </c>
      <c r="B576" s="312" t="s">
        <v>644</v>
      </c>
      <c r="C576" s="312">
        <v>12020749</v>
      </c>
      <c r="D576" s="210" t="s">
        <v>503</v>
      </c>
      <c r="E576" s="243">
        <v>0</v>
      </c>
      <c r="F576" s="211">
        <v>0</v>
      </c>
      <c r="G576" s="243">
        <f t="shared" si="57"/>
        <v>0</v>
      </c>
      <c r="H576" s="104"/>
    </row>
    <row r="577" spans="1:8" ht="24.95" customHeight="1" x14ac:dyDescent="0.2">
      <c r="A577" s="264" t="s">
        <v>424</v>
      </c>
      <c r="B577" s="312" t="s">
        <v>644</v>
      </c>
      <c r="C577" s="312">
        <v>12020738</v>
      </c>
      <c r="D577" s="210" t="s">
        <v>582</v>
      </c>
      <c r="E577" s="243">
        <v>20000000</v>
      </c>
      <c r="F577" s="211">
        <v>4584000</v>
      </c>
      <c r="G577" s="243">
        <v>10000000</v>
      </c>
      <c r="H577" s="104"/>
    </row>
    <row r="578" spans="1:8" ht="24.95" customHeight="1" x14ac:dyDescent="0.2">
      <c r="A578" s="264" t="s">
        <v>424</v>
      </c>
      <c r="B578" s="253" t="s">
        <v>644</v>
      </c>
      <c r="C578" s="312">
        <v>12020739</v>
      </c>
      <c r="D578" s="243" t="s">
        <v>606</v>
      </c>
      <c r="E578" s="243">
        <v>4000000</v>
      </c>
      <c r="F578" s="211">
        <v>409000</v>
      </c>
      <c r="G578" s="243">
        <v>2000000</v>
      </c>
      <c r="H578" s="104"/>
    </row>
    <row r="579" spans="1:8" ht="24.95" customHeight="1" x14ac:dyDescent="0.2">
      <c r="A579" s="264" t="s">
        <v>424</v>
      </c>
      <c r="B579" s="312" t="s">
        <v>644</v>
      </c>
      <c r="C579" s="305">
        <v>12020740</v>
      </c>
      <c r="D579" s="210" t="s">
        <v>614</v>
      </c>
      <c r="E579" s="243">
        <v>100000</v>
      </c>
      <c r="F579" s="211">
        <v>28200</v>
      </c>
      <c r="G579" s="243">
        <f t="shared" si="57"/>
        <v>40000</v>
      </c>
      <c r="H579" s="104"/>
    </row>
    <row r="580" spans="1:8" ht="24.95" customHeight="1" x14ac:dyDescent="0.2">
      <c r="A580" s="357"/>
      <c r="B580" s="377"/>
      <c r="C580" s="358"/>
      <c r="D580" s="315"/>
      <c r="E580" s="400">
        <f>SUM(E572:E579)</f>
        <v>100100000</v>
      </c>
      <c r="F580" s="204">
        <f>SUM(F572:F579)</f>
        <v>7055200</v>
      </c>
      <c r="G580" s="400">
        <f>SUM(G572:G579)</f>
        <v>35040000</v>
      </c>
      <c r="H580" s="104"/>
    </row>
    <row r="581" spans="1:8" ht="24.95" customHeight="1" x14ac:dyDescent="0.2">
      <c r="A581" s="264" t="s">
        <v>440</v>
      </c>
      <c r="B581" s="312" t="s">
        <v>441</v>
      </c>
      <c r="C581" s="312">
        <v>12020750</v>
      </c>
      <c r="D581" s="210" t="s">
        <v>444</v>
      </c>
      <c r="E581" s="243">
        <v>600000</v>
      </c>
      <c r="F581" s="211">
        <v>144100</v>
      </c>
      <c r="G581" s="243">
        <v>1000000</v>
      </c>
      <c r="H581" s="104"/>
    </row>
    <row r="582" spans="1:8" ht="24.95" customHeight="1" x14ac:dyDescent="0.2">
      <c r="A582" s="264" t="s">
        <v>440</v>
      </c>
      <c r="B582" s="312" t="s">
        <v>441</v>
      </c>
      <c r="C582" s="312">
        <v>12020751</v>
      </c>
      <c r="D582" s="210" t="s">
        <v>445</v>
      </c>
      <c r="E582" s="243">
        <v>3000000</v>
      </c>
      <c r="F582" s="211">
        <v>0</v>
      </c>
      <c r="G582" s="243">
        <f t="shared" ref="G582:G587" si="58">0.4*E582</f>
        <v>1200000</v>
      </c>
      <c r="H582" s="104"/>
    </row>
    <row r="583" spans="1:8" ht="24.95" customHeight="1" x14ac:dyDescent="0.2">
      <c r="A583" s="264" t="s">
        <v>440</v>
      </c>
      <c r="B583" s="312" t="s">
        <v>441</v>
      </c>
      <c r="C583" s="312">
        <v>12020739</v>
      </c>
      <c r="D583" s="210" t="s">
        <v>446</v>
      </c>
      <c r="E583" s="243">
        <v>3500000</v>
      </c>
      <c r="F583" s="211">
        <v>0</v>
      </c>
      <c r="G583" s="243">
        <f t="shared" si="58"/>
        <v>1400000</v>
      </c>
      <c r="H583" s="104"/>
    </row>
    <row r="584" spans="1:8" ht="24.95" customHeight="1" x14ac:dyDescent="0.2">
      <c r="A584" s="264" t="s">
        <v>440</v>
      </c>
      <c r="B584" s="312" t="s">
        <v>441</v>
      </c>
      <c r="C584" s="312">
        <v>12020752</v>
      </c>
      <c r="D584" s="210" t="s">
        <v>447</v>
      </c>
      <c r="E584" s="243">
        <v>2000000</v>
      </c>
      <c r="F584" s="211">
        <v>0</v>
      </c>
      <c r="G584" s="243">
        <f t="shared" si="58"/>
        <v>800000</v>
      </c>
      <c r="H584" s="104"/>
    </row>
    <row r="585" spans="1:8" ht="24.95" customHeight="1" x14ac:dyDescent="0.2">
      <c r="A585" s="264" t="s">
        <v>440</v>
      </c>
      <c r="B585" s="312" t="s">
        <v>441</v>
      </c>
      <c r="C585" s="312">
        <v>12020753</v>
      </c>
      <c r="D585" s="210" t="s">
        <v>592</v>
      </c>
      <c r="E585" s="243">
        <v>10000000</v>
      </c>
      <c r="F585" s="211">
        <v>1863000</v>
      </c>
      <c r="G585" s="243">
        <f t="shared" si="58"/>
        <v>4000000</v>
      </c>
      <c r="H585" s="104"/>
    </row>
    <row r="586" spans="1:8" ht="24.95" customHeight="1" x14ac:dyDescent="0.2">
      <c r="A586" s="264" t="s">
        <v>440</v>
      </c>
      <c r="B586" s="312" t="s">
        <v>441</v>
      </c>
      <c r="C586" s="312">
        <v>12020754</v>
      </c>
      <c r="D586" s="210" t="s">
        <v>593</v>
      </c>
      <c r="E586" s="243">
        <v>100000</v>
      </c>
      <c r="F586" s="211">
        <v>13000</v>
      </c>
      <c r="G586" s="243">
        <v>100000</v>
      </c>
      <c r="H586" s="104"/>
    </row>
    <row r="587" spans="1:8" ht="24.95" customHeight="1" x14ac:dyDescent="0.2">
      <c r="A587" s="264" t="s">
        <v>440</v>
      </c>
      <c r="B587" s="312" t="s">
        <v>441</v>
      </c>
      <c r="C587" s="312">
        <v>12020755</v>
      </c>
      <c r="D587" s="210" t="s">
        <v>449</v>
      </c>
      <c r="E587" s="243">
        <v>500000</v>
      </c>
      <c r="F587" s="211">
        <v>0</v>
      </c>
      <c r="G587" s="243">
        <f t="shared" si="58"/>
        <v>200000</v>
      </c>
      <c r="H587" s="104"/>
    </row>
    <row r="588" spans="1:8" ht="24.95" customHeight="1" x14ac:dyDescent="0.2">
      <c r="A588" s="357"/>
      <c r="B588" s="377"/>
      <c r="C588" s="358"/>
      <c r="D588" s="315"/>
      <c r="E588" s="400">
        <f>SUM(E581:E587)</f>
        <v>19700000</v>
      </c>
      <c r="F588" s="204">
        <f>SUM(F581:F587)</f>
        <v>2020100</v>
      </c>
      <c r="G588" s="400">
        <f>SUM(G581:G587)</f>
        <v>8700000</v>
      </c>
      <c r="H588" s="104"/>
    </row>
    <row r="589" spans="1:8" s="104" customFormat="1" ht="24.95" customHeight="1" x14ac:dyDescent="0.2">
      <c r="A589" s="307"/>
      <c r="B589" s="377"/>
      <c r="C589" s="310"/>
      <c r="D589" s="359"/>
      <c r="E589" s="405"/>
      <c r="F589" s="290"/>
      <c r="G589" s="405"/>
    </row>
    <row r="590" spans="1:8" ht="24.95" customHeight="1" x14ac:dyDescent="0.2">
      <c r="A590" s="126" t="s">
        <v>42</v>
      </c>
      <c r="B590" s="137" t="s">
        <v>523</v>
      </c>
      <c r="C590" s="312">
        <v>12020757</v>
      </c>
      <c r="D590" s="210" t="s">
        <v>483</v>
      </c>
      <c r="E590" s="243">
        <v>0</v>
      </c>
      <c r="F590" s="211">
        <v>0</v>
      </c>
      <c r="G590" s="243">
        <v>0</v>
      </c>
      <c r="H590" s="104"/>
    </row>
    <row r="591" spans="1:8" ht="24.95" customHeight="1" x14ac:dyDescent="0.2">
      <c r="A591" s="485"/>
      <c r="B591" s="304"/>
      <c r="C591" s="347"/>
      <c r="D591" s="347"/>
      <c r="E591" s="256">
        <f>SUM(E590)</f>
        <v>0</v>
      </c>
      <c r="F591" s="257">
        <f>SUM(F590)</f>
        <v>0</v>
      </c>
      <c r="G591" s="256">
        <f>SUM(G590)</f>
        <v>0</v>
      </c>
      <c r="H591" s="104"/>
    </row>
    <row r="592" spans="1:8" ht="24.95" customHeight="1" x14ac:dyDescent="0.2">
      <c r="A592" s="287"/>
      <c r="B592" s="138"/>
      <c r="C592" s="113"/>
      <c r="D592" s="113"/>
      <c r="E592" s="179"/>
      <c r="F592" s="206"/>
      <c r="G592" s="179"/>
      <c r="H592" s="104"/>
    </row>
    <row r="593" spans="1:8" ht="24.95" customHeight="1" x14ac:dyDescent="0.2">
      <c r="A593" s="287"/>
      <c r="B593" s="138"/>
      <c r="C593" s="113"/>
      <c r="D593" s="274" t="s">
        <v>550</v>
      </c>
      <c r="E593" s="113"/>
      <c r="F593" s="355"/>
      <c r="G593" s="113"/>
      <c r="H593" s="104"/>
    </row>
    <row r="594" spans="1:8" s="101" customFormat="1" ht="38.25" x14ac:dyDescent="0.25">
      <c r="A594" s="115" t="s">
        <v>352</v>
      </c>
      <c r="B594" s="115" t="s">
        <v>351</v>
      </c>
      <c r="C594" s="115" t="s">
        <v>94</v>
      </c>
      <c r="D594" s="115" t="s">
        <v>353</v>
      </c>
      <c r="E594" s="496" t="s">
        <v>618</v>
      </c>
      <c r="F594" s="496" t="s">
        <v>638</v>
      </c>
      <c r="G594" s="496" t="s">
        <v>637</v>
      </c>
    </row>
    <row r="595" spans="1:8" s="105" customFormat="1" ht="24.95" customHeight="1" x14ac:dyDescent="0.2">
      <c r="A595" s="194"/>
      <c r="B595" s="134"/>
      <c r="C595" s="133">
        <v>120208</v>
      </c>
      <c r="D595" s="134" t="s">
        <v>200</v>
      </c>
      <c r="E595" s="319">
        <f>E600+E605+E608+E611+E615+E619+E622+E625</f>
        <v>90420000</v>
      </c>
      <c r="F595" s="136">
        <f>F600+F605+F608+F611+F615+F619+F622+F625</f>
        <v>10720170.939999999</v>
      </c>
      <c r="G595" s="319">
        <f>G600+G605+G608+G611+G615+G619+G622+G625</f>
        <v>21168000</v>
      </c>
      <c r="H595" s="104"/>
    </row>
    <row r="596" spans="1:8" s="101" customFormat="1" ht="24.95" customHeight="1" x14ac:dyDescent="0.25">
      <c r="A596" s="253">
        <v>12500100100</v>
      </c>
      <c r="B596" s="137" t="s">
        <v>355</v>
      </c>
      <c r="C596" s="138">
        <v>12020801</v>
      </c>
      <c r="D596" s="137" t="s">
        <v>330</v>
      </c>
      <c r="E596" s="406">
        <v>5000000</v>
      </c>
      <c r="F596" s="235">
        <v>0</v>
      </c>
      <c r="G596" s="406">
        <f t="shared" ref="G596:G599" si="59">0.4*E596</f>
        <v>2000000</v>
      </c>
    </row>
    <row r="597" spans="1:8" s="101" customFormat="1" ht="24.95" customHeight="1" x14ac:dyDescent="0.25">
      <c r="A597" s="253">
        <v>12500100100</v>
      </c>
      <c r="B597" s="137" t="s">
        <v>355</v>
      </c>
      <c r="C597" s="138">
        <v>12020801</v>
      </c>
      <c r="D597" s="137" t="s">
        <v>331</v>
      </c>
      <c r="E597" s="407">
        <v>50000000</v>
      </c>
      <c r="F597" s="235">
        <v>0</v>
      </c>
      <c r="G597" s="407">
        <v>5000000</v>
      </c>
    </row>
    <row r="598" spans="1:8" s="101" customFormat="1" ht="24.95" customHeight="1" x14ac:dyDescent="0.25">
      <c r="A598" s="253">
        <v>12500100100</v>
      </c>
      <c r="B598" s="137" t="s">
        <v>355</v>
      </c>
      <c r="C598" s="138">
        <v>12020801</v>
      </c>
      <c r="D598" s="137" t="s">
        <v>332</v>
      </c>
      <c r="E598" s="407">
        <v>0</v>
      </c>
      <c r="F598" s="235">
        <v>0</v>
      </c>
      <c r="G598" s="407">
        <f t="shared" si="59"/>
        <v>0</v>
      </c>
    </row>
    <row r="599" spans="1:8" s="101" customFormat="1" ht="24.95" customHeight="1" x14ac:dyDescent="0.25">
      <c r="A599" s="253">
        <v>12500100100</v>
      </c>
      <c r="B599" s="137" t="s">
        <v>355</v>
      </c>
      <c r="C599" s="138">
        <v>12020801</v>
      </c>
      <c r="D599" s="137" t="s">
        <v>333</v>
      </c>
      <c r="E599" s="407">
        <v>0</v>
      </c>
      <c r="F599" s="235">
        <v>0</v>
      </c>
      <c r="G599" s="407">
        <f t="shared" si="59"/>
        <v>0</v>
      </c>
    </row>
    <row r="600" spans="1:8" s="101" customFormat="1" ht="24.95" customHeight="1" x14ac:dyDescent="0.25">
      <c r="A600" s="225"/>
      <c r="B600" s="226"/>
      <c r="C600" s="225"/>
      <c r="D600" s="226"/>
      <c r="E600" s="408">
        <f>SUM(E596:E599)</f>
        <v>55000000</v>
      </c>
      <c r="F600" s="360">
        <f>SUM(F596:F599)</f>
        <v>0</v>
      </c>
      <c r="G600" s="408">
        <f>SUM(G596:G599)</f>
        <v>7000000</v>
      </c>
    </row>
    <row r="601" spans="1:8" s="104" customFormat="1" ht="24.95" customHeight="1" x14ac:dyDescent="0.2">
      <c r="A601" s="126" t="s">
        <v>29</v>
      </c>
      <c r="B601" s="137" t="s">
        <v>300</v>
      </c>
      <c r="C601" s="138">
        <v>12020805</v>
      </c>
      <c r="D601" s="137" t="s">
        <v>364</v>
      </c>
      <c r="E601" s="139">
        <v>500000</v>
      </c>
      <c r="F601" s="140">
        <v>0</v>
      </c>
      <c r="G601" s="139">
        <f t="shared" ref="G601:G604" si="60">0.4*E601</f>
        <v>200000</v>
      </c>
      <c r="H601" s="100"/>
    </row>
    <row r="602" spans="1:8" s="104" customFormat="1" ht="24.95" customHeight="1" x14ac:dyDescent="0.2">
      <c r="A602" s="126" t="s">
        <v>29</v>
      </c>
      <c r="B602" s="137" t="s">
        <v>300</v>
      </c>
      <c r="C602" s="138">
        <v>12020806</v>
      </c>
      <c r="D602" s="137" t="s">
        <v>201</v>
      </c>
      <c r="E602" s="139">
        <v>500000</v>
      </c>
      <c r="F602" s="140">
        <v>1500000</v>
      </c>
      <c r="G602" s="139">
        <f t="shared" si="60"/>
        <v>200000</v>
      </c>
      <c r="H602" s="100"/>
    </row>
    <row r="603" spans="1:8" s="104" customFormat="1" ht="24.95" customHeight="1" x14ac:dyDescent="0.2">
      <c r="A603" s="126" t="s">
        <v>29</v>
      </c>
      <c r="B603" s="137" t="s">
        <v>300</v>
      </c>
      <c r="C603" s="138">
        <v>12020807</v>
      </c>
      <c r="D603" s="137" t="s">
        <v>202</v>
      </c>
      <c r="E603" s="139">
        <v>50000</v>
      </c>
      <c r="F603" s="140">
        <v>0</v>
      </c>
      <c r="G603" s="139">
        <f t="shared" si="60"/>
        <v>20000</v>
      </c>
      <c r="H603" s="100"/>
    </row>
    <row r="604" spans="1:8" s="104" customFormat="1" ht="24.95" customHeight="1" x14ac:dyDescent="0.2">
      <c r="A604" s="126" t="s">
        <v>29</v>
      </c>
      <c r="B604" s="137" t="s">
        <v>300</v>
      </c>
      <c r="C604" s="138">
        <v>12020808</v>
      </c>
      <c r="D604" s="137" t="s">
        <v>203</v>
      </c>
      <c r="E604" s="139">
        <v>500000</v>
      </c>
      <c r="F604" s="140">
        <v>0</v>
      </c>
      <c r="G604" s="139">
        <f t="shared" si="60"/>
        <v>200000</v>
      </c>
      <c r="H604" s="100"/>
    </row>
    <row r="605" spans="1:8" s="104" customFormat="1" ht="24.95" customHeight="1" x14ac:dyDescent="0.2">
      <c r="A605" s="223"/>
      <c r="B605" s="342"/>
      <c r="C605" s="225"/>
      <c r="D605" s="342"/>
      <c r="E605" s="149">
        <f>SUM(E601:E604)</f>
        <v>1550000</v>
      </c>
      <c r="F605" s="470">
        <f>SUM(F601:F604)</f>
        <v>1500000</v>
      </c>
      <c r="G605" s="149">
        <f>SUM(G601:G604)</f>
        <v>620000</v>
      </c>
      <c r="H605" s="100"/>
    </row>
    <row r="606" spans="1:8" ht="24.95" customHeight="1" x14ac:dyDescent="0.2">
      <c r="A606" s="487"/>
      <c r="C606" s="488"/>
      <c r="E606" s="488"/>
      <c r="G606" s="488"/>
    </row>
    <row r="607" spans="1:8" s="105" customFormat="1" ht="24.95" customHeight="1" x14ac:dyDescent="0.2">
      <c r="A607" s="245" t="s">
        <v>88</v>
      </c>
      <c r="B607" s="127" t="s">
        <v>89</v>
      </c>
      <c r="C607" s="305">
        <v>12020802</v>
      </c>
      <c r="D607" s="127" t="s">
        <v>204</v>
      </c>
      <c r="E607" s="371">
        <v>30000000</v>
      </c>
      <c r="F607" s="365">
        <f>5318252.56+3475418.38</f>
        <v>8793670.9399999995</v>
      </c>
      <c r="G607" s="371">
        <f t="shared" ref="G607" si="61">0.4*E607</f>
        <v>12000000</v>
      </c>
    </row>
    <row r="608" spans="1:8" s="105" customFormat="1" ht="24.95" customHeight="1" x14ac:dyDescent="0.2">
      <c r="A608" s="223"/>
      <c r="B608" s="486"/>
      <c r="C608" s="225"/>
      <c r="D608" s="226"/>
      <c r="E608" s="149">
        <f>SUM(E607)</f>
        <v>30000000</v>
      </c>
      <c r="F608" s="386">
        <f>SUM(F607)</f>
        <v>8793670.9399999995</v>
      </c>
      <c r="G608" s="149">
        <f>SUM(G607)</f>
        <v>12000000</v>
      </c>
    </row>
    <row r="609" spans="1:8" ht="24.95" customHeight="1" x14ac:dyDescent="0.2">
      <c r="A609" s="126"/>
      <c r="B609" s="137"/>
      <c r="C609" s="179"/>
      <c r="D609" s="180"/>
      <c r="E609" s="285"/>
      <c r="F609" s="212"/>
      <c r="G609" s="285"/>
      <c r="H609" s="104"/>
    </row>
    <row r="610" spans="1:8" s="104" customFormat="1" ht="24.95" customHeight="1" x14ac:dyDescent="0.2">
      <c r="A610" s="141" t="s">
        <v>57</v>
      </c>
      <c r="B610" s="142" t="s">
        <v>58</v>
      </c>
      <c r="C610" s="143">
        <v>12020803</v>
      </c>
      <c r="D610" s="142" t="s">
        <v>205</v>
      </c>
      <c r="E610" s="202">
        <v>0</v>
      </c>
      <c r="F610" s="197">
        <v>0</v>
      </c>
      <c r="G610" s="202">
        <v>0</v>
      </c>
      <c r="H610" s="100"/>
    </row>
    <row r="611" spans="1:8" s="104" customFormat="1" ht="24.95" customHeight="1" x14ac:dyDescent="0.2">
      <c r="A611" s="223"/>
      <c r="B611" s="226"/>
      <c r="C611" s="225"/>
      <c r="D611" s="226"/>
      <c r="E611" s="227">
        <f>SUM(E610)</f>
        <v>0</v>
      </c>
      <c r="F611" s="228">
        <f>SUM(F610)</f>
        <v>0</v>
      </c>
      <c r="G611" s="227">
        <f>SUM(G610)</f>
        <v>0</v>
      </c>
      <c r="H611" s="100"/>
    </row>
    <row r="612" spans="1:8" s="104" customFormat="1" ht="24.95" customHeight="1" x14ac:dyDescent="0.2">
      <c r="A612" s="236"/>
      <c r="B612" s="193"/>
      <c r="C612" s="128"/>
      <c r="D612" s="193"/>
      <c r="E612" s="403"/>
      <c r="F612" s="167"/>
      <c r="G612" s="403"/>
      <c r="H612" s="100"/>
    </row>
    <row r="613" spans="1:8" s="109" customFormat="1" ht="24.95" customHeight="1" x14ac:dyDescent="0.2">
      <c r="A613" s="264" t="s">
        <v>371</v>
      </c>
      <c r="B613" s="137" t="s">
        <v>370</v>
      </c>
      <c r="C613" s="138">
        <v>12020808</v>
      </c>
      <c r="D613" s="137" t="s">
        <v>491</v>
      </c>
      <c r="E613" s="139">
        <v>1000000</v>
      </c>
      <c r="F613" s="140"/>
      <c r="G613" s="139">
        <f t="shared" ref="G613:G614" si="62">0.4*E613</f>
        <v>400000</v>
      </c>
      <c r="H613" s="107"/>
    </row>
    <row r="614" spans="1:8" s="109" customFormat="1" ht="24.95" customHeight="1" x14ac:dyDescent="0.2">
      <c r="A614" s="264" t="s">
        <v>371</v>
      </c>
      <c r="B614" s="137" t="s">
        <v>370</v>
      </c>
      <c r="C614" s="138">
        <v>12020808</v>
      </c>
      <c r="D614" s="137" t="s">
        <v>206</v>
      </c>
      <c r="E614" s="139">
        <v>70000</v>
      </c>
      <c r="F614" s="140"/>
      <c r="G614" s="139">
        <f t="shared" si="62"/>
        <v>28000</v>
      </c>
    </row>
    <row r="615" spans="1:8" s="109" customFormat="1" ht="24.95" customHeight="1" x14ac:dyDescent="0.2">
      <c r="A615" s="266"/>
      <c r="B615" s="214"/>
      <c r="C615" s="215"/>
      <c r="D615" s="214"/>
      <c r="E615" s="216">
        <f>SUM(E613:E614)</f>
        <v>1070000</v>
      </c>
      <c r="F615" s="216">
        <f>SUM(F613:F614)</f>
        <v>0</v>
      </c>
      <c r="G615" s="216">
        <f>SUM(G613:G614)</f>
        <v>428000</v>
      </c>
    </row>
    <row r="616" spans="1:8" s="109" customFormat="1" ht="12" customHeight="1" x14ac:dyDescent="0.2">
      <c r="A616" s="489"/>
      <c r="B616" s="456"/>
      <c r="C616" s="324"/>
      <c r="D616" s="475" t="s">
        <v>411</v>
      </c>
      <c r="E616" s="325"/>
      <c r="F616" s="325"/>
      <c r="G616" s="325"/>
    </row>
    <row r="617" spans="1:8" s="101" customFormat="1" ht="38.25" x14ac:dyDescent="0.25">
      <c r="A617" s="115" t="s">
        <v>352</v>
      </c>
      <c r="B617" s="115" t="s">
        <v>351</v>
      </c>
      <c r="C617" s="115" t="s">
        <v>94</v>
      </c>
      <c r="D617" s="115" t="s">
        <v>353</v>
      </c>
      <c r="E617" s="496" t="s">
        <v>618</v>
      </c>
      <c r="F617" s="496" t="s">
        <v>638</v>
      </c>
      <c r="G617" s="496" t="s">
        <v>637</v>
      </c>
    </row>
    <row r="618" spans="1:8" ht="24.95" customHeight="1" x14ac:dyDescent="0.2">
      <c r="A618" s="126">
        <v>21510200100</v>
      </c>
      <c r="B618" s="137" t="s">
        <v>354</v>
      </c>
      <c r="C618" s="143">
        <v>12020803</v>
      </c>
      <c r="D618" s="175" t="s">
        <v>207</v>
      </c>
      <c r="E618" s="288">
        <v>300000</v>
      </c>
      <c r="F618" s="289">
        <v>90500</v>
      </c>
      <c r="G618" s="288">
        <f t="shared" ref="G618" si="63">0.4*E618</f>
        <v>120000</v>
      </c>
      <c r="H618" s="104"/>
    </row>
    <row r="619" spans="1:8" ht="24.95" customHeight="1" x14ac:dyDescent="0.2">
      <c r="A619" s="213"/>
      <c r="B619" s="214"/>
      <c r="C619" s="213"/>
      <c r="D619" s="254"/>
      <c r="E619" s="295">
        <f>SUM(E618)</f>
        <v>300000</v>
      </c>
      <c r="F619" s="296">
        <f>SUM(F618)</f>
        <v>90500</v>
      </c>
      <c r="G619" s="295">
        <f>SUM(G618)</f>
        <v>120000</v>
      </c>
      <c r="H619" s="104"/>
    </row>
    <row r="620" spans="1:8" s="102" customFormat="1" ht="24.95" customHeight="1" x14ac:dyDescent="0.2">
      <c r="A620" s="323"/>
      <c r="B620" s="214"/>
      <c r="C620" s="362"/>
      <c r="D620" s="254"/>
      <c r="E620" s="409"/>
      <c r="F620" s="296"/>
      <c r="G620" s="409"/>
      <c r="H620" s="105"/>
    </row>
    <row r="621" spans="1:8" s="102" customFormat="1" ht="24.95" customHeight="1" x14ac:dyDescent="0.2">
      <c r="A621" s="264" t="s">
        <v>440</v>
      </c>
      <c r="B621" s="312" t="s">
        <v>441</v>
      </c>
      <c r="C621" s="138">
        <v>12020802</v>
      </c>
      <c r="D621" s="175" t="s">
        <v>450</v>
      </c>
      <c r="E621" s="288">
        <v>1500000</v>
      </c>
      <c r="F621" s="289">
        <v>336000</v>
      </c>
      <c r="G621" s="288">
        <f t="shared" ref="G621" si="64">0.4*E621</f>
        <v>600000</v>
      </c>
      <c r="H621" s="105"/>
    </row>
    <row r="622" spans="1:8" s="102" customFormat="1" ht="24.95" customHeight="1" x14ac:dyDescent="0.2">
      <c r="A622" s="307"/>
      <c r="B622" s="208"/>
      <c r="C622" s="363"/>
      <c r="D622" s="147"/>
      <c r="E622" s="405">
        <f>SUM(E621)</f>
        <v>1500000</v>
      </c>
      <c r="F622" s="290">
        <f>SUM(F621)</f>
        <v>336000</v>
      </c>
      <c r="G622" s="405">
        <f>SUM(G621)</f>
        <v>600000</v>
      </c>
      <c r="H622" s="105"/>
    </row>
    <row r="623" spans="1:8" s="102" customFormat="1" ht="24.95" customHeight="1" x14ac:dyDescent="0.2">
      <c r="A623" s="126"/>
      <c r="B623" s="137"/>
      <c r="C623" s="198"/>
      <c r="D623" s="175"/>
      <c r="E623" s="404"/>
      <c r="F623" s="351"/>
      <c r="G623" s="404"/>
      <c r="H623" s="105"/>
    </row>
    <row r="624" spans="1:8" ht="24.95" customHeight="1" x14ac:dyDescent="0.2">
      <c r="A624" s="126" t="s">
        <v>30</v>
      </c>
      <c r="B624" s="137" t="s">
        <v>31</v>
      </c>
      <c r="C624" s="138">
        <v>12020802</v>
      </c>
      <c r="D624" s="137" t="s">
        <v>119</v>
      </c>
      <c r="E624" s="139">
        <v>1000000</v>
      </c>
      <c r="F624" s="140">
        <v>0</v>
      </c>
      <c r="G624" s="139">
        <f t="shared" ref="G624" si="65">0.4*E624</f>
        <v>400000</v>
      </c>
    </row>
    <row r="625" spans="1:8" ht="24.95" customHeight="1" x14ac:dyDescent="0.2">
      <c r="A625" s="207"/>
      <c r="B625" s="208"/>
      <c r="C625" s="146"/>
      <c r="D625" s="208"/>
      <c r="E625" s="149">
        <f>SUM(E624:E624)</f>
        <v>1000000</v>
      </c>
      <c r="F625" s="209">
        <f>SUM(F624:F624)</f>
        <v>0</v>
      </c>
      <c r="G625" s="149">
        <f>SUM(G624:G624)</f>
        <v>400000</v>
      </c>
    </row>
    <row r="626" spans="1:8" s="104" customFormat="1" ht="24.95" customHeight="1" x14ac:dyDescent="0.2">
      <c r="A626" s="194"/>
      <c r="B626" s="134"/>
      <c r="C626" s="133">
        <v>120209</v>
      </c>
      <c r="D626" s="134" t="s">
        <v>208</v>
      </c>
      <c r="E626" s="410">
        <f>E629+E631</f>
        <v>510600000</v>
      </c>
      <c r="F626" s="136">
        <f>F629+F631</f>
        <v>81076008.306220949</v>
      </c>
      <c r="G626" s="410">
        <f>G629+G631</f>
        <v>126000000</v>
      </c>
    </row>
    <row r="627" spans="1:8" ht="24.95" customHeight="1" x14ac:dyDescent="0.2">
      <c r="A627" s="126" t="s">
        <v>34</v>
      </c>
      <c r="B627" s="137" t="s">
        <v>603</v>
      </c>
      <c r="C627" s="328">
        <v>12020901</v>
      </c>
      <c r="D627" s="137" t="s">
        <v>295</v>
      </c>
      <c r="E627" s="139">
        <v>500000000</v>
      </c>
      <c r="F627" s="140">
        <f>71918601.2+8269968.64</f>
        <v>80188569.840000004</v>
      </c>
      <c r="G627" s="139">
        <v>120000000</v>
      </c>
      <c r="H627" s="104"/>
    </row>
    <row r="628" spans="1:8" s="104" customFormat="1" ht="24.95" customHeight="1" x14ac:dyDescent="0.2">
      <c r="A628" s="126" t="s">
        <v>34</v>
      </c>
      <c r="B628" s="137" t="s">
        <v>603</v>
      </c>
      <c r="C628" s="328">
        <v>12020902</v>
      </c>
      <c r="D628" s="175" t="s">
        <v>209</v>
      </c>
      <c r="E628" s="139">
        <v>10000000</v>
      </c>
      <c r="F628" s="140">
        <f>887438.46622094</f>
        <v>887438.46622094</v>
      </c>
      <c r="G628" s="139">
        <v>6000000</v>
      </c>
      <c r="H628" s="100"/>
    </row>
    <row r="629" spans="1:8" s="104" customFormat="1" ht="24.95" customHeight="1" x14ac:dyDescent="0.2">
      <c r="A629" s="223"/>
      <c r="B629" s="226"/>
      <c r="C629" s="203"/>
      <c r="D629" s="224"/>
      <c r="E629" s="149">
        <f>SUM(E627:E628)</f>
        <v>510000000</v>
      </c>
      <c r="F629" s="209">
        <f>SUM(F627:F628)</f>
        <v>81076008.306220949</v>
      </c>
      <c r="G629" s="149">
        <f>SUM(G627:G628)</f>
        <v>126000000</v>
      </c>
      <c r="H629" s="100"/>
    </row>
    <row r="630" spans="1:8" s="104" customFormat="1" ht="24.95" customHeight="1" x14ac:dyDescent="0.2">
      <c r="A630" s="264" t="s">
        <v>440</v>
      </c>
      <c r="B630" s="312" t="s">
        <v>441</v>
      </c>
      <c r="C630" s="328">
        <v>12020903</v>
      </c>
      <c r="D630" s="175" t="s">
        <v>451</v>
      </c>
      <c r="E630" s="139">
        <v>600000</v>
      </c>
      <c r="F630" s="140">
        <v>0</v>
      </c>
      <c r="G630" s="139">
        <v>0</v>
      </c>
      <c r="H630" s="100"/>
    </row>
    <row r="631" spans="1:8" s="104" customFormat="1" ht="24.95" customHeight="1" x14ac:dyDescent="0.2">
      <c r="A631" s="307"/>
      <c r="B631" s="208"/>
      <c r="C631" s="364"/>
      <c r="D631" s="147"/>
      <c r="E631" s="411">
        <f>SUM(E630)</f>
        <v>600000</v>
      </c>
      <c r="F631" s="209">
        <f>SUM(F630)</f>
        <v>0</v>
      </c>
      <c r="G631" s="411">
        <f>SUM(G630)</f>
        <v>0</v>
      </c>
      <c r="H631" s="100"/>
    </row>
    <row r="632" spans="1:8" s="104" customFormat="1" ht="24.95" customHeight="1" x14ac:dyDescent="0.2">
      <c r="A632" s="207"/>
      <c r="B632" s="127"/>
      <c r="C632" s="314"/>
      <c r="D632" s="151"/>
      <c r="E632" s="148"/>
      <c r="F632" s="365"/>
      <c r="G632" s="148"/>
      <c r="H632" s="100"/>
    </row>
    <row r="633" spans="1:8" ht="24.95" customHeight="1" x14ac:dyDescent="0.2">
      <c r="A633" s="194">
        <v>120210</v>
      </c>
      <c r="B633" s="134" t="s">
        <v>210</v>
      </c>
      <c r="C633" s="133">
        <v>120210</v>
      </c>
      <c r="D633" s="134" t="s">
        <v>210</v>
      </c>
      <c r="E633" s="135">
        <f t="shared" ref="E633" si="66">E638+E643</f>
        <v>2863798757</v>
      </c>
      <c r="F633" s="419">
        <f t="shared" ref="F633:G633" si="67">F638+F643</f>
        <v>2396856449.9100003</v>
      </c>
      <c r="G633" s="135">
        <f t="shared" si="67"/>
        <v>1169000000</v>
      </c>
      <c r="H633" s="104"/>
    </row>
    <row r="634" spans="1:8" s="104" customFormat="1" ht="24.95" customHeight="1" x14ac:dyDescent="0.2">
      <c r="A634" s="126" t="s">
        <v>96</v>
      </c>
      <c r="B634" s="137" t="s">
        <v>567</v>
      </c>
      <c r="C634" s="328">
        <v>12021002</v>
      </c>
      <c r="D634" s="137" t="s">
        <v>211</v>
      </c>
      <c r="E634" s="139">
        <v>20000000</v>
      </c>
      <c r="F634" s="140">
        <v>5922764.7699999996</v>
      </c>
      <c r="G634" s="139">
        <v>15000000</v>
      </c>
    </row>
    <row r="635" spans="1:8" ht="24.95" customHeight="1" x14ac:dyDescent="0.2">
      <c r="A635" s="126" t="s">
        <v>96</v>
      </c>
      <c r="B635" s="137" t="s">
        <v>567</v>
      </c>
      <c r="C635" s="328">
        <v>12021003</v>
      </c>
      <c r="D635" s="137" t="s">
        <v>212</v>
      </c>
      <c r="E635" s="139">
        <v>4000000</v>
      </c>
      <c r="F635" s="140">
        <v>362200</v>
      </c>
      <c r="G635" s="139">
        <v>4000000</v>
      </c>
      <c r="H635" s="104"/>
    </row>
    <row r="636" spans="1:8" ht="24.95" customHeight="1" x14ac:dyDescent="0.2">
      <c r="A636" s="126" t="s">
        <v>96</v>
      </c>
      <c r="B636" s="137" t="s">
        <v>567</v>
      </c>
      <c r="C636" s="328">
        <v>12021004</v>
      </c>
      <c r="D636" s="137" t="s">
        <v>480</v>
      </c>
      <c r="E636" s="139">
        <v>400000000</v>
      </c>
      <c r="F636" s="140">
        <v>0</v>
      </c>
      <c r="G636" s="139">
        <v>50000000</v>
      </c>
      <c r="H636" s="104"/>
    </row>
    <row r="637" spans="1:8" ht="24.95" customHeight="1" x14ac:dyDescent="0.2">
      <c r="A637" s="126" t="s">
        <v>96</v>
      </c>
      <c r="B637" s="137" t="s">
        <v>567</v>
      </c>
      <c r="C637" s="328">
        <v>12021005</v>
      </c>
      <c r="D637" s="137" t="s">
        <v>481</v>
      </c>
      <c r="E637" s="139">
        <v>0</v>
      </c>
      <c r="F637" s="140">
        <v>0</v>
      </c>
      <c r="G637" s="139">
        <f t="shared" ref="G637" si="68">0.4*E637</f>
        <v>0</v>
      </c>
      <c r="H637" s="104"/>
    </row>
    <row r="638" spans="1:8" ht="18" customHeight="1" x14ac:dyDescent="0.2">
      <c r="A638" s="126"/>
      <c r="B638" s="137"/>
      <c r="C638" s="328"/>
      <c r="D638" s="137"/>
      <c r="E638" s="282">
        <f>SUM(E634:E637)</f>
        <v>424000000</v>
      </c>
      <c r="F638" s="457">
        <f>SUM(F634:F637)</f>
        <v>6284964.7699999996</v>
      </c>
      <c r="G638" s="282">
        <f>SUM(G634:G637)</f>
        <v>69000000</v>
      </c>
      <c r="H638" s="104"/>
    </row>
    <row r="639" spans="1:8" ht="12.75" customHeight="1" x14ac:dyDescent="0.2">
      <c r="A639" s="362"/>
      <c r="B639" s="456"/>
      <c r="C639" s="490"/>
      <c r="D639" s="475" t="s">
        <v>474</v>
      </c>
      <c r="E639" s="325"/>
      <c r="F639" s="380"/>
      <c r="G639" s="325"/>
      <c r="H639" s="104"/>
    </row>
    <row r="640" spans="1:8" s="101" customFormat="1" ht="38.25" x14ac:dyDescent="0.25">
      <c r="A640" s="115" t="s">
        <v>352</v>
      </c>
      <c r="B640" s="115" t="s">
        <v>351</v>
      </c>
      <c r="C640" s="115" t="s">
        <v>94</v>
      </c>
      <c r="D640" s="115" t="s">
        <v>353</v>
      </c>
      <c r="E640" s="496" t="s">
        <v>618</v>
      </c>
      <c r="F640" s="496" t="s">
        <v>638</v>
      </c>
      <c r="G640" s="496" t="s">
        <v>637</v>
      </c>
    </row>
    <row r="641" spans="1:8" s="104" customFormat="1" ht="24.95" customHeight="1" x14ac:dyDescent="0.2">
      <c r="A641" s="171" t="s">
        <v>24</v>
      </c>
      <c r="B641" s="137" t="s">
        <v>25</v>
      </c>
      <c r="C641" s="328">
        <v>12021008</v>
      </c>
      <c r="D641" s="137" t="s">
        <v>487</v>
      </c>
      <c r="E641" s="139">
        <v>250000000</v>
      </c>
      <c r="F641" s="140">
        <v>166480669.00999999</v>
      </c>
      <c r="G641" s="139">
        <v>100000000</v>
      </c>
      <c r="H641" s="100"/>
    </row>
    <row r="642" spans="1:8" ht="24.95" customHeight="1" x14ac:dyDescent="0.2">
      <c r="A642" s="171" t="s">
        <v>24</v>
      </c>
      <c r="B642" s="137" t="s">
        <v>25</v>
      </c>
      <c r="C642" s="328">
        <v>12021007</v>
      </c>
      <c r="D642" s="137" t="s">
        <v>482</v>
      </c>
      <c r="E642" s="139">
        <f>2000000000+624848757-435050000</f>
        <v>2189798757</v>
      </c>
      <c r="F642" s="140">
        <f>593562210.02+1630528606.11</f>
        <v>2224090816.1300001</v>
      </c>
      <c r="G642" s="139">
        <v>1000000000</v>
      </c>
      <c r="H642" s="104"/>
    </row>
    <row r="643" spans="1:8" s="104" customFormat="1" ht="24.95" customHeight="1" x14ac:dyDescent="0.2">
      <c r="A643" s="229"/>
      <c r="B643" s="377"/>
      <c r="C643" s="318"/>
      <c r="D643" s="177"/>
      <c r="E643" s="177">
        <f>SUM(E641:E642)</f>
        <v>2439798757</v>
      </c>
      <c r="F643" s="204">
        <f>SUM(F641:F642)</f>
        <v>2390571485.1400003</v>
      </c>
      <c r="G643" s="177">
        <f>SUM(G641:G642)</f>
        <v>1100000000</v>
      </c>
      <c r="H643" s="100"/>
    </row>
    <row r="644" spans="1:8" s="104" customFormat="1" ht="24.95" customHeight="1" x14ac:dyDescent="0.2">
      <c r="A644" s="236"/>
      <c r="B644" s="370"/>
      <c r="C644" s="179"/>
      <c r="D644" s="180"/>
      <c r="E644" s="412"/>
      <c r="F644" s="331"/>
      <c r="G644" s="412"/>
      <c r="H644" s="100"/>
    </row>
    <row r="645" spans="1:8" ht="24.95" customHeight="1" x14ac:dyDescent="0.2">
      <c r="A645" s="194"/>
      <c r="B645" s="134"/>
      <c r="C645" s="133">
        <v>120211</v>
      </c>
      <c r="D645" s="134" t="s">
        <v>14</v>
      </c>
      <c r="E645" s="410">
        <f>E647</f>
        <v>1000000</v>
      </c>
      <c r="F645" s="136">
        <f>F647</f>
        <v>0</v>
      </c>
      <c r="G645" s="410">
        <f>G647</f>
        <v>0</v>
      </c>
      <c r="H645" s="104"/>
    </row>
    <row r="646" spans="1:8" s="104" customFormat="1" ht="24.95" customHeight="1" x14ac:dyDescent="0.2">
      <c r="A646" s="141" t="s">
        <v>96</v>
      </c>
      <c r="B646" s="142" t="s">
        <v>567</v>
      </c>
      <c r="C646" s="350">
        <v>12021101</v>
      </c>
      <c r="D646" s="142" t="s">
        <v>213</v>
      </c>
      <c r="E646" s="144">
        <v>1000000</v>
      </c>
      <c r="F646" s="145">
        <v>0</v>
      </c>
      <c r="G646" s="144">
        <v>0</v>
      </c>
    </row>
    <row r="647" spans="1:8" s="104" customFormat="1" ht="24.95" customHeight="1" x14ac:dyDescent="0.2">
      <c r="A647" s="225"/>
      <c r="B647" s="377"/>
      <c r="C647" s="149"/>
      <c r="D647" s="149"/>
      <c r="E647" s="149">
        <f>SUM(E646)</f>
        <v>1000000</v>
      </c>
      <c r="F647" s="209">
        <f>SUM(F646)</f>
        <v>0</v>
      </c>
      <c r="G647" s="149">
        <f>SUM(G646)</f>
        <v>0</v>
      </c>
    </row>
    <row r="648" spans="1:8" s="104" customFormat="1" ht="24.95" customHeight="1" x14ac:dyDescent="0.2">
      <c r="A648" s="535" t="s">
        <v>412</v>
      </c>
      <c r="B648" s="535"/>
      <c r="C648" s="129"/>
      <c r="D648" s="274"/>
      <c r="E648" s="129"/>
      <c r="F648" s="130"/>
      <c r="G648" s="129"/>
    </row>
    <row r="649" spans="1:8" s="101" customFormat="1" ht="38.25" x14ac:dyDescent="0.25">
      <c r="A649" s="115" t="s">
        <v>352</v>
      </c>
      <c r="B649" s="115" t="s">
        <v>351</v>
      </c>
      <c r="C649" s="115" t="s">
        <v>94</v>
      </c>
      <c r="D649" s="115" t="s">
        <v>353</v>
      </c>
      <c r="E649" s="496" t="s">
        <v>618</v>
      </c>
      <c r="F649" s="496" t="s">
        <v>638</v>
      </c>
      <c r="G649" s="496" t="s">
        <v>637</v>
      </c>
    </row>
    <row r="650" spans="1:8" s="101" customFormat="1" ht="24.95" customHeight="1" x14ac:dyDescent="0.25">
      <c r="A650" s="366">
        <v>13</v>
      </c>
      <c r="B650" s="367" t="s">
        <v>214</v>
      </c>
      <c r="C650" s="368">
        <v>13</v>
      </c>
      <c r="D650" s="367" t="s">
        <v>214</v>
      </c>
      <c r="E650" s="413">
        <f>E652+E689</f>
        <v>10257814254.49</v>
      </c>
      <c r="F650" s="369">
        <f>F652+F689</f>
        <v>553036894.10000002</v>
      </c>
      <c r="G650" s="413">
        <f>G652+G689</f>
        <v>10923889327</v>
      </c>
    </row>
    <row r="651" spans="1:8" s="101" customFormat="1" ht="24.95" customHeight="1" x14ac:dyDescent="0.25">
      <c r="A651" s="192"/>
      <c r="B651" s="193"/>
      <c r="C651" s="128"/>
      <c r="D651" s="193"/>
      <c r="E651" s="282"/>
      <c r="F651" s="190"/>
      <c r="G651" s="282"/>
    </row>
    <row r="652" spans="1:8" s="103" customFormat="1" ht="24.95" customHeight="1" x14ac:dyDescent="0.25">
      <c r="A652" s="194">
        <v>130203</v>
      </c>
      <c r="B652" s="134" t="s">
        <v>17</v>
      </c>
      <c r="C652" s="133">
        <v>130203</v>
      </c>
      <c r="D652" s="134" t="s">
        <v>17</v>
      </c>
      <c r="E652" s="135">
        <f>E654+E657+E660+E668+E674+E678+E682+E686</f>
        <v>9637814254.4899998</v>
      </c>
      <c r="F652" s="419">
        <f>F654+F657+F660+F668+F674+F678+F682+F686</f>
        <v>553036894.10000002</v>
      </c>
      <c r="G652" s="135">
        <f>G654+G657+G660+G668+G674+G678+G682+G686</f>
        <v>10849889327</v>
      </c>
      <c r="H652" s="101"/>
    </row>
    <row r="653" spans="1:8" s="101" customFormat="1" ht="24.95" customHeight="1" x14ac:dyDescent="0.25">
      <c r="A653" s="126">
        <v>51700300100</v>
      </c>
      <c r="B653" s="142" t="s">
        <v>63</v>
      </c>
      <c r="C653" s="138">
        <v>13020301</v>
      </c>
      <c r="D653" s="137" t="s">
        <v>215</v>
      </c>
      <c r="E653" s="139">
        <v>1200000000</v>
      </c>
      <c r="F653" s="140">
        <v>0</v>
      </c>
      <c r="G653" s="139">
        <v>1200000000</v>
      </c>
    </row>
    <row r="654" spans="1:8" s="101" customFormat="1" ht="24.95" customHeight="1" x14ac:dyDescent="0.25">
      <c r="A654" s="223"/>
      <c r="B654" s="226"/>
      <c r="C654" s="225"/>
      <c r="D654" s="226"/>
      <c r="E654" s="149">
        <f>SUM(E653)</f>
        <v>1200000000</v>
      </c>
      <c r="F654" s="209">
        <f>SUM(F653)</f>
        <v>0</v>
      </c>
      <c r="G654" s="149">
        <f>SUM(G653)</f>
        <v>1200000000</v>
      </c>
    </row>
    <row r="655" spans="1:8" s="103" customFormat="1" ht="24.95" customHeight="1" x14ac:dyDescent="0.25">
      <c r="A655" s="253"/>
      <c r="B655" s="370"/>
      <c r="C655" s="129"/>
      <c r="D655" s="189"/>
      <c r="E655" s="282"/>
      <c r="F655" s="190"/>
      <c r="G655" s="282"/>
      <c r="H655" s="101"/>
    </row>
    <row r="656" spans="1:8" s="101" customFormat="1" ht="24.95" customHeight="1" x14ac:dyDescent="0.25">
      <c r="A656" s="264" t="s">
        <v>298</v>
      </c>
      <c r="B656" s="137" t="s">
        <v>297</v>
      </c>
      <c r="C656" s="138">
        <v>13020302</v>
      </c>
      <c r="D656" s="137" t="s">
        <v>299</v>
      </c>
      <c r="E656" s="139">
        <v>200000000</v>
      </c>
      <c r="F656" s="140">
        <v>0</v>
      </c>
      <c r="G656" s="139">
        <v>500000000</v>
      </c>
    </row>
    <row r="657" spans="1:8" s="104" customFormat="1" ht="24.95" customHeight="1" x14ac:dyDescent="0.2">
      <c r="A657" s="207"/>
      <c r="B657" s="208"/>
      <c r="C657" s="149"/>
      <c r="D657" s="149"/>
      <c r="E657" s="149">
        <f>SUM(E656:E656)</f>
        <v>200000000</v>
      </c>
      <c r="F657" s="209">
        <f>SUM(F656:F656)</f>
        <v>0</v>
      </c>
      <c r="G657" s="149">
        <f>SUM(G656:G656)</f>
        <v>500000000</v>
      </c>
      <c r="H657" s="105"/>
    </row>
    <row r="658" spans="1:8" ht="24.95" customHeight="1" x14ac:dyDescent="0.2">
      <c r="A658" s="320"/>
      <c r="B658" s="127"/>
      <c r="C658" s="181"/>
      <c r="D658" s="274"/>
      <c r="E658" s="181"/>
      <c r="F658" s="206"/>
      <c r="G658" s="181"/>
      <c r="H658" s="104"/>
    </row>
    <row r="659" spans="1:8" ht="24.95" customHeight="1" x14ac:dyDescent="0.2">
      <c r="A659" s="126" t="s">
        <v>27</v>
      </c>
      <c r="B659" s="137" t="s">
        <v>28</v>
      </c>
      <c r="C659" s="138">
        <v>13020406</v>
      </c>
      <c r="D659" s="312" t="s">
        <v>572</v>
      </c>
      <c r="E659" s="139">
        <v>2000000000</v>
      </c>
      <c r="F659" s="140">
        <v>2500000</v>
      </c>
      <c r="G659" s="139">
        <v>2000000000</v>
      </c>
    </row>
    <row r="660" spans="1:8" s="104" customFormat="1" ht="24.95" customHeight="1" x14ac:dyDescent="0.2">
      <c r="A660" s="261"/>
      <c r="B660" s="262"/>
      <c r="C660" s="263"/>
      <c r="D660" s="276"/>
      <c r="E660" s="451">
        <f>SUM(E659:E659)</f>
        <v>2000000000</v>
      </c>
      <c r="F660" s="515">
        <f>SUM(F659:F659)</f>
        <v>2500000</v>
      </c>
      <c r="G660" s="451">
        <f>SUM(G659:G659)</f>
        <v>2000000000</v>
      </c>
    </row>
    <row r="661" spans="1:8" ht="18.75" customHeight="1" x14ac:dyDescent="0.2">
      <c r="A661" s="198"/>
      <c r="B661" s="127"/>
      <c r="C661" s="138"/>
      <c r="D661" s="274" t="s">
        <v>475</v>
      </c>
      <c r="E661" s="152"/>
      <c r="F661" s="365"/>
      <c r="G661" s="152"/>
    </row>
    <row r="662" spans="1:8" s="101" customFormat="1" ht="38.25" x14ac:dyDescent="0.25">
      <c r="A662" s="115" t="s">
        <v>352</v>
      </c>
      <c r="B662" s="115" t="s">
        <v>351</v>
      </c>
      <c r="C662" s="115" t="s">
        <v>94</v>
      </c>
      <c r="D662" s="115" t="s">
        <v>353</v>
      </c>
      <c r="E662" s="496" t="s">
        <v>618</v>
      </c>
      <c r="F662" s="496" t="s">
        <v>638</v>
      </c>
      <c r="G662" s="496" t="s">
        <v>637</v>
      </c>
    </row>
    <row r="663" spans="1:8" s="104" customFormat="1" ht="24.95" customHeight="1" x14ac:dyDescent="0.2">
      <c r="A663" s="320" t="s">
        <v>59</v>
      </c>
      <c r="B663" s="137" t="s">
        <v>60</v>
      </c>
      <c r="C663" s="138">
        <v>13020304</v>
      </c>
      <c r="D663" s="312" t="s">
        <v>293</v>
      </c>
      <c r="E663" s="139">
        <v>150000000</v>
      </c>
      <c r="F663" s="140">
        <f>24025661.41+29214358.94</f>
        <v>53240020.350000001</v>
      </c>
      <c r="G663" s="139">
        <v>70000000</v>
      </c>
      <c r="H663" s="105"/>
    </row>
    <row r="664" spans="1:8" s="104" customFormat="1" ht="24.95" customHeight="1" x14ac:dyDescent="0.2">
      <c r="A664" s="126" t="s">
        <v>59</v>
      </c>
      <c r="B664" s="137" t="s">
        <v>60</v>
      </c>
      <c r="C664" s="138">
        <v>13020305</v>
      </c>
      <c r="D664" s="312" t="s">
        <v>294</v>
      </c>
      <c r="E664" s="139">
        <v>80000000</v>
      </c>
      <c r="F664" s="140">
        <f>7337952.25+8428322.41</f>
        <v>15766274.66</v>
      </c>
      <c r="G664" s="139">
        <v>60000000</v>
      </c>
      <c r="H664" s="105"/>
    </row>
    <row r="665" spans="1:8" s="104" customFormat="1" ht="24.95" customHeight="1" x14ac:dyDescent="0.2">
      <c r="A665" s="126" t="s">
        <v>59</v>
      </c>
      <c r="B665" s="137" t="s">
        <v>60</v>
      </c>
      <c r="C665" s="138">
        <v>13020306</v>
      </c>
      <c r="D665" s="312" t="s">
        <v>292</v>
      </c>
      <c r="E665" s="139">
        <v>100000000</v>
      </c>
      <c r="F665" s="140">
        <f>22753140+16126628.8</f>
        <v>38879768.799999997</v>
      </c>
      <c r="G665" s="139">
        <v>80000000</v>
      </c>
      <c r="H665" s="105"/>
    </row>
    <row r="666" spans="1:8" s="104" customFormat="1" ht="20.100000000000001" customHeight="1" x14ac:dyDescent="0.2">
      <c r="A666" s="126" t="s">
        <v>59</v>
      </c>
      <c r="B666" s="137" t="s">
        <v>60</v>
      </c>
      <c r="C666" s="138">
        <v>13020308</v>
      </c>
      <c r="D666" s="371" t="s">
        <v>596</v>
      </c>
      <c r="E666" s="139">
        <v>8000000</v>
      </c>
      <c r="F666" s="140">
        <f>1095000+1642500</f>
        <v>2737500</v>
      </c>
      <c r="G666" s="139">
        <v>8000000</v>
      </c>
      <c r="H666" s="105"/>
    </row>
    <row r="667" spans="1:8" s="104" customFormat="1" ht="20.100000000000001" customHeight="1" x14ac:dyDescent="0.2">
      <c r="A667" s="126" t="s">
        <v>59</v>
      </c>
      <c r="B667" s="137" t="s">
        <v>60</v>
      </c>
      <c r="C667" s="138">
        <v>13020309</v>
      </c>
      <c r="D667" s="371" t="s">
        <v>363</v>
      </c>
      <c r="E667" s="139">
        <v>16000000</v>
      </c>
      <c r="F667" s="140">
        <f>2865000+1970000</f>
        <v>4835000</v>
      </c>
      <c r="G667" s="139">
        <v>16000000</v>
      </c>
      <c r="H667" s="105"/>
    </row>
    <row r="668" spans="1:8" s="104" customFormat="1" ht="20.100000000000001" customHeight="1" x14ac:dyDescent="0.2">
      <c r="A668" s="223"/>
      <c r="B668" s="226"/>
      <c r="C668" s="225"/>
      <c r="D668" s="149"/>
      <c r="E668" s="149">
        <f>SUM(E663:E667)</f>
        <v>354000000</v>
      </c>
      <c r="F668" s="209">
        <f>SUM(F663:F667)</f>
        <v>115458563.81</v>
      </c>
      <c r="G668" s="149">
        <f>SUM(G663:G667)</f>
        <v>234000000</v>
      </c>
      <c r="H668" s="105"/>
    </row>
    <row r="669" spans="1:8" s="104" customFormat="1" ht="20.100000000000001" customHeight="1" x14ac:dyDescent="0.2">
      <c r="A669" s="126"/>
      <c r="B669" s="137"/>
      <c r="C669" s="138"/>
      <c r="D669" s="371"/>
      <c r="E669" s="139"/>
      <c r="F669" s="140"/>
      <c r="G669" s="139"/>
      <c r="H669" s="105"/>
    </row>
    <row r="670" spans="1:8" s="104" customFormat="1" ht="24.95" customHeight="1" x14ac:dyDescent="0.2">
      <c r="A670" s="320" t="s">
        <v>96</v>
      </c>
      <c r="B670" s="477" t="s">
        <v>567</v>
      </c>
      <c r="C670" s="250">
        <v>13020313</v>
      </c>
      <c r="D670" s="477" t="s">
        <v>628</v>
      </c>
      <c r="E670" s="361">
        <v>200000000</v>
      </c>
      <c r="F670" s="517">
        <v>0</v>
      </c>
      <c r="G670" s="361">
        <v>200000000</v>
      </c>
      <c r="H670" s="105"/>
    </row>
    <row r="671" spans="1:8" s="104" customFormat="1" ht="24.95" customHeight="1" x14ac:dyDescent="0.2">
      <c r="A671" s="245" t="s">
        <v>96</v>
      </c>
      <c r="B671" s="127" t="s">
        <v>567</v>
      </c>
      <c r="C671" s="312">
        <v>13020314</v>
      </c>
      <c r="D671" s="127" t="s">
        <v>597</v>
      </c>
      <c r="E671" s="371">
        <v>1500000000</v>
      </c>
      <c r="F671" s="365">
        <v>0</v>
      </c>
      <c r="G671" s="371">
        <v>2500000000</v>
      </c>
      <c r="H671" s="105"/>
    </row>
    <row r="672" spans="1:8" s="104" customFormat="1" ht="24.95" customHeight="1" x14ac:dyDescent="0.2">
      <c r="A672" s="245" t="s">
        <v>96</v>
      </c>
      <c r="B672" s="127" t="s">
        <v>567</v>
      </c>
      <c r="C672" s="312">
        <v>13020407</v>
      </c>
      <c r="D672" s="127" t="s">
        <v>632</v>
      </c>
      <c r="E672" s="371">
        <v>0</v>
      </c>
      <c r="F672" s="365">
        <v>0</v>
      </c>
      <c r="G672" s="371">
        <v>1000000000</v>
      </c>
      <c r="H672" s="105"/>
    </row>
    <row r="673" spans="1:8" s="104" customFormat="1" ht="24.95" customHeight="1" x14ac:dyDescent="0.2">
      <c r="A673" s="141" t="s">
        <v>96</v>
      </c>
      <c r="B673" s="518" t="s">
        <v>567</v>
      </c>
      <c r="C673" s="312">
        <v>13020316</v>
      </c>
      <c r="D673" s="127" t="s">
        <v>635</v>
      </c>
      <c r="E673" s="519">
        <v>0</v>
      </c>
      <c r="F673" s="520">
        <v>0</v>
      </c>
      <c r="G673" s="139">
        <v>1000000000</v>
      </c>
      <c r="H673" s="105"/>
    </row>
    <row r="674" spans="1:8" s="104" customFormat="1" ht="24.95" customHeight="1" x14ac:dyDescent="0.2">
      <c r="A674" s="207"/>
      <c r="B674" s="208"/>
      <c r="C674" s="149"/>
      <c r="D674" s="149"/>
      <c r="E674" s="149">
        <f>SUM(E670:E673)</f>
        <v>1700000000</v>
      </c>
      <c r="F674" s="499">
        <f t="shared" ref="F674:G674" si="69">SUM(F670:F673)</f>
        <v>0</v>
      </c>
      <c r="G674" s="149">
        <f t="shared" si="69"/>
        <v>4700000000</v>
      </c>
      <c r="H674" s="105"/>
    </row>
    <row r="675" spans="1:8" s="104" customFormat="1" ht="24.95" customHeight="1" x14ac:dyDescent="0.2">
      <c r="A675" s="293" t="s">
        <v>440</v>
      </c>
      <c r="B675" s="250" t="s">
        <v>441</v>
      </c>
      <c r="C675" s="304">
        <v>13020310</v>
      </c>
      <c r="D675" s="361" t="s">
        <v>452</v>
      </c>
      <c r="E675" s="414">
        <v>10000000</v>
      </c>
      <c r="F675" s="372">
        <v>0</v>
      </c>
      <c r="G675" s="414">
        <f>0.4*E675</f>
        <v>4000000</v>
      </c>
      <c r="H675" s="105"/>
    </row>
    <row r="676" spans="1:8" s="104" customFormat="1" ht="24.95" customHeight="1" x14ac:dyDescent="0.2">
      <c r="A676" s="264" t="s">
        <v>440</v>
      </c>
      <c r="B676" s="312" t="s">
        <v>441</v>
      </c>
      <c r="C676" s="138">
        <v>13020311</v>
      </c>
      <c r="D676" s="371" t="s">
        <v>453</v>
      </c>
      <c r="E676" s="139">
        <v>1000000000</v>
      </c>
      <c r="F676" s="140">
        <f>412033850+23044480.29</f>
        <v>435078330.29000002</v>
      </c>
      <c r="G676" s="139">
        <v>700000000</v>
      </c>
      <c r="H676" s="105"/>
    </row>
    <row r="677" spans="1:8" s="104" customFormat="1" ht="24.95" customHeight="1" x14ac:dyDescent="0.2">
      <c r="A677" s="264" t="s">
        <v>440</v>
      </c>
      <c r="B677" s="312" t="s">
        <v>441</v>
      </c>
      <c r="C677" s="138">
        <v>13020312</v>
      </c>
      <c r="D677" s="371" t="s">
        <v>139</v>
      </c>
      <c r="E677" s="139">
        <v>20000000</v>
      </c>
      <c r="F677" s="140">
        <v>0</v>
      </c>
      <c r="G677" s="139">
        <f t="shared" ref="G677" si="70">0.4*E677</f>
        <v>8000000</v>
      </c>
      <c r="H677" s="105"/>
    </row>
    <row r="678" spans="1:8" s="104" customFormat="1" ht="21.95" customHeight="1" x14ac:dyDescent="0.2">
      <c r="A678" s="307"/>
      <c r="B678" s="208"/>
      <c r="C678" s="373"/>
      <c r="D678" s="148"/>
      <c r="E678" s="411">
        <f>SUM(E675:E677)</f>
        <v>1030000000</v>
      </c>
      <c r="F678" s="209">
        <f>SUM(F675:F677)</f>
        <v>435078330.29000002</v>
      </c>
      <c r="G678" s="411">
        <f>SUM(G675:G677)</f>
        <v>712000000</v>
      </c>
      <c r="H678" s="105"/>
    </row>
    <row r="679" spans="1:8" s="104" customFormat="1" ht="21.95" customHeight="1" x14ac:dyDescent="0.2">
      <c r="A679" s="258"/>
      <c r="B679" s="259"/>
      <c r="C679" s="374"/>
      <c r="D679" s="361"/>
      <c r="E679" s="414"/>
      <c r="F679" s="372"/>
      <c r="G679" s="414"/>
      <c r="H679" s="105"/>
    </row>
    <row r="680" spans="1:8" s="104" customFormat="1" ht="21.95" customHeight="1" x14ac:dyDescent="0.2">
      <c r="A680" s="264" t="s">
        <v>454</v>
      </c>
      <c r="B680" s="312" t="s">
        <v>455</v>
      </c>
      <c r="C680" s="138">
        <v>13020311</v>
      </c>
      <c r="D680" s="371" t="s">
        <v>634</v>
      </c>
      <c r="E680" s="139">
        <v>1000000000</v>
      </c>
      <c r="F680" s="140">
        <v>0</v>
      </c>
      <c r="G680" s="139">
        <f>700000000</f>
        <v>700000000</v>
      </c>
      <c r="H680" s="105"/>
    </row>
    <row r="681" spans="1:8" s="104" customFormat="1" ht="21.95" customHeight="1" x14ac:dyDescent="0.2">
      <c r="A681" s="264" t="s">
        <v>454</v>
      </c>
      <c r="B681" s="312" t="s">
        <v>455</v>
      </c>
      <c r="C681" s="138"/>
      <c r="D681" s="371" t="s">
        <v>594</v>
      </c>
      <c r="E681" s="139">
        <v>50000000</v>
      </c>
      <c r="F681" s="140">
        <v>0</v>
      </c>
      <c r="G681" s="139">
        <f t="shared" ref="G681" si="71">0.4*E681</f>
        <v>20000000</v>
      </c>
      <c r="H681" s="105"/>
    </row>
    <row r="682" spans="1:8" s="104" customFormat="1" ht="21.95" customHeight="1" x14ac:dyDescent="0.2">
      <c r="A682" s="307"/>
      <c r="B682" s="208"/>
      <c r="C682" s="373"/>
      <c r="D682" s="148"/>
      <c r="E682" s="411">
        <f>SUM(E680:E681)</f>
        <v>1050000000</v>
      </c>
      <c r="F682" s="418">
        <f>SUM(F680:F681)</f>
        <v>0</v>
      </c>
      <c r="G682" s="411">
        <f>SUM(G680:G681)</f>
        <v>720000000</v>
      </c>
      <c r="H682" s="105"/>
    </row>
    <row r="683" spans="1:8" ht="21.95" customHeight="1" x14ac:dyDescent="0.2">
      <c r="A683" s="320"/>
      <c r="B683" s="127"/>
      <c r="C683" s="181"/>
      <c r="D683" s="274"/>
      <c r="E683" s="181"/>
      <c r="F683" s="206"/>
      <c r="G683" s="181"/>
      <c r="H683" s="104"/>
    </row>
    <row r="684" spans="1:8" ht="21.95" customHeight="1" x14ac:dyDescent="0.2">
      <c r="A684" s="241" t="s">
        <v>424</v>
      </c>
      <c r="B684" s="138" t="s">
        <v>644</v>
      </c>
      <c r="C684" s="312">
        <v>13020311</v>
      </c>
      <c r="D684" s="152" t="s">
        <v>478</v>
      </c>
      <c r="E684" s="371">
        <f>2103514254.49-100000</f>
        <v>2103414254.49</v>
      </c>
      <c r="F684" s="365">
        <v>0</v>
      </c>
      <c r="G684" s="371">
        <f>300000000+483729327</f>
        <v>783729327</v>
      </c>
      <c r="H684" s="104"/>
    </row>
    <row r="685" spans="1:8" ht="21.95" customHeight="1" x14ac:dyDescent="0.2">
      <c r="A685" s="241" t="s">
        <v>424</v>
      </c>
      <c r="B685" s="138" t="s">
        <v>644</v>
      </c>
      <c r="C685" s="312">
        <v>13020312</v>
      </c>
      <c r="D685" s="152" t="s">
        <v>583</v>
      </c>
      <c r="E685" s="371">
        <v>400000</v>
      </c>
      <c r="F685" s="365">
        <v>0</v>
      </c>
      <c r="G685" s="371">
        <f t="shared" ref="G685" si="72">0.4*E685</f>
        <v>160000</v>
      </c>
      <c r="H685" s="104"/>
    </row>
    <row r="686" spans="1:8" ht="18" customHeight="1" x14ac:dyDescent="0.2">
      <c r="A686" s="320"/>
      <c r="B686" s="477"/>
      <c r="C686" s="181"/>
      <c r="D686" s="475"/>
      <c r="E686" s="216">
        <f>SUM(E684:E685)</f>
        <v>2103814254.49</v>
      </c>
      <c r="F686" s="491">
        <f>SUM(F684:F685)</f>
        <v>0</v>
      </c>
      <c r="G686" s="216">
        <f>SUM(G684:G685)</f>
        <v>783889327</v>
      </c>
      <c r="H686" s="104"/>
    </row>
    <row r="687" spans="1:8" ht="12" customHeight="1" x14ac:dyDescent="0.2">
      <c r="A687" s="474"/>
      <c r="B687" s="477"/>
      <c r="C687" s="256"/>
      <c r="D687" s="475" t="s">
        <v>476</v>
      </c>
      <c r="E687" s="256"/>
      <c r="F687" s="257"/>
      <c r="G687" s="256"/>
      <c r="H687" s="104"/>
    </row>
    <row r="688" spans="1:8" s="101" customFormat="1" ht="38.25" x14ac:dyDescent="0.25">
      <c r="A688" s="115" t="s">
        <v>352</v>
      </c>
      <c r="B688" s="115" t="s">
        <v>351</v>
      </c>
      <c r="C688" s="115" t="s">
        <v>94</v>
      </c>
      <c r="D688" s="115" t="s">
        <v>353</v>
      </c>
      <c r="E688" s="496" t="s">
        <v>618</v>
      </c>
      <c r="F688" s="496" t="s">
        <v>638</v>
      </c>
      <c r="G688" s="496" t="s">
        <v>637</v>
      </c>
    </row>
    <row r="689" spans="1:8" s="104" customFormat="1" ht="24.95" customHeight="1" x14ac:dyDescent="0.2">
      <c r="A689" s="194"/>
      <c r="B689" s="134"/>
      <c r="C689" s="133">
        <v>130204</v>
      </c>
      <c r="D689" s="134" t="s">
        <v>18</v>
      </c>
      <c r="E689" s="319">
        <f>E693+E697+E700+E703</f>
        <v>620000000</v>
      </c>
      <c r="F689" s="419">
        <f>F693+F697+F700+F703</f>
        <v>0</v>
      </c>
      <c r="G689" s="319">
        <f>G693+G697+G700+G703</f>
        <v>74000000</v>
      </c>
    </row>
    <row r="690" spans="1:8" s="104" customFormat="1" ht="24.95" customHeight="1" x14ac:dyDescent="0.2">
      <c r="A690" s="126"/>
      <c r="B690" s="137"/>
      <c r="C690" s="138"/>
      <c r="D690" s="397"/>
      <c r="E690" s="371"/>
      <c r="F690" s="365"/>
      <c r="G690" s="371"/>
      <c r="H690" s="100"/>
    </row>
    <row r="691" spans="1:8" s="104" customFormat="1" ht="24.95" customHeight="1" x14ac:dyDescent="0.2">
      <c r="A691" s="126" t="s">
        <v>96</v>
      </c>
      <c r="B691" s="137" t="s">
        <v>567</v>
      </c>
      <c r="C691" s="138">
        <v>13020403</v>
      </c>
      <c r="D691" s="137" t="s">
        <v>598</v>
      </c>
      <c r="E691" s="139">
        <v>50000000</v>
      </c>
      <c r="F691" s="140">
        <v>0</v>
      </c>
      <c r="G691" s="139">
        <v>0</v>
      </c>
      <c r="H691" s="100"/>
    </row>
    <row r="692" spans="1:8" s="104" customFormat="1" ht="24.95" customHeight="1" x14ac:dyDescent="0.2">
      <c r="A692" s="126" t="s">
        <v>96</v>
      </c>
      <c r="B692" s="137" t="s">
        <v>567</v>
      </c>
      <c r="C692" s="138">
        <v>13020404</v>
      </c>
      <c r="D692" s="137" t="s">
        <v>560</v>
      </c>
      <c r="E692" s="139">
        <v>10000000</v>
      </c>
      <c r="F692" s="140">
        <v>0</v>
      </c>
      <c r="G692" s="139">
        <v>0</v>
      </c>
    </row>
    <row r="693" spans="1:8" ht="24.95" customHeight="1" x14ac:dyDescent="0.2">
      <c r="A693" s="207"/>
      <c r="B693" s="208"/>
      <c r="C693" s="149"/>
      <c r="D693" s="149"/>
      <c r="E693" s="149">
        <f>SUM(E690:E692)</f>
        <v>60000000</v>
      </c>
      <c r="F693" s="209">
        <f>SUM(F690:F692)</f>
        <v>0</v>
      </c>
      <c r="G693" s="149">
        <f>SUM(G690:G692)</f>
        <v>0</v>
      </c>
    </row>
    <row r="694" spans="1:8" ht="24.95" customHeight="1" x14ac:dyDescent="0.2">
      <c r="A694" s="126"/>
      <c r="B694" s="137"/>
      <c r="C694" s="129"/>
      <c r="D694" s="189"/>
      <c r="E694" s="282"/>
      <c r="F694" s="190"/>
      <c r="G694" s="282"/>
    </row>
    <row r="695" spans="1:8" ht="24.95" customHeight="1" x14ac:dyDescent="0.2">
      <c r="A695" s="126" t="s">
        <v>216</v>
      </c>
      <c r="B695" s="137" t="s">
        <v>217</v>
      </c>
      <c r="C695" s="138">
        <v>13020405</v>
      </c>
      <c r="D695" s="137" t="s">
        <v>247</v>
      </c>
      <c r="E695" s="139">
        <v>50000000</v>
      </c>
      <c r="F695" s="140">
        <v>0</v>
      </c>
      <c r="G695" s="139">
        <f>0.4*E695</f>
        <v>20000000</v>
      </c>
    </row>
    <row r="696" spans="1:8" ht="24.95" customHeight="1" x14ac:dyDescent="0.2">
      <c r="A696" s="126" t="s">
        <v>216</v>
      </c>
      <c r="B696" s="137" t="s">
        <v>217</v>
      </c>
      <c r="C696" s="138">
        <v>13020404</v>
      </c>
      <c r="D696" s="137" t="s">
        <v>560</v>
      </c>
      <c r="E696" s="139">
        <v>10000000</v>
      </c>
      <c r="F696" s="140">
        <v>0</v>
      </c>
      <c r="G696" s="139">
        <f>0.4*E696</f>
        <v>4000000</v>
      </c>
    </row>
    <row r="697" spans="1:8" ht="24.95" customHeight="1" x14ac:dyDescent="0.2">
      <c r="A697" s="207"/>
      <c r="B697" s="208"/>
      <c r="C697" s="149"/>
      <c r="D697" s="149"/>
      <c r="E697" s="149">
        <f>SUM(E695:E696)</f>
        <v>60000000</v>
      </c>
      <c r="F697" s="209">
        <f>SUM(F695:F696)</f>
        <v>0</v>
      </c>
      <c r="G697" s="149">
        <f>SUM(G695:G696)</f>
        <v>24000000</v>
      </c>
    </row>
    <row r="698" spans="1:8" ht="24.95" customHeight="1" x14ac:dyDescent="0.2">
      <c r="A698" s="320"/>
      <c r="B698" s="127"/>
      <c r="C698" s="181"/>
      <c r="D698" s="274"/>
      <c r="E698" s="181"/>
      <c r="F698" s="206"/>
      <c r="G698" s="181"/>
      <c r="H698" s="104"/>
    </row>
    <row r="699" spans="1:8" ht="24.95" customHeight="1" x14ac:dyDescent="0.2">
      <c r="A699" s="264" t="s">
        <v>46</v>
      </c>
      <c r="B699" s="137" t="s">
        <v>47</v>
      </c>
      <c r="C699" s="138">
        <v>13020408</v>
      </c>
      <c r="D699" s="137" t="s">
        <v>577</v>
      </c>
      <c r="E699" s="139">
        <v>500000000</v>
      </c>
      <c r="F699" s="140">
        <v>0</v>
      </c>
      <c r="G699" s="139">
        <v>50000000</v>
      </c>
    </row>
    <row r="700" spans="1:8" ht="24.95" customHeight="1" x14ac:dyDescent="0.2">
      <c r="A700" s="225"/>
      <c r="B700" s="377"/>
      <c r="C700" s="149"/>
      <c r="D700" s="149"/>
      <c r="E700" s="149">
        <f>SUM(E699:E699)</f>
        <v>500000000</v>
      </c>
      <c r="F700" s="209">
        <f>SUM(F699:F699)</f>
        <v>0</v>
      </c>
      <c r="G700" s="149">
        <f>SUM(G699:G699)</f>
        <v>50000000</v>
      </c>
    </row>
    <row r="701" spans="1:8" ht="24.95" customHeight="1" x14ac:dyDescent="0.2">
      <c r="A701" s="192"/>
      <c r="B701" s="370"/>
      <c r="C701" s="129"/>
      <c r="D701" s="189"/>
      <c r="E701" s="282"/>
      <c r="F701" s="190"/>
      <c r="G701" s="282"/>
    </row>
    <row r="702" spans="1:8" ht="24.95" customHeight="1" x14ac:dyDescent="0.2">
      <c r="A702" s="141" t="s">
        <v>50</v>
      </c>
      <c r="B702" s="142" t="s">
        <v>608</v>
      </c>
      <c r="C702" s="143">
        <v>13020409</v>
      </c>
      <c r="D702" s="142" t="s">
        <v>380</v>
      </c>
      <c r="E702" s="144">
        <v>0</v>
      </c>
      <c r="F702" s="145">
        <v>0</v>
      </c>
      <c r="G702" s="144">
        <v>0</v>
      </c>
    </row>
    <row r="703" spans="1:8" ht="24.95" customHeight="1" x14ac:dyDescent="0.2">
      <c r="A703" s="215"/>
      <c r="B703" s="378"/>
      <c r="C703" s="216"/>
      <c r="D703" s="216"/>
      <c r="E703" s="216">
        <f>SUM(E702)</f>
        <v>0</v>
      </c>
      <c r="F703" s="217">
        <f>SUM(F702)</f>
        <v>0</v>
      </c>
      <c r="G703" s="216">
        <f>SUM(G702)</f>
        <v>0</v>
      </c>
    </row>
    <row r="704" spans="1:8" ht="24.95" customHeight="1" x14ac:dyDescent="0.2">
      <c r="A704" s="324"/>
      <c r="B704" s="379"/>
      <c r="C704" s="325"/>
      <c r="D704" s="325"/>
      <c r="E704" s="325"/>
      <c r="F704" s="380"/>
      <c r="G704" s="325"/>
    </row>
    <row r="705" spans="1:8" ht="24.95" customHeight="1" x14ac:dyDescent="0.2">
      <c r="A705" s="128"/>
      <c r="B705" s="381"/>
      <c r="C705" s="129"/>
      <c r="D705" s="129"/>
      <c r="E705" s="129"/>
      <c r="F705" s="130"/>
      <c r="G705" s="129"/>
    </row>
    <row r="706" spans="1:8" ht="24.95" customHeight="1" x14ac:dyDescent="0.2">
      <c r="A706" s="128"/>
      <c r="B706" s="381"/>
      <c r="C706" s="129"/>
      <c r="D706" s="129"/>
      <c r="E706" s="129"/>
      <c r="F706" s="130"/>
      <c r="G706" s="129"/>
    </row>
    <row r="707" spans="1:8" ht="24.95" customHeight="1" x14ac:dyDescent="0.2">
      <c r="A707" s="128"/>
      <c r="B707" s="381"/>
      <c r="C707" s="129"/>
      <c r="D707" s="129"/>
      <c r="E707" s="129"/>
      <c r="F707" s="130"/>
      <c r="G707" s="129"/>
    </row>
    <row r="708" spans="1:8" ht="24.95" customHeight="1" x14ac:dyDescent="0.2">
      <c r="A708" s="198"/>
      <c r="B708" s="127"/>
      <c r="C708" s="179"/>
      <c r="D708" s="274" t="s">
        <v>477</v>
      </c>
      <c r="E708" s="179"/>
      <c r="F708" s="206"/>
      <c r="G708" s="179"/>
      <c r="H708" s="104"/>
    </row>
    <row r="709" spans="1:8" s="101" customFormat="1" ht="38.25" x14ac:dyDescent="0.25">
      <c r="A709" s="115" t="s">
        <v>352</v>
      </c>
      <c r="B709" s="115" t="s">
        <v>351</v>
      </c>
      <c r="C709" s="115" t="s">
        <v>94</v>
      </c>
      <c r="D709" s="115" t="s">
        <v>353</v>
      </c>
      <c r="E709" s="496" t="s">
        <v>618</v>
      </c>
      <c r="F709" s="496" t="s">
        <v>638</v>
      </c>
      <c r="G709" s="496" t="s">
        <v>637</v>
      </c>
    </row>
    <row r="710" spans="1:8" s="101" customFormat="1" ht="24.95" customHeight="1" x14ac:dyDescent="0.25">
      <c r="A710" s="218"/>
      <c r="B710" s="219"/>
      <c r="C710" s="220"/>
      <c r="D710" s="219"/>
      <c r="E710" s="415"/>
      <c r="F710" s="221"/>
      <c r="G710" s="415"/>
    </row>
    <row r="711" spans="1:8" ht="24.95" customHeight="1" x14ac:dyDescent="0.2">
      <c r="A711" s="191"/>
      <c r="B711" s="123"/>
      <c r="C711" s="122">
        <v>14</v>
      </c>
      <c r="D711" s="123" t="s">
        <v>219</v>
      </c>
      <c r="E711" s="124">
        <f>E713</f>
        <v>1076000000</v>
      </c>
      <c r="F711" s="382">
        <f>F713</f>
        <v>3378145652.0700002</v>
      </c>
      <c r="G711" s="124">
        <f>G713</f>
        <v>3078211408</v>
      </c>
      <c r="H711" s="104"/>
    </row>
    <row r="712" spans="1:8" ht="24.95" customHeight="1" x14ac:dyDescent="0.2">
      <c r="A712" s="192"/>
      <c r="B712" s="193"/>
      <c r="C712" s="128"/>
      <c r="D712" s="193"/>
      <c r="E712" s="189"/>
      <c r="F712" s="383"/>
      <c r="G712" s="189"/>
      <c r="H712" s="104"/>
    </row>
    <row r="713" spans="1:8" s="104" customFormat="1" ht="24.95" customHeight="1" x14ac:dyDescent="0.2">
      <c r="A713" s="194"/>
      <c r="B713" s="134"/>
      <c r="C713" s="133">
        <v>140201</v>
      </c>
      <c r="D713" s="134" t="s">
        <v>19</v>
      </c>
      <c r="E713" s="135">
        <f>E715</f>
        <v>1076000000</v>
      </c>
      <c r="F713" s="384">
        <f>F715</f>
        <v>3378145652.0700002</v>
      </c>
      <c r="G713" s="135">
        <f>G715</f>
        <v>3078211408</v>
      </c>
      <c r="H713" s="100"/>
    </row>
    <row r="714" spans="1:8" s="104" customFormat="1" ht="24.95" customHeight="1" x14ac:dyDescent="0.2">
      <c r="A714" s="333" t="s">
        <v>41</v>
      </c>
      <c r="B714" s="137" t="s">
        <v>369</v>
      </c>
      <c r="C714" s="138">
        <v>14020101</v>
      </c>
      <c r="D714" s="137" t="s">
        <v>220</v>
      </c>
      <c r="E714" s="371">
        <v>1076000000</v>
      </c>
      <c r="F714" s="365">
        <v>3378145652.0700002</v>
      </c>
      <c r="G714" s="371">
        <f>1978211408+1100000000</f>
        <v>3078211408</v>
      </c>
      <c r="H714" s="100"/>
    </row>
    <row r="715" spans="1:8" s="104" customFormat="1" ht="24.95" customHeight="1" x14ac:dyDescent="0.2">
      <c r="A715" s="385"/>
      <c r="B715" s="226"/>
      <c r="C715" s="225"/>
      <c r="D715" s="226"/>
      <c r="E715" s="149">
        <f>SUM(E714:E714)</f>
        <v>1076000000</v>
      </c>
      <c r="F715" s="386">
        <f>SUM(F714:F714)</f>
        <v>3378145652.0700002</v>
      </c>
      <c r="G715" s="149">
        <f>SUM(G714:G714)</f>
        <v>3078211408</v>
      </c>
      <c r="H715" s="100"/>
    </row>
    <row r="716" spans="1:8" s="105" customFormat="1" ht="24.95" customHeight="1" x14ac:dyDescent="0.25">
      <c r="A716" s="192"/>
      <c r="B716" s="370"/>
      <c r="C716" s="129"/>
      <c r="D716" s="387"/>
      <c r="E716" s="282"/>
      <c r="F716" s="92"/>
      <c r="G716" s="282"/>
      <c r="H716" s="102"/>
    </row>
    <row r="717" spans="1:8" ht="24.95" customHeight="1" x14ac:dyDescent="0.2">
      <c r="A717" s="191">
        <v>1403</v>
      </c>
      <c r="B717" s="123" t="s">
        <v>228</v>
      </c>
      <c r="C717" s="122">
        <v>1403</v>
      </c>
      <c r="D717" s="123" t="s">
        <v>228</v>
      </c>
      <c r="E717" s="416">
        <f>E719+E725</f>
        <v>8500000000</v>
      </c>
      <c r="F717" s="416">
        <f>F719+F725</f>
        <v>0</v>
      </c>
      <c r="G717" s="416">
        <f>G719+G725</f>
        <v>8850000000</v>
      </c>
    </row>
    <row r="718" spans="1:8" ht="24.95" customHeight="1" x14ac:dyDescent="0.2">
      <c r="A718" s="192"/>
      <c r="B718" s="193"/>
      <c r="C718" s="129"/>
      <c r="D718" s="189"/>
      <c r="E718" s="282"/>
      <c r="F718" s="190"/>
      <c r="G718" s="282"/>
    </row>
    <row r="719" spans="1:8" ht="24.95" customHeight="1" x14ac:dyDescent="0.2">
      <c r="A719" s="194">
        <v>140301</v>
      </c>
      <c r="B719" s="134" t="s">
        <v>221</v>
      </c>
      <c r="C719" s="133">
        <v>140301</v>
      </c>
      <c r="D719" s="134" t="s">
        <v>221</v>
      </c>
      <c r="E719" s="410">
        <f>E723</f>
        <v>5000000000</v>
      </c>
      <c r="F719" s="136">
        <f>F723</f>
        <v>0</v>
      </c>
      <c r="G719" s="410">
        <f>G723</f>
        <v>6000000000</v>
      </c>
    </row>
    <row r="720" spans="1:8" ht="24.95" customHeight="1" x14ac:dyDescent="0.2">
      <c r="A720" s="126" t="s">
        <v>96</v>
      </c>
      <c r="B720" s="137" t="s">
        <v>369</v>
      </c>
      <c r="C720" s="138">
        <v>14030101</v>
      </c>
      <c r="D720" s="137" t="s">
        <v>484</v>
      </c>
      <c r="E720" s="139">
        <v>5000000000</v>
      </c>
      <c r="F720" s="140">
        <v>0</v>
      </c>
      <c r="G720" s="139">
        <v>5000000000</v>
      </c>
    </row>
    <row r="721" spans="1:8" ht="24.95" customHeight="1" x14ac:dyDescent="0.2">
      <c r="A721" s="126" t="s">
        <v>96</v>
      </c>
      <c r="B721" s="137" t="s">
        <v>369</v>
      </c>
      <c r="C721" s="138">
        <v>14030102</v>
      </c>
      <c r="D721" s="137" t="s">
        <v>222</v>
      </c>
      <c r="E721" s="139">
        <v>0</v>
      </c>
      <c r="F721" s="140">
        <v>0</v>
      </c>
      <c r="G721" s="139">
        <v>0</v>
      </c>
    </row>
    <row r="722" spans="1:8" ht="24.95" customHeight="1" x14ac:dyDescent="0.2">
      <c r="A722" s="141" t="s">
        <v>96</v>
      </c>
      <c r="B722" s="142" t="s">
        <v>369</v>
      </c>
      <c r="C722" s="143">
        <v>14030104</v>
      </c>
      <c r="D722" s="142" t="s">
        <v>320</v>
      </c>
      <c r="E722" s="144">
        <v>0</v>
      </c>
      <c r="F722" s="145">
        <v>0</v>
      </c>
      <c r="G722" s="144">
        <f>1000000000</f>
        <v>1000000000</v>
      </c>
      <c r="H722" s="508"/>
    </row>
    <row r="723" spans="1:8" ht="24.95" customHeight="1" x14ac:dyDescent="0.2">
      <c r="A723" s="146"/>
      <c r="B723" s="208"/>
      <c r="C723" s="388"/>
      <c r="D723" s="359"/>
      <c r="E723" s="417">
        <f>SUM(E720:E722)</f>
        <v>5000000000</v>
      </c>
      <c r="F723" s="150">
        <f>SUM(F720:F722)</f>
        <v>0</v>
      </c>
      <c r="G723" s="417">
        <f>SUM(G720:G722)</f>
        <v>6000000000</v>
      </c>
    </row>
    <row r="724" spans="1:8" ht="24.95" customHeight="1" x14ac:dyDescent="0.2">
      <c r="A724" s="389"/>
      <c r="B724" s="390"/>
      <c r="C724" s="391"/>
      <c r="D724" s="391"/>
      <c r="E724" s="391"/>
      <c r="F724" s="392"/>
      <c r="G724" s="391"/>
    </row>
    <row r="725" spans="1:8" ht="24.95" customHeight="1" x14ac:dyDescent="0.2">
      <c r="A725" s="194">
        <v>140302</v>
      </c>
      <c r="B725" s="134" t="s">
        <v>599</v>
      </c>
      <c r="C725" s="133">
        <v>140302</v>
      </c>
      <c r="D725" s="134" t="s">
        <v>599</v>
      </c>
      <c r="E725" s="410">
        <f>SUM(E726:E728)</f>
        <v>3500000000</v>
      </c>
      <c r="F725" s="420">
        <f>SUM(F726:F728)</f>
        <v>0</v>
      </c>
      <c r="G725" s="410">
        <f>SUM(G726:G728)</f>
        <v>2850000000</v>
      </c>
    </row>
    <row r="726" spans="1:8" ht="24.95" customHeight="1" x14ac:dyDescent="0.2">
      <c r="A726" s="126" t="s">
        <v>96</v>
      </c>
      <c r="B726" s="137" t="s">
        <v>567</v>
      </c>
      <c r="C726" s="138">
        <v>14030201</v>
      </c>
      <c r="D726" s="137" t="s">
        <v>218</v>
      </c>
      <c r="E726" s="139">
        <v>1300000000</v>
      </c>
      <c r="F726" s="140">
        <v>0</v>
      </c>
      <c r="G726" s="139">
        <v>250000000</v>
      </c>
    </row>
    <row r="727" spans="1:8" ht="24.95" customHeight="1" x14ac:dyDescent="0.2">
      <c r="A727" s="126" t="s">
        <v>96</v>
      </c>
      <c r="B727" s="137" t="s">
        <v>567</v>
      </c>
      <c r="C727" s="138">
        <v>14030202</v>
      </c>
      <c r="D727" s="137" t="s">
        <v>601</v>
      </c>
      <c r="E727" s="139">
        <v>1000000000</v>
      </c>
      <c r="F727" s="140">
        <v>0</v>
      </c>
      <c r="G727" s="139">
        <v>2300000000</v>
      </c>
      <c r="H727" s="108"/>
    </row>
    <row r="728" spans="1:8" ht="24.95" customHeight="1" x14ac:dyDescent="0.2">
      <c r="A728" s="141" t="s">
        <v>96</v>
      </c>
      <c r="B728" s="142" t="s">
        <v>567</v>
      </c>
      <c r="C728" s="143">
        <v>14030203</v>
      </c>
      <c r="D728" s="142" t="s">
        <v>600</v>
      </c>
      <c r="E728" s="144">
        <v>1200000000</v>
      </c>
      <c r="F728" s="145">
        <v>0</v>
      </c>
      <c r="G728" s="144">
        <v>300000000</v>
      </c>
    </row>
    <row r="730" spans="1:8" ht="24.95" customHeight="1" x14ac:dyDescent="0.2">
      <c r="D730" s="274" t="s">
        <v>558</v>
      </c>
    </row>
    <row r="731" spans="1:8" ht="24.95" customHeight="1" x14ac:dyDescent="0.2">
      <c r="D731" s="274"/>
    </row>
  </sheetData>
  <autoFilter ref="B1:B731"/>
  <mergeCells count="4">
    <mergeCell ref="B1:F1"/>
    <mergeCell ref="A2:B2"/>
    <mergeCell ref="A25:B25"/>
    <mergeCell ref="A648:B648"/>
  </mergeCells>
  <pageMargins left="0.74" right="0.23" top="0.55000000000000004" bottom="0.46" header="0.23" footer="0.34"/>
  <pageSetup paperSize="9" scale="90" orientation="landscape" r:id="rId1"/>
  <rowBreaks count="27" manualBreakCount="27">
    <brk id="49" max="9" man="1"/>
    <brk id="72" max="9" man="1"/>
    <brk id="92" max="9" man="1"/>
    <brk id="114" max="9" man="1"/>
    <brk id="135" max="9" man="1"/>
    <brk id="156" max="9" man="1"/>
    <brk id="178" max="9" man="1"/>
    <brk id="202" max="9" man="1"/>
    <brk id="222" max="9" man="1"/>
    <brk id="244" max="9" man="1"/>
    <brk id="268" max="9" man="1"/>
    <brk id="291" max="9" man="1"/>
    <brk id="316" max="9" man="1"/>
    <brk id="338" max="9" man="1"/>
    <brk id="360" max="9" man="1"/>
    <brk id="432" max="9" man="1"/>
    <brk id="454" max="9" man="1"/>
    <brk id="477" max="9" man="1"/>
    <brk id="499" max="9" man="1"/>
    <brk id="519" max="9" man="1"/>
    <brk id="570" max="9" man="1"/>
    <brk id="593" max="9" man="1"/>
    <brk id="616" max="9" man="1"/>
    <brk id="639" max="9" man="1"/>
    <brk id="661" max="9" man="1"/>
    <brk id="687" max="9" man="1"/>
    <brk id="708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9D00FC1-2BF5-4C49-A7A8-108E2AA36832}"/>
</file>

<file path=customXml/itemProps2.xml><?xml version="1.0" encoding="utf-8"?>
<ds:datastoreItem xmlns:ds="http://schemas.openxmlformats.org/officeDocument/2006/customXml" ds:itemID="{B3F6E416-BE31-4C4E-BCD9-F138B909D58B}"/>
</file>

<file path=customXml/itemProps3.xml><?xml version="1.0" encoding="utf-8"?>
<ds:datastoreItem xmlns:ds="http://schemas.openxmlformats.org/officeDocument/2006/customXml" ds:itemID="{223B6874-5958-4591-AFCA-346261A3D3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Master Bgt</vt:lpstr>
      <vt:lpstr>Summary of Rev</vt:lpstr>
      <vt:lpstr>Rev Sum of MDAs</vt:lpstr>
      <vt:lpstr>Detailed Revenue</vt:lpstr>
      <vt:lpstr>'Detailed Revenue'!Print_Area</vt:lpstr>
      <vt:lpstr>'Master Bgt'!Print_Area</vt:lpstr>
      <vt:lpstr>'Rev Sum of MDAs'!Print_Area</vt:lpstr>
      <vt:lpstr>'Summary of Rev'!Print_Area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HP</cp:lastModifiedBy>
  <cp:lastPrinted>2020-06-30T13:54:51Z</cp:lastPrinted>
  <dcterms:created xsi:type="dcterms:W3CDTF">2014-09-22T09:54:29Z</dcterms:created>
  <dcterms:modified xsi:type="dcterms:W3CDTF">2020-07-10T13:20:38Z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