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theme/theme1.xml" ContentType="application/vnd.openxmlformats-officedocument.theme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bu Aslam\Desktop\2021 Finale\"/>
    </mc:Choice>
  </mc:AlternateContent>
  <bookViews>
    <workbookView xWindow="0" yWindow="0" windowWidth="12015" windowHeight="6045" tabRatio="964" activeTab="1"/>
  </bookViews>
  <sheets>
    <sheet name="1 COVER" sheetId="52" r:id="rId1"/>
    <sheet name="2.FINANCIAL STATEMENT" sheetId="47" r:id="rId2"/>
    <sheet name="3 MASTER BUDGET" sheetId="18" r:id="rId3"/>
    <sheet name="4 SUMMARY OF REV BY MDAs" sheetId="65" r:id="rId4"/>
    <sheet name="5 RECEIPTS BY MDAs" sheetId="66" r:id="rId5"/>
    <sheet name="6 SUMMARY OF DETAILS EXP" sheetId="41" r:id="rId6"/>
    <sheet name="7 PERS COSTS SUMMARY" sheetId="9" r:id="rId7"/>
    <sheet name="8 OVERHEAD COSTS" sheetId="43" r:id="rId8"/>
    <sheet name="9 SUMMARY OF TOTAL EXP" sheetId="15" r:id="rId9"/>
    <sheet name="10 SUMMARY OF CAP EXP" sheetId="34" r:id="rId10"/>
    <sheet name="11 CAPITAL EXPENDITURE" sheetId="51" r:id="rId11"/>
    <sheet name="APPENDIX PERS COSTS DETAILS" sheetId="44" r:id="rId12"/>
    <sheet name="MDAs ADM Codes" sheetId="67" r:id="rId13"/>
  </sheets>
  <definedNames>
    <definedName name="_xlnm.Print_Area" localSheetId="0">'1 COVER'!$A$1:$M$24</definedName>
    <definedName name="_xlnm.Print_Area" localSheetId="9">'10 SUMMARY OF CAP EXP'!$A$1:$H$105</definedName>
    <definedName name="_xlnm.Print_Area" localSheetId="10">'11 CAPITAL EXPENDITURE'!$A$1:$F$2159</definedName>
    <definedName name="_xlnm.Print_Area" localSheetId="1">'2.FINANCIAL STATEMENT'!$A$1:$E$37</definedName>
    <definedName name="_xlnm.Print_Area" localSheetId="2">'3 MASTER BUDGET'!$A$1:$H$44</definedName>
    <definedName name="_xlnm.Print_Area" localSheetId="3">'4 SUMMARY OF REV BY MDAs'!$A$1:$G$82</definedName>
    <definedName name="_xlnm.Print_Area" localSheetId="4">'5 RECEIPTS BY MDAs'!$A$1:$F$850</definedName>
    <definedName name="_xlnm.Print_Area" localSheetId="5">'6 SUMMARY OF DETAILS EXP'!$A$1:$H$114</definedName>
    <definedName name="_xlnm.Print_Area" localSheetId="6">'7 PERS COSTS SUMMARY'!$A$1:$D$2413</definedName>
    <definedName name="_xlnm.Print_Area" localSheetId="7">'8 OVERHEAD COSTS'!$A$1:$E$2332</definedName>
    <definedName name="_xlnm.Print_Area" localSheetId="8">'9 SUMMARY OF TOTAL EXP'!$A$2:$H$36</definedName>
    <definedName name="_xlnm.Print_Area" localSheetId="11">'APPENDIX PERS COSTS DETAILS'!$A$1:$F$2684</definedName>
    <definedName name="_xlnm.Print_Titles" localSheetId="9">'10 SUMMARY OF CAP EXP'!$2:$4</definedName>
    <definedName name="_xlnm.Print_Titles" localSheetId="5">'6 SUMMARY OF DETAILS EXP'!$2:$4</definedName>
  </definedNames>
  <calcPr calcId="152511" calcMode="manual"/>
  <customWorkbookViews>
    <customWorkbookView name="ALHAJI AMINU DORO - Personal View" guid="{F2213A70-975E-4BA8-9020-2FD0C4B548FC}" mergeInterval="0" personalView="1" maximized="1" windowWidth="1362" windowHeight="614" activeSheetId="1"/>
  </customWorkbookViews>
</workbook>
</file>

<file path=xl/calcChain.xml><?xml version="1.0" encoding="utf-8"?>
<calcChain xmlns="http://schemas.openxmlformats.org/spreadsheetml/2006/main">
  <c r="E2085" i="43" l="1"/>
  <c r="E2088" i="43"/>
  <c r="E924" i="43"/>
  <c r="C924" i="43"/>
  <c r="E931" i="43"/>
  <c r="C931" i="43"/>
  <c r="C919" i="43"/>
  <c r="D919" i="43"/>
  <c r="E919" i="43"/>
  <c r="D912" i="43"/>
  <c r="E912" i="43"/>
  <c r="C912" i="43"/>
  <c r="D366" i="43"/>
  <c r="E366" i="43"/>
  <c r="C366" i="43"/>
  <c r="C1971" i="43" l="1"/>
  <c r="D1971" i="43"/>
  <c r="C1968" i="43"/>
  <c r="D1968" i="43"/>
  <c r="C1964" i="43"/>
  <c r="D1964" i="43"/>
  <c r="C1962" i="43"/>
  <c r="D1962" i="43"/>
  <c r="D2085" i="43"/>
  <c r="C2085" i="43"/>
  <c r="D1633" i="43"/>
  <c r="E1633" i="43"/>
  <c r="C1633" i="43"/>
  <c r="D2181" i="43"/>
  <c r="E2181" i="43"/>
  <c r="C2181" i="43"/>
  <c r="D2179" i="43"/>
  <c r="E2179" i="43"/>
  <c r="C2179" i="43"/>
  <c r="D1974" i="43" l="1"/>
  <c r="C1974" i="43"/>
  <c r="D2177" i="43"/>
  <c r="E2177" i="43"/>
  <c r="C2177" i="43"/>
  <c r="D784" i="43"/>
  <c r="E784" i="43"/>
  <c r="C784" i="43"/>
  <c r="D852" i="43"/>
  <c r="E852" i="43"/>
  <c r="C852" i="43"/>
  <c r="D831" i="43"/>
  <c r="E831" i="43"/>
  <c r="C831" i="43"/>
  <c r="D2174" i="43"/>
  <c r="E2174" i="43"/>
  <c r="C2174" i="43"/>
  <c r="D2164" i="43"/>
  <c r="E2164" i="43"/>
  <c r="C1602" i="43"/>
  <c r="D1602" i="43"/>
  <c r="E1602" i="43"/>
  <c r="D1544" i="43"/>
  <c r="E1544" i="43"/>
  <c r="C1544" i="43"/>
  <c r="D709" i="43"/>
  <c r="E709" i="43"/>
  <c r="C709" i="43"/>
  <c r="C822" i="43"/>
  <c r="D822" i="43"/>
  <c r="E822" i="43"/>
  <c r="D85" i="43"/>
  <c r="E85" i="43"/>
  <c r="C85" i="43"/>
  <c r="E2272" i="43"/>
  <c r="D1057" i="43"/>
  <c r="E1057" i="43"/>
  <c r="C835" i="43"/>
  <c r="D835" i="43"/>
  <c r="E835" i="43"/>
  <c r="E803" i="43"/>
  <c r="C803" i="43"/>
  <c r="D798" i="43"/>
  <c r="E798" i="43"/>
  <c r="E433" i="43"/>
  <c r="D433" i="43"/>
  <c r="D138" i="43" l="1"/>
  <c r="E138" i="43"/>
  <c r="C138" i="43"/>
  <c r="D130" i="43"/>
  <c r="E130" i="43"/>
  <c r="C130" i="43"/>
  <c r="D242" i="43"/>
  <c r="E242" i="43"/>
  <c r="C242" i="43"/>
  <c r="F2091" i="51" l="1"/>
  <c r="E2027" i="51"/>
  <c r="F2027" i="51"/>
  <c r="D2027" i="51"/>
  <c r="D1961" i="51"/>
  <c r="E1961" i="51"/>
  <c r="F1961" i="51"/>
  <c r="F2010" i="51"/>
  <c r="F1990" i="51"/>
  <c r="F1851" i="51"/>
  <c r="F1906" i="51"/>
  <c r="F1799" i="51"/>
  <c r="F1776" i="51"/>
  <c r="F1793" i="51"/>
  <c r="F1790" i="51"/>
  <c r="G1579" i="51"/>
  <c r="F1826" i="51" l="1"/>
  <c r="F1557" i="51" l="1"/>
  <c r="F1550" i="51"/>
  <c r="F1575" i="51"/>
  <c r="F890" i="51"/>
  <c r="F883" i="51"/>
  <c r="F878" i="51"/>
  <c r="F876" i="51"/>
  <c r="F871" i="51"/>
  <c r="F866" i="51"/>
  <c r="F849" i="51"/>
  <c r="F837" i="51"/>
  <c r="F794" i="51"/>
  <c r="D514" i="51" l="1"/>
  <c r="F514" i="51"/>
  <c r="F509" i="51"/>
  <c r="F485" i="51" l="1"/>
  <c r="F478" i="51"/>
  <c r="F30" i="51"/>
  <c r="F33" i="51"/>
  <c r="F36" i="51"/>
  <c r="D10" i="51"/>
  <c r="F53" i="51" l="1"/>
  <c r="E673" i="51"/>
  <c r="E423" i="51" l="1"/>
  <c r="F423" i="51"/>
  <c r="D423" i="51"/>
  <c r="E2046" i="51"/>
  <c r="F2046" i="51"/>
  <c r="D2046" i="51"/>
  <c r="E1353" i="51"/>
  <c r="F1353" i="51"/>
  <c r="D1353" i="51"/>
  <c r="E409" i="51"/>
  <c r="F409" i="51"/>
  <c r="D409" i="51"/>
  <c r="E692" i="51"/>
  <c r="F692" i="51"/>
  <c r="D692" i="51"/>
  <c r="D2152" i="51"/>
  <c r="E2152" i="51"/>
  <c r="D2135" i="51"/>
  <c r="E2135" i="51"/>
  <c r="F2135" i="51"/>
  <c r="E2132" i="51"/>
  <c r="F2132" i="51"/>
  <c r="D2132" i="51"/>
  <c r="E2119" i="51"/>
  <c r="F2119" i="51"/>
  <c r="D2119" i="51"/>
  <c r="E2115" i="51"/>
  <c r="F2115" i="51"/>
  <c r="F2123" i="51" s="1"/>
  <c r="D2115" i="51"/>
  <c r="D2100" i="51"/>
  <c r="E2104" i="51"/>
  <c r="F2104" i="51"/>
  <c r="D2104" i="51"/>
  <c r="E2100" i="51"/>
  <c r="F2100" i="51"/>
  <c r="E2091" i="51"/>
  <c r="D2091" i="51"/>
  <c r="E2089" i="51"/>
  <c r="F2089" i="51"/>
  <c r="D2089" i="51"/>
  <c r="F2083" i="51"/>
  <c r="E2083" i="51"/>
  <c r="D2083" i="51"/>
  <c r="E2059" i="51"/>
  <c r="D2059" i="51"/>
  <c r="F2069" i="51"/>
  <c r="E2069" i="51"/>
  <c r="D2069" i="51"/>
  <c r="E2072" i="51"/>
  <c r="F2072" i="51"/>
  <c r="D2072" i="51"/>
  <c r="F2059" i="51"/>
  <c r="F2044" i="51"/>
  <c r="F2039" i="51"/>
  <c r="E2044" i="51"/>
  <c r="D2044" i="51"/>
  <c r="F1981" i="51"/>
  <c r="D2140" i="51" l="1"/>
  <c r="D2107" i="51"/>
  <c r="E2107" i="51"/>
  <c r="F2107" i="51"/>
  <c r="D2123" i="51"/>
  <c r="F2140" i="51"/>
  <c r="E2123" i="51"/>
  <c r="E2140" i="51"/>
  <c r="D2075" i="51"/>
  <c r="F2075" i="51"/>
  <c r="E2075" i="51"/>
  <c r="F2049" i="51"/>
  <c r="F1988" i="51"/>
  <c r="F2003" i="51"/>
  <c r="F2006" i="51"/>
  <c r="D2010" i="51"/>
  <c r="E2010" i="51"/>
  <c r="D2006" i="51"/>
  <c r="E2006" i="51"/>
  <c r="D2003" i="51"/>
  <c r="E2003" i="51"/>
  <c r="D1988" i="51"/>
  <c r="E1988" i="51"/>
  <c r="D1981" i="51"/>
  <c r="E1981" i="51"/>
  <c r="D2001" i="51"/>
  <c r="E2001" i="51"/>
  <c r="D1990" i="51"/>
  <c r="E1990" i="51"/>
  <c r="F1985" i="51"/>
  <c r="E1985" i="51"/>
  <c r="D1985" i="51"/>
  <c r="F2001" i="51"/>
  <c r="D1950" i="51"/>
  <c r="E1950" i="51"/>
  <c r="F1950" i="51"/>
  <c r="F1937" i="51"/>
  <c r="D1937" i="51"/>
  <c r="E1937" i="51"/>
  <c r="F1922" i="51"/>
  <c r="E1922" i="51"/>
  <c r="D1922" i="51"/>
  <c r="E1944" i="51"/>
  <c r="F1944" i="51"/>
  <c r="D1944" i="51"/>
  <c r="D1946" i="51"/>
  <c r="D1912" i="51"/>
  <c r="E1912" i="51"/>
  <c r="D1910" i="51"/>
  <c r="E1910" i="51"/>
  <c r="D1903" i="51"/>
  <c r="E1903" i="51"/>
  <c r="D1906" i="51"/>
  <c r="E1906" i="51"/>
  <c r="F1912" i="51"/>
  <c r="F1903" i="51"/>
  <c r="F1910" i="51"/>
  <c r="D1851" i="51"/>
  <c r="E1851" i="51"/>
  <c r="D1864" i="51"/>
  <c r="E1864" i="51"/>
  <c r="D1866" i="51"/>
  <c r="E1866" i="51"/>
  <c r="D1870" i="51"/>
  <c r="E1870" i="51"/>
  <c r="F1870" i="51"/>
  <c r="F1866" i="51"/>
  <c r="F1864" i="51"/>
  <c r="F1879" i="51" s="1"/>
  <c r="F1838" i="51"/>
  <c r="E1838" i="51"/>
  <c r="D1838" i="51"/>
  <c r="E1832" i="51"/>
  <c r="F1832" i="51"/>
  <c r="D1832" i="51"/>
  <c r="D1790" i="51"/>
  <c r="E1799" i="51"/>
  <c r="D1799" i="51"/>
  <c r="E1790" i="51"/>
  <c r="E1793" i="51"/>
  <c r="D1793" i="51"/>
  <c r="D1776" i="51"/>
  <c r="E1763" i="51"/>
  <c r="F1763" i="51"/>
  <c r="D1763" i="51"/>
  <c r="E1759" i="51"/>
  <c r="F1759" i="51"/>
  <c r="D1759" i="51"/>
  <c r="E1756" i="51"/>
  <c r="F1756" i="51"/>
  <c r="D1756" i="51"/>
  <c r="E1751" i="51"/>
  <c r="F1751" i="51"/>
  <c r="D1751" i="51"/>
  <c r="D1749" i="51"/>
  <c r="E1743" i="51"/>
  <c r="F1743" i="51"/>
  <c r="D1743" i="51"/>
  <c r="E1725" i="51"/>
  <c r="F1725" i="51"/>
  <c r="D1725" i="51"/>
  <c r="E1712" i="51"/>
  <c r="F1712" i="51"/>
  <c r="D1712" i="51"/>
  <c r="E1699" i="51"/>
  <c r="F1699" i="51"/>
  <c r="D1699" i="51"/>
  <c r="E1708" i="51"/>
  <c r="F1708" i="51"/>
  <c r="D1708" i="51"/>
  <c r="E1702" i="51"/>
  <c r="F1702" i="51"/>
  <c r="D1702" i="51"/>
  <c r="D1705" i="51"/>
  <c r="E1705" i="51"/>
  <c r="F1705" i="51"/>
  <c r="E1695" i="51"/>
  <c r="F1695" i="51"/>
  <c r="D1695" i="51"/>
  <c r="E1689" i="51"/>
  <c r="F1689" i="51"/>
  <c r="D1689" i="51"/>
  <c r="E1671" i="51"/>
  <c r="F1671" i="51"/>
  <c r="D1671" i="51"/>
  <c r="D1663" i="51"/>
  <c r="D1666" i="51"/>
  <c r="D1669" i="51"/>
  <c r="D1675" i="51"/>
  <c r="D1678" i="51"/>
  <c r="E1666" i="51"/>
  <c r="F1666" i="51"/>
  <c r="E1663" i="51"/>
  <c r="F1663" i="51"/>
  <c r="F1650" i="51"/>
  <c r="D1650" i="51"/>
  <c r="E1640" i="51"/>
  <c r="F1640" i="51"/>
  <c r="D1640" i="51"/>
  <c r="E1646" i="51"/>
  <c r="F1646" i="51"/>
  <c r="D1646" i="51"/>
  <c r="E1628" i="51"/>
  <c r="F1628" i="51"/>
  <c r="D1628" i="51"/>
  <c r="E1598" i="51"/>
  <c r="F1598" i="51"/>
  <c r="D1598" i="51"/>
  <c r="E1592" i="51"/>
  <c r="F1592" i="51"/>
  <c r="D1592" i="51"/>
  <c r="E1604" i="51"/>
  <c r="F1604" i="51"/>
  <c r="D1604" i="51"/>
  <c r="E1567" i="51"/>
  <c r="F1567" i="51"/>
  <c r="D1567" i="51"/>
  <c r="D1550" i="51"/>
  <c r="E1550" i="51"/>
  <c r="E1555" i="51"/>
  <c r="F1555" i="51"/>
  <c r="D1555" i="51"/>
  <c r="D1557" i="51"/>
  <c r="E1557" i="51"/>
  <c r="D1564" i="51"/>
  <c r="F1580" i="51"/>
  <c r="E1580" i="51"/>
  <c r="D1580" i="51"/>
  <c r="E1564" i="51"/>
  <c r="F1564" i="51"/>
  <c r="D1539" i="51"/>
  <c r="D1536" i="51" s="1"/>
  <c r="E1539" i="51"/>
  <c r="E1536" i="51" s="1"/>
  <c r="F1539" i="51"/>
  <c r="F1536" i="51" s="1"/>
  <c r="E1533" i="51"/>
  <c r="F1533" i="51"/>
  <c r="D1533" i="51"/>
  <c r="E1521" i="51"/>
  <c r="F1521" i="51"/>
  <c r="D1521" i="51"/>
  <c r="E1518" i="51"/>
  <c r="F1518" i="51"/>
  <c r="D1518" i="51"/>
  <c r="E1514" i="51"/>
  <c r="F1514" i="51"/>
  <c r="D1514" i="51"/>
  <c r="E1512" i="51"/>
  <c r="F1512" i="51"/>
  <c r="D1512" i="51"/>
  <c r="E1749" i="51"/>
  <c r="F1749" i="51"/>
  <c r="E1495" i="51"/>
  <c r="F1495" i="51"/>
  <c r="D1495" i="51"/>
  <c r="E1492" i="51"/>
  <c r="F1492" i="51"/>
  <c r="D1492" i="51"/>
  <c r="E1488" i="51"/>
  <c r="F1488" i="51"/>
  <c r="D1488" i="51"/>
  <c r="F1469" i="51"/>
  <c r="D1469" i="51"/>
  <c r="E1437" i="51"/>
  <c r="F1437" i="51"/>
  <c r="D1437" i="51"/>
  <c r="E1452" i="51"/>
  <c r="F1452" i="51"/>
  <c r="D1452" i="51"/>
  <c r="D1454" i="51"/>
  <c r="D1466" i="51"/>
  <c r="E1454" i="51"/>
  <c r="F1454" i="51"/>
  <c r="E1424" i="51"/>
  <c r="F1424" i="51"/>
  <c r="D1424" i="51"/>
  <c r="E1413" i="51"/>
  <c r="F1413" i="51"/>
  <c r="D1413" i="51"/>
  <c r="E1397" i="51"/>
  <c r="F1397" i="51"/>
  <c r="D1397" i="51"/>
  <c r="E1394" i="51"/>
  <c r="F1394" i="51"/>
  <c r="D1394" i="51"/>
  <c r="E1400" i="51"/>
  <c r="F1400" i="51"/>
  <c r="D1400" i="51"/>
  <c r="E1365" i="51"/>
  <c r="F1365" i="51"/>
  <c r="D1365" i="51"/>
  <c r="E1371" i="51"/>
  <c r="F1371" i="51"/>
  <c r="D1371" i="51"/>
  <c r="F1332" i="51"/>
  <c r="E1332" i="51"/>
  <c r="D1332" i="51"/>
  <c r="F1330" i="51"/>
  <c r="E1330" i="51"/>
  <c r="D1330" i="51"/>
  <c r="E1335" i="51"/>
  <c r="F1335" i="51"/>
  <c r="D1335" i="51"/>
  <c r="E1312" i="51"/>
  <c r="F1312" i="51"/>
  <c r="D1312" i="51"/>
  <c r="D1298" i="51"/>
  <c r="E1298" i="51"/>
  <c r="F1298" i="51"/>
  <c r="F1315" i="51"/>
  <c r="D1315" i="51"/>
  <c r="E1315" i="51"/>
  <c r="E1309" i="51"/>
  <c r="F1309" i="51"/>
  <c r="D1309" i="51"/>
  <c r="E1307" i="51"/>
  <c r="F1307" i="51"/>
  <c r="D1307" i="51"/>
  <c r="D1266" i="51"/>
  <c r="F1266" i="51"/>
  <c r="E1261" i="51"/>
  <c r="D1261" i="51"/>
  <c r="D1263" i="51"/>
  <c r="E1263" i="51"/>
  <c r="F1263" i="51"/>
  <c r="E1254" i="51"/>
  <c r="F1254" i="51"/>
  <c r="D1254" i="51"/>
  <c r="D1251" i="51"/>
  <c r="E1251" i="51"/>
  <c r="F1251" i="51"/>
  <c r="E1246" i="51"/>
  <c r="F1246" i="51"/>
  <c r="D1246" i="51"/>
  <c r="E1243" i="51"/>
  <c r="F1243" i="51"/>
  <c r="D1243" i="51"/>
  <c r="D1220" i="51"/>
  <c r="E1220" i="51"/>
  <c r="F1220" i="51"/>
  <c r="F1206" i="51"/>
  <c r="F1199" i="51"/>
  <c r="E1206" i="51"/>
  <c r="D1206" i="51"/>
  <c r="F2015" i="51" l="1"/>
  <c r="F1769" i="51"/>
  <c r="D2015" i="51"/>
  <c r="E2015" i="51"/>
  <c r="D1953" i="51"/>
  <c r="F1916" i="51"/>
  <c r="E1916" i="51"/>
  <c r="D1916" i="51"/>
  <c r="E1879" i="51"/>
  <c r="D1879" i="51"/>
  <c r="D1826" i="51"/>
  <c r="F1716" i="51"/>
  <c r="E1716" i="51"/>
  <c r="D1716" i="51"/>
  <c r="F1607" i="51"/>
  <c r="E1607" i="51"/>
  <c r="D1607" i="51"/>
  <c r="F1524" i="51"/>
  <c r="F1542" i="51"/>
  <c r="E1524" i="51"/>
  <c r="E1542" i="51"/>
  <c r="D1524" i="51"/>
  <c r="D1542" i="51"/>
  <c r="D1479" i="51"/>
  <c r="D1384" i="51"/>
  <c r="D1338" i="51"/>
  <c r="E1338" i="51"/>
  <c r="E1405" i="51"/>
  <c r="E1384" i="51"/>
  <c r="D1405" i="51"/>
  <c r="F1405" i="51"/>
  <c r="F1384" i="51"/>
  <c r="F1338" i="51"/>
  <c r="E1319" i="51"/>
  <c r="E1199" i="51"/>
  <c r="D1199" i="51"/>
  <c r="F1224" i="51"/>
  <c r="D1224" i="51"/>
  <c r="E1231" i="51"/>
  <c r="D1231" i="51"/>
  <c r="F1231" i="51"/>
  <c r="E1178" i="51"/>
  <c r="F1178" i="51"/>
  <c r="D1178" i="51"/>
  <c r="D1180" i="51"/>
  <c r="D1182" i="51"/>
  <c r="D1185" i="51"/>
  <c r="D1189" i="51"/>
  <c r="F1189" i="51" l="1"/>
  <c r="E1185" i="51"/>
  <c r="F1185" i="51"/>
  <c r="F1182" i="51"/>
  <c r="E1182" i="51"/>
  <c r="E1156" i="51"/>
  <c r="F1156" i="51"/>
  <c r="D1156" i="51"/>
  <c r="E1159" i="51"/>
  <c r="F1159" i="51"/>
  <c r="D1159" i="51"/>
  <c r="F1108" i="51" l="1"/>
  <c r="E1108" i="51"/>
  <c r="D1108" i="51"/>
  <c r="D1131" i="51"/>
  <c r="F1095" i="51"/>
  <c r="F1075" i="51"/>
  <c r="D1075" i="51"/>
  <c r="F1083" i="51"/>
  <c r="E1090" i="51"/>
  <c r="D1083" i="51"/>
  <c r="E1095" i="51"/>
  <c r="D1095" i="51"/>
  <c r="E1083" i="51"/>
  <c r="E1075" i="51"/>
  <c r="D1051" i="51"/>
  <c r="D1048" i="51"/>
  <c r="F1033" i="51"/>
  <c r="D1033" i="51"/>
  <c r="F971" i="51"/>
  <c r="F967" i="51"/>
  <c r="F958" i="51"/>
  <c r="D958" i="51"/>
  <c r="F940" i="51"/>
  <c r="D936" i="51"/>
  <c r="E936" i="51"/>
  <c r="F936" i="51"/>
  <c r="E940" i="51"/>
  <c r="D940" i="51"/>
  <c r="E921" i="51"/>
  <c r="F921" i="51"/>
  <c r="D921" i="51"/>
  <c r="D909" i="51"/>
  <c r="D907" i="51"/>
  <c r="E907" i="51"/>
  <c r="F907" i="51"/>
  <c r="D866" i="51"/>
  <c r="E866" i="51"/>
  <c r="D871" i="51"/>
  <c r="E871" i="51"/>
  <c r="D876" i="51"/>
  <c r="E876" i="51"/>
  <c r="D878" i="51"/>
  <c r="E878" i="51"/>
  <c r="D881" i="51"/>
  <c r="E881" i="51"/>
  <c r="F881" i="51"/>
  <c r="D883" i="51"/>
  <c r="E883" i="51"/>
  <c r="D887" i="51"/>
  <c r="E887" i="51"/>
  <c r="F887" i="51"/>
  <c r="D890" i="51"/>
  <c r="E890" i="51"/>
  <c r="E849" i="51"/>
  <c r="D849" i="51"/>
  <c r="E846" i="51"/>
  <c r="F846" i="51"/>
  <c r="D846" i="51"/>
  <c r="E843" i="51"/>
  <c r="F843" i="51"/>
  <c r="D843" i="51"/>
  <c r="E837" i="51"/>
  <c r="D837" i="51"/>
  <c r="E809" i="51"/>
  <c r="F809" i="51"/>
  <c r="D809" i="51"/>
  <c r="E813" i="51"/>
  <c r="F813" i="51"/>
  <c r="D813" i="51"/>
  <c r="D800" i="51"/>
  <c r="D794" i="51"/>
  <c r="E794" i="51"/>
  <c r="E782" i="51"/>
  <c r="F782" i="51"/>
  <c r="D782" i="51"/>
  <c r="E779" i="51"/>
  <c r="F779" i="51"/>
  <c r="D779" i="51"/>
  <c r="F776" i="51"/>
  <c r="E776" i="51"/>
  <c r="D776" i="51"/>
  <c r="E406" i="51"/>
  <c r="F406" i="51"/>
  <c r="D406" i="51"/>
  <c r="F897" i="51" l="1"/>
  <c r="D803" i="51"/>
  <c r="F948" i="51"/>
  <c r="E948" i="51"/>
  <c r="D948" i="51"/>
  <c r="E897" i="51"/>
  <c r="D897" i="51"/>
  <c r="F785" i="51"/>
  <c r="D861" i="51"/>
  <c r="F861" i="51"/>
  <c r="E861" i="51"/>
  <c r="D818" i="51"/>
  <c r="D785" i="51"/>
  <c r="F818" i="51"/>
  <c r="E818" i="51"/>
  <c r="E785" i="51"/>
  <c r="F721" i="51"/>
  <c r="F732" i="51"/>
  <c r="E732" i="51"/>
  <c r="D732" i="51"/>
  <c r="E718" i="51"/>
  <c r="F718" i="51"/>
  <c r="D718" i="51"/>
  <c r="D721" i="51"/>
  <c r="E726" i="51"/>
  <c r="F726" i="51"/>
  <c r="D726" i="51"/>
  <c r="E729" i="51"/>
  <c r="F729" i="51"/>
  <c r="D729" i="51"/>
  <c r="D673" i="51"/>
  <c r="F673" i="51"/>
  <c r="D648" i="51"/>
  <c r="D658" i="51" s="1"/>
  <c r="E648" i="51"/>
  <c r="E658" i="51" s="1"/>
  <c r="F648" i="51"/>
  <c r="F658" i="51" s="1"/>
  <c r="E626" i="51"/>
  <c r="F626" i="51"/>
  <c r="D626" i="51"/>
  <c r="D633" i="51"/>
  <c r="D630" i="51"/>
  <c r="E630" i="51"/>
  <c r="F630" i="51"/>
  <c r="F738" i="51" l="1"/>
  <c r="F604" i="51"/>
  <c r="E604" i="51"/>
  <c r="D604" i="51"/>
  <c r="F564" i="51"/>
  <c r="F577" i="51"/>
  <c r="E570" i="51"/>
  <c r="F570" i="51"/>
  <c r="D570" i="51"/>
  <c r="E568" i="51"/>
  <c r="F568" i="51"/>
  <c r="D568" i="51"/>
  <c r="F573" i="51"/>
  <c r="E573" i="51"/>
  <c r="D573" i="51"/>
  <c r="E902" i="43"/>
  <c r="E896" i="43" l="1"/>
  <c r="E577" i="51"/>
  <c r="D577" i="51"/>
  <c r="D564" i="51"/>
  <c r="E564" i="51"/>
  <c r="E551" i="51"/>
  <c r="F551" i="51"/>
  <c r="D551" i="51"/>
  <c r="F548" i="51"/>
  <c r="E548" i="51"/>
  <c r="E558" i="51" s="1"/>
  <c r="D548" i="51"/>
  <c r="E533" i="51"/>
  <c r="F533" i="51"/>
  <c r="D533" i="51"/>
  <c r="D529" i="51"/>
  <c r="E529" i="51"/>
  <c r="F529" i="51"/>
  <c r="F540" i="51" s="1"/>
  <c r="C529" i="51"/>
  <c r="E522" i="51"/>
  <c r="F522" i="51"/>
  <c r="D522" i="51"/>
  <c r="E514" i="51"/>
  <c r="E509" i="51"/>
  <c r="D509" i="51"/>
  <c r="F498" i="51"/>
  <c r="E498" i="51"/>
  <c r="D498" i="51"/>
  <c r="F496" i="51"/>
  <c r="E496" i="51"/>
  <c r="D496" i="51"/>
  <c r="E494" i="51"/>
  <c r="F494" i="51"/>
  <c r="D494" i="51"/>
  <c r="E478" i="51"/>
  <c r="D478" i="51"/>
  <c r="E466" i="51"/>
  <c r="F466" i="51"/>
  <c r="D466" i="51"/>
  <c r="E463" i="51"/>
  <c r="F463" i="51"/>
  <c r="E460" i="51"/>
  <c r="F460" i="51"/>
  <c r="E458" i="51"/>
  <c r="F458" i="51"/>
  <c r="D458" i="51"/>
  <c r="D460" i="51"/>
  <c r="D463" i="51"/>
  <c r="E540" i="51" l="1"/>
  <c r="E594" i="51"/>
  <c r="F525" i="51"/>
  <c r="F558" i="51"/>
  <c r="F594" i="51"/>
  <c r="E525" i="51"/>
  <c r="D558" i="51"/>
  <c r="D594" i="51"/>
  <c r="D525" i="51"/>
  <c r="D540" i="51"/>
  <c r="D420" i="51"/>
  <c r="E420" i="51"/>
  <c r="F396" i="51"/>
  <c r="E396" i="51"/>
  <c r="D396" i="51"/>
  <c r="F393" i="51"/>
  <c r="E393" i="51"/>
  <c r="D393" i="51"/>
  <c r="F391" i="51"/>
  <c r="E391" i="51"/>
  <c r="D391" i="51"/>
  <c r="E389" i="51"/>
  <c r="F389" i="51"/>
  <c r="D389" i="51"/>
  <c r="F366" i="51"/>
  <c r="E366" i="51"/>
  <c r="D366" i="51"/>
  <c r="F363" i="51"/>
  <c r="E363" i="51"/>
  <c r="D363" i="51"/>
  <c r="F361" i="51"/>
  <c r="E361" i="51"/>
  <c r="D361" i="51"/>
  <c r="F358" i="51"/>
  <c r="E358" i="51"/>
  <c r="D358" i="51"/>
  <c r="F349" i="51"/>
  <c r="E349" i="51"/>
  <c r="D349" i="51"/>
  <c r="E334" i="51"/>
  <c r="F334" i="51"/>
  <c r="D334" i="51"/>
  <c r="E331" i="51"/>
  <c r="F331" i="51"/>
  <c r="D331" i="51"/>
  <c r="E328" i="51"/>
  <c r="F328" i="51"/>
  <c r="D328" i="51"/>
  <c r="F310" i="51"/>
  <c r="E310" i="51"/>
  <c r="D310" i="51"/>
  <c r="D306" i="51"/>
  <c r="E306" i="51"/>
  <c r="F306" i="51"/>
  <c r="F302" i="51"/>
  <c r="E302" i="51"/>
  <c r="D302" i="51"/>
  <c r="F286" i="51"/>
  <c r="E286" i="51"/>
  <c r="D286" i="51"/>
  <c r="F289" i="51"/>
  <c r="E289" i="51"/>
  <c r="D289" i="51"/>
  <c r="E270" i="51"/>
  <c r="F270" i="51"/>
  <c r="D270" i="51"/>
  <c r="F267" i="51"/>
  <c r="E267" i="51"/>
  <c r="D267" i="51"/>
  <c r="E274" i="51"/>
  <c r="F274" i="51"/>
  <c r="D274" i="51"/>
  <c r="E265" i="51"/>
  <c r="F265" i="51"/>
  <c r="D265" i="51"/>
  <c r="F253" i="51"/>
  <c r="E253" i="51"/>
  <c r="D253" i="51"/>
  <c r="D250" i="51"/>
  <c r="F250" i="51"/>
  <c r="E250" i="51"/>
  <c r="F243" i="51"/>
  <c r="E243" i="51"/>
  <c r="D243" i="51"/>
  <c r="F240" i="51"/>
  <c r="E240" i="51"/>
  <c r="D240" i="51"/>
  <c r="D246" i="51"/>
  <c r="F246" i="51"/>
  <c r="E246" i="51"/>
  <c r="F236" i="51"/>
  <c r="E236" i="51"/>
  <c r="D236" i="51"/>
  <c r="F223" i="51"/>
  <c r="E223" i="51"/>
  <c r="D223" i="51"/>
  <c r="F213" i="51"/>
  <c r="E213" i="51"/>
  <c r="D213" i="51"/>
  <c r="E211" i="51"/>
  <c r="F211" i="51"/>
  <c r="D211" i="51"/>
  <c r="F209" i="51"/>
  <c r="E209" i="51"/>
  <c r="D209" i="51"/>
  <c r="F204" i="51"/>
  <c r="E204" i="51"/>
  <c r="D204" i="51"/>
  <c r="F201" i="51"/>
  <c r="E201" i="51"/>
  <c r="D201" i="51"/>
  <c r="F184" i="51"/>
  <c r="E184" i="51"/>
  <c r="D184" i="51"/>
  <c r="E176" i="51"/>
  <c r="F176" i="51"/>
  <c r="D176" i="51"/>
  <c r="F172" i="51"/>
  <c r="E172" i="51"/>
  <c r="D172" i="51"/>
  <c r="E180" i="51"/>
  <c r="F180" i="51"/>
  <c r="D180" i="51"/>
  <c r="F158" i="51"/>
  <c r="E158" i="51"/>
  <c r="D158" i="51"/>
  <c r="E153" i="51"/>
  <c r="F153" i="51"/>
  <c r="D153" i="51"/>
  <c r="F140" i="51"/>
  <c r="E140" i="51"/>
  <c r="D140" i="51"/>
  <c r="F137" i="51"/>
  <c r="E137" i="51"/>
  <c r="D137" i="51"/>
  <c r="F135" i="51"/>
  <c r="E135" i="51"/>
  <c r="D135" i="51"/>
  <c r="F133" i="51"/>
  <c r="E133" i="51"/>
  <c r="D133" i="51"/>
  <c r="F99" i="51"/>
  <c r="E99" i="51"/>
  <c r="D99" i="51"/>
  <c r="D59" i="51"/>
  <c r="D63" i="51"/>
  <c r="E33" i="51"/>
  <c r="D33" i="51"/>
  <c r="F10" i="51"/>
  <c r="E10" i="51"/>
  <c r="F13" i="51"/>
  <c r="E13" i="51"/>
  <c r="D13" i="51"/>
  <c r="F19" i="51"/>
  <c r="E19" i="51"/>
  <c r="D19" i="51"/>
  <c r="D399" i="51" l="1"/>
  <c r="F399" i="51"/>
  <c r="E399" i="51"/>
  <c r="D369" i="51"/>
  <c r="E369" i="51"/>
  <c r="F294" i="51"/>
  <c r="F369" i="51"/>
  <c r="D294" i="51"/>
  <c r="E316" i="51"/>
  <c r="F316" i="51"/>
  <c r="D316" i="51"/>
  <c r="E294" i="51"/>
  <c r="F277" i="51"/>
  <c r="F256" i="51"/>
  <c r="D256" i="51"/>
  <c r="D277" i="51"/>
  <c r="E256" i="51"/>
  <c r="E277" i="51"/>
  <c r="E227" i="51"/>
  <c r="F227" i="51"/>
  <c r="D143" i="51"/>
  <c r="E143" i="51"/>
  <c r="D22" i="51"/>
  <c r="F143" i="51"/>
  <c r="E22" i="51"/>
  <c r="F22" i="51"/>
  <c r="D70" i="51" l="1"/>
  <c r="E70" i="51"/>
  <c r="F59" i="51"/>
  <c r="E59" i="51"/>
  <c r="F70" i="51" l="1"/>
  <c r="F73" i="51" s="1"/>
  <c r="D377" i="51"/>
  <c r="E377" i="51"/>
  <c r="F377" i="51"/>
  <c r="F380" i="51" s="1"/>
  <c r="E445" i="51"/>
  <c r="F445" i="51"/>
  <c r="D445" i="51"/>
  <c r="E762" i="51"/>
  <c r="F762" i="51"/>
  <c r="D762" i="51"/>
  <c r="E927" i="51"/>
  <c r="F927" i="51"/>
  <c r="D927" i="51"/>
  <c r="E1051" i="51"/>
  <c r="F1051" i="51"/>
  <c r="E1048" i="51"/>
  <c r="F1048" i="51"/>
  <c r="G1049" i="51"/>
  <c r="D29" i="18" l="1"/>
  <c r="D30" i="18"/>
  <c r="C2104" i="43" l="1"/>
  <c r="D2104" i="43"/>
  <c r="E2104" i="43"/>
  <c r="E2107" i="43"/>
  <c r="C2114" i="43"/>
  <c r="D2114" i="43"/>
  <c r="E2114" i="43"/>
  <c r="E2101" i="43"/>
  <c r="E2008" i="43"/>
  <c r="C2013" i="43" l="1"/>
  <c r="C2019" i="43"/>
  <c r="E2048" i="43"/>
  <c r="D2048" i="43"/>
  <c r="C2048" i="43"/>
  <c r="E2051" i="43"/>
  <c r="D2051" i="43"/>
  <c r="C2051" i="43"/>
  <c r="E2054" i="43"/>
  <c r="C2054" i="43"/>
  <c r="E2057" i="43"/>
  <c r="D2057" i="43"/>
  <c r="C2057" i="43"/>
  <c r="C2062" i="43"/>
  <c r="D2062" i="43"/>
  <c r="E2062" i="43"/>
  <c r="E1907" i="43"/>
  <c r="E1896" i="43"/>
  <c r="E1890" i="43"/>
  <c r="E1870" i="43"/>
  <c r="E1780" i="43"/>
  <c r="D1780" i="43"/>
  <c r="C1780" i="43"/>
  <c r="C1818" i="43"/>
  <c r="D1818" i="43"/>
  <c r="C1767" i="43"/>
  <c r="D1767" i="43"/>
  <c r="E1767" i="43"/>
  <c r="E1765" i="43"/>
  <c r="E1752" i="43"/>
  <c r="E1755" i="43"/>
  <c r="E1758" i="43"/>
  <c r="E1637" i="43"/>
  <c r="D1637" i="43"/>
  <c r="C1637" i="43"/>
  <c r="C1511" i="43"/>
  <c r="D1511" i="43"/>
  <c r="E1511" i="43"/>
  <c r="E1503" i="43"/>
  <c r="E1402" i="43"/>
  <c r="E1399" i="43"/>
  <c r="D1399" i="43"/>
  <c r="C1399" i="43"/>
  <c r="C896" i="43"/>
  <c r="D893" i="43"/>
  <c r="E894" i="43"/>
  <c r="E893" i="43" s="1"/>
  <c r="C894" i="43"/>
  <c r="C893" i="43" s="1"/>
  <c r="E883" i="43"/>
  <c r="E879" i="43"/>
  <c r="E873" i="43"/>
  <c r="E786" i="43"/>
  <c r="C786" i="43"/>
  <c r="C777" i="43"/>
  <c r="D777" i="43"/>
  <c r="E777" i="43"/>
  <c r="E771" i="43"/>
  <c r="C614" i="43"/>
  <c r="D614" i="43"/>
  <c r="E614" i="43"/>
  <c r="E618" i="43"/>
  <c r="E2013" i="43" l="1"/>
  <c r="D2013" i="43"/>
  <c r="E2170" i="43"/>
  <c r="D2170" i="43"/>
  <c r="C2170" i="43"/>
  <c r="D1758" i="43"/>
  <c r="F16" i="44"/>
  <c r="C51" i="44"/>
  <c r="C2252" i="43" l="1"/>
  <c r="E2129" i="43"/>
  <c r="D2129" i="43"/>
  <c r="C2129" i="43"/>
  <c r="C2146" i="43"/>
  <c r="E2146" i="43"/>
  <c r="D2146" i="43"/>
  <c r="E1968" i="43"/>
  <c r="E1951" i="43"/>
  <c r="E1956" i="43" s="1"/>
  <c r="E1929" i="43"/>
  <c r="C1752" i="43"/>
  <c r="C1758" i="43"/>
  <c r="E1693" i="43"/>
  <c r="D1693" i="43"/>
  <c r="C1693" i="43"/>
  <c r="C1699" i="43"/>
  <c r="E1658" i="43"/>
  <c r="D1658" i="43"/>
  <c r="C1658" i="43"/>
  <c r="D1666" i="43"/>
  <c r="C1607" i="43"/>
  <c r="E1590" i="43"/>
  <c r="D1590" i="43"/>
  <c r="C1590" i="43"/>
  <c r="C1503" i="43"/>
  <c r="E1279" i="43"/>
  <c r="D1279" i="43"/>
  <c r="C1279" i="43"/>
  <c r="C1057" i="43"/>
  <c r="E1010" i="43"/>
  <c r="D1010" i="43"/>
  <c r="C1010" i="43"/>
  <c r="E1007" i="43"/>
  <c r="D1007" i="43"/>
  <c r="C1007" i="43"/>
  <c r="E1005" i="43"/>
  <c r="D1005" i="43"/>
  <c r="C1005" i="43"/>
  <c r="D896" i="43"/>
  <c r="D819" i="43"/>
  <c r="E720" i="43"/>
  <c r="D720" i="43"/>
  <c r="C720" i="43"/>
  <c r="E732" i="43"/>
  <c r="D732" i="43"/>
  <c r="C732" i="43"/>
  <c r="C433" i="43"/>
  <c r="C410" i="43"/>
  <c r="D410" i="43"/>
  <c r="E410" i="43"/>
  <c r="C238" i="43"/>
  <c r="C219" i="43"/>
  <c r="C149" i="43"/>
  <c r="C154" i="43"/>
  <c r="D154" i="43"/>
  <c r="E154" i="43"/>
  <c r="E14" i="43"/>
  <c r="D14" i="43"/>
  <c r="C14" i="43"/>
  <c r="F979" i="51"/>
  <c r="E979" i="51"/>
  <c r="D979" i="51"/>
  <c r="E971" i="51"/>
  <c r="D971" i="51"/>
  <c r="E967" i="51"/>
  <c r="D967" i="51"/>
  <c r="F965" i="51"/>
  <c r="D965" i="51"/>
  <c r="F962" i="51"/>
  <c r="E958" i="51"/>
  <c r="F1068" i="51"/>
  <c r="E1068" i="51"/>
  <c r="D1068" i="51"/>
  <c r="F1055" i="51"/>
  <c r="E1033" i="51"/>
  <c r="E1055" i="51" s="1"/>
  <c r="D1055" i="51"/>
  <c r="F974" i="51" l="1"/>
  <c r="F1024" i="51" s="1"/>
  <c r="D974" i="51"/>
  <c r="E974" i="51"/>
  <c r="E1024" i="51" l="1"/>
  <c r="D48" i="34"/>
  <c r="D1024" i="51"/>
  <c r="C48" i="34"/>
  <c r="E48" i="34"/>
  <c r="C1590" i="9"/>
  <c r="D1719" i="44"/>
  <c r="C1541" i="9" s="1"/>
  <c r="D1463" i="9"/>
  <c r="D1460" i="9"/>
  <c r="C968" i="9"/>
  <c r="C1099" i="44"/>
  <c r="C1094" i="44"/>
  <c r="E1094" i="44"/>
  <c r="D1094" i="44"/>
  <c r="D1103" i="44"/>
  <c r="C971" i="9" s="1"/>
  <c r="F1099" i="44"/>
  <c r="E1099" i="44"/>
  <c r="F1094" i="44"/>
  <c r="F1088" i="44"/>
  <c r="E1088" i="44"/>
  <c r="D1088" i="44"/>
  <c r="C1088" i="44"/>
  <c r="C942" i="9"/>
  <c r="D734" i="9"/>
  <c r="C1100" i="44" l="1"/>
  <c r="C1103" i="44" s="1"/>
  <c r="C1105" i="44" s="1"/>
  <c r="D1105" i="44"/>
  <c r="E1100" i="44"/>
  <c r="F1100" i="44"/>
  <c r="D568" i="9"/>
  <c r="E1103" i="44" l="1"/>
  <c r="E1105" i="44" s="1"/>
  <c r="F1103" i="44"/>
  <c r="D971" i="9" s="1"/>
  <c r="D968" i="9"/>
  <c r="D567" i="9"/>
  <c r="D566" i="9"/>
  <c r="D565" i="9"/>
  <c r="D564" i="9"/>
  <c r="D348" i="9"/>
  <c r="D345" i="9"/>
  <c r="D294" i="9"/>
  <c r="F1105" i="44" l="1"/>
  <c r="D154" i="9"/>
  <c r="C154" i="9"/>
  <c r="C2084" i="9"/>
  <c r="C2136" i="9"/>
  <c r="C2153" i="9" s="1"/>
  <c r="D2113" i="9"/>
  <c r="C2113" i="9"/>
  <c r="D2110" i="9"/>
  <c r="C2110" i="9"/>
  <c r="C2127" i="9" l="1"/>
  <c r="D2127" i="9"/>
  <c r="E683" i="51" l="1"/>
  <c r="E126" i="51"/>
  <c r="D889" i="43"/>
  <c r="E398" i="43"/>
  <c r="D398" i="43"/>
  <c r="C398" i="43"/>
  <c r="E494" i="66"/>
  <c r="E433" i="66"/>
  <c r="D433" i="66"/>
  <c r="F30" i="66" l="1"/>
  <c r="F188" i="51" l="1"/>
  <c r="F168" i="51"/>
  <c r="F14" i="66"/>
  <c r="F68" i="66" l="1"/>
  <c r="F122" i="51"/>
  <c r="C1121" i="43"/>
  <c r="E306" i="43" l="1"/>
  <c r="E302" i="43"/>
  <c r="E301" i="43"/>
  <c r="C303" i="43"/>
  <c r="C304" i="43"/>
  <c r="D300" i="43"/>
  <c r="E300" i="43" l="1"/>
  <c r="F420" i="51"/>
  <c r="F1279" i="51"/>
  <c r="E1224" i="51"/>
  <c r="F750" i="51"/>
  <c r="F747" i="51"/>
  <c r="F699" i="51"/>
  <c r="E699" i="51"/>
  <c r="D699" i="51"/>
  <c r="F683" i="51"/>
  <c r="D683" i="51"/>
  <c r="F608" i="51"/>
  <c r="F501" i="51"/>
  <c r="F505" i="51" s="1"/>
  <c r="E1052" i="43"/>
  <c r="F755" i="51" l="1"/>
  <c r="E64" i="43"/>
  <c r="F1092" i="51" l="1"/>
  <c r="E1092" i="51"/>
  <c r="E1100" i="51" s="1"/>
  <c r="D1092" i="51"/>
  <c r="F103" i="66"/>
  <c r="E22" i="34" l="1"/>
  <c r="E380" i="51"/>
  <c r="D380" i="51"/>
  <c r="E58" i="43"/>
  <c r="F22" i="34" l="1"/>
  <c r="G30" i="41"/>
  <c r="D1052" i="43" l="1"/>
  <c r="E2081" i="43" l="1"/>
  <c r="D2081" i="43"/>
  <c r="C2081" i="43"/>
  <c r="E175" i="43"/>
  <c r="D175" i="43"/>
  <c r="C175" i="43"/>
  <c r="E172" i="43"/>
  <c r="D172" i="43"/>
  <c r="C172" i="43"/>
  <c r="E170" i="43"/>
  <c r="D170" i="43"/>
  <c r="C170" i="43"/>
  <c r="E167" i="43"/>
  <c r="D167" i="43"/>
  <c r="C167" i="43"/>
  <c r="E164" i="43"/>
  <c r="D164" i="43"/>
  <c r="C164" i="43"/>
  <c r="C179" i="43" l="1"/>
  <c r="D179" i="43"/>
  <c r="E179" i="43"/>
  <c r="E13" i="41" s="1"/>
  <c r="E238" i="43"/>
  <c r="F825" i="66"/>
  <c r="F1617" i="51"/>
  <c r="F433" i="66"/>
  <c r="F426" i="66"/>
  <c r="E426" i="66"/>
  <c r="D426" i="66"/>
  <c r="E431" i="43"/>
  <c r="C431" i="43"/>
  <c r="E1056" i="44"/>
  <c r="F1056" i="44"/>
  <c r="E863" i="43"/>
  <c r="D863" i="43"/>
  <c r="C863" i="43"/>
  <c r="E861" i="43"/>
  <c r="D861" i="43"/>
  <c r="C861" i="43"/>
  <c r="E859" i="43"/>
  <c r="D859" i="43"/>
  <c r="C859" i="43"/>
  <c r="E856" i="43"/>
  <c r="D856" i="43"/>
  <c r="C856" i="43"/>
  <c r="E854" i="43"/>
  <c r="D854" i="43"/>
  <c r="C854" i="43"/>
  <c r="F13" i="41" l="1"/>
  <c r="H13" i="41" s="1"/>
  <c r="D58" i="43" l="1"/>
  <c r="C58" i="43"/>
  <c r="D485" i="51"/>
  <c r="D36" i="51"/>
  <c r="E36" i="51"/>
  <c r="E1834" i="43"/>
  <c r="D786" i="43"/>
  <c r="D426" i="51"/>
  <c r="D431" i="43"/>
  <c r="D122" i="51"/>
  <c r="E235" i="43"/>
  <c r="F340" i="66"/>
  <c r="E960" i="43"/>
  <c r="E358" i="43" l="1"/>
  <c r="E357" i="43" s="1"/>
  <c r="C358" i="43"/>
  <c r="C357" i="43" s="1"/>
  <c r="C356" i="43"/>
  <c r="C355" i="43"/>
  <c r="C353" i="43"/>
  <c r="E346" i="43"/>
  <c r="C346" i="43"/>
  <c r="E345" i="43"/>
  <c r="C345" i="43"/>
  <c r="E344" i="43"/>
  <c r="C344" i="43"/>
  <c r="E342" i="43"/>
  <c r="E341" i="43" s="1"/>
  <c r="C342" i="43"/>
  <c r="C341" i="43" s="1"/>
  <c r="E339" i="43"/>
  <c r="D339" i="43"/>
  <c r="C339" i="43"/>
  <c r="E334" i="43"/>
  <c r="D334" i="43"/>
  <c r="C334" i="43"/>
  <c r="D330" i="43"/>
  <c r="C333" i="43"/>
  <c r="C331" i="43"/>
  <c r="D325" i="43"/>
  <c r="E326" i="43"/>
  <c r="E325" i="43" s="1"/>
  <c r="C326" i="43"/>
  <c r="C325" i="43" s="1"/>
  <c r="D316" i="43"/>
  <c r="E321" i="43"/>
  <c r="C321" i="43"/>
  <c r="C320" i="43"/>
  <c r="E319" i="43"/>
  <c r="C319" i="43"/>
  <c r="C318" i="43"/>
  <c r="D311" i="43"/>
  <c r="E315" i="43"/>
  <c r="C315" i="43"/>
  <c r="E312" i="43"/>
  <c r="C312" i="43"/>
  <c r="E308" i="43"/>
  <c r="D308" i="43"/>
  <c r="C308" i="43"/>
  <c r="C306" i="43"/>
  <c r="C302" i="43"/>
  <c r="C301" i="43"/>
  <c r="E316" i="43" l="1"/>
  <c r="C300" i="43"/>
  <c r="E330" i="43"/>
  <c r="E311" i="43"/>
  <c r="C343" i="43"/>
  <c r="D361" i="43"/>
  <c r="C311" i="43"/>
  <c r="C316" i="43"/>
  <c r="E343" i="43"/>
  <c r="C330" i="43"/>
  <c r="E361" i="43" l="1"/>
  <c r="C361" i="43"/>
  <c r="C1268" i="43"/>
  <c r="E1268" i="43"/>
  <c r="E63" i="41" s="1"/>
  <c r="F63" i="41" l="1"/>
  <c r="H63" i="41" s="1"/>
  <c r="E1789" i="43"/>
  <c r="C1789" i="43"/>
  <c r="D1789" i="43"/>
  <c r="D235" i="43" l="1"/>
  <c r="C235" i="43"/>
  <c r="E230" i="43"/>
  <c r="D494" i="66"/>
  <c r="F494" i="66"/>
  <c r="F2485" i="44" l="1"/>
  <c r="F28" i="65" l="1"/>
  <c r="D28" i="65"/>
  <c r="E28" i="65"/>
  <c r="D750" i="51"/>
  <c r="E750" i="51"/>
  <c r="D747" i="51"/>
  <c r="E747" i="51"/>
  <c r="F2164" i="44"/>
  <c r="D2064" i="44"/>
  <c r="D2058" i="44"/>
  <c r="D2052" i="44"/>
  <c r="C2058" i="44"/>
  <c r="C2052" i="44"/>
  <c r="D2479" i="44"/>
  <c r="D755" i="51" l="1"/>
  <c r="C37" i="34" s="1"/>
  <c r="E755" i="51"/>
  <c r="D37" i="34" s="1"/>
  <c r="D2065" i="44"/>
  <c r="D2067" i="44" s="1"/>
  <c r="C1379" i="44"/>
  <c r="C1373" i="44"/>
  <c r="G50" i="41" l="1"/>
  <c r="E37" i="34"/>
  <c r="F1387" i="44"/>
  <c r="E1387" i="44"/>
  <c r="D1387" i="44"/>
  <c r="C1387" i="44"/>
  <c r="F1384" i="44"/>
  <c r="E1384" i="44"/>
  <c r="D1384" i="44"/>
  <c r="C1384" i="44"/>
  <c r="F1379" i="44"/>
  <c r="E1379" i="44"/>
  <c r="D1379" i="44"/>
  <c r="F1373" i="44"/>
  <c r="E1373" i="44"/>
  <c r="D1373" i="44"/>
  <c r="C2479" i="44"/>
  <c r="F2473" i="44"/>
  <c r="F2479" i="44"/>
  <c r="C2473" i="44"/>
  <c r="C2467" i="44"/>
  <c r="E2479" i="44"/>
  <c r="D2473" i="44"/>
  <c r="D2467" i="44"/>
  <c r="F235" i="44"/>
  <c r="E235" i="44"/>
  <c r="F232" i="44"/>
  <c r="E232" i="44"/>
  <c r="F227" i="44"/>
  <c r="E227" i="44"/>
  <c r="F221" i="44"/>
  <c r="E221" i="44"/>
  <c r="D235" i="44"/>
  <c r="C235" i="44"/>
  <c r="D232" i="44"/>
  <c r="C232" i="44"/>
  <c r="D227" i="44"/>
  <c r="C227" i="44"/>
  <c r="D221" i="44"/>
  <c r="C221" i="44"/>
  <c r="F37" i="34" l="1"/>
  <c r="G37" i="34" s="1"/>
  <c r="D1385" i="44"/>
  <c r="D1388" i="44" s="1"/>
  <c r="C1227" i="9" s="1"/>
  <c r="E1385" i="44"/>
  <c r="E1388" i="44" s="1"/>
  <c r="C1385" i="44"/>
  <c r="C1388" i="44" s="1"/>
  <c r="F1385" i="44"/>
  <c r="F1388" i="44" s="1"/>
  <c r="C2480" i="44"/>
  <c r="C2486" i="44" s="1"/>
  <c r="C2214" i="9" s="1"/>
  <c r="C2231" i="9" s="1"/>
  <c r="D233" i="44"/>
  <c r="D236" i="44" s="1"/>
  <c r="C233" i="44"/>
  <c r="C236" i="44" s="1"/>
  <c r="E233" i="44"/>
  <c r="E236" i="44" s="1"/>
  <c r="F233" i="44"/>
  <c r="F236" i="44" s="1"/>
  <c r="D265" i="66"/>
  <c r="C60" i="41" l="1"/>
  <c r="D1227" i="9"/>
  <c r="C15" i="41"/>
  <c r="D190" i="9"/>
  <c r="H37" i="34"/>
  <c r="D63" i="65"/>
  <c r="E265" i="66"/>
  <c r="E63" i="65" s="1"/>
  <c r="F264" i="66"/>
  <c r="F263" i="66"/>
  <c r="F262" i="66"/>
  <c r="F261" i="66"/>
  <c r="F260" i="66"/>
  <c r="F259" i="66"/>
  <c r="F258" i="66"/>
  <c r="F257" i="66"/>
  <c r="F256" i="66"/>
  <c r="F255" i="66"/>
  <c r="F254" i="66"/>
  <c r="F253" i="66"/>
  <c r="F252" i="66"/>
  <c r="F251" i="66"/>
  <c r="F250" i="66"/>
  <c r="F249" i="66"/>
  <c r="F248" i="66"/>
  <c r="F247" i="66"/>
  <c r="F246" i="66"/>
  <c r="F245" i="66"/>
  <c r="F265" i="66" l="1"/>
  <c r="E2052" i="44"/>
  <c r="F63" i="65" l="1"/>
  <c r="F2092" i="44"/>
  <c r="E2092" i="44"/>
  <c r="D2092" i="44"/>
  <c r="C2092" i="44"/>
  <c r="F2089" i="44"/>
  <c r="E2089" i="44"/>
  <c r="D2089" i="44"/>
  <c r="C2089" i="44"/>
  <c r="F2084" i="44"/>
  <c r="E2084" i="44"/>
  <c r="D2084" i="44"/>
  <c r="C2084" i="44"/>
  <c r="F2078" i="44"/>
  <c r="E2078" i="44"/>
  <c r="D2078" i="44"/>
  <c r="C2078" i="44"/>
  <c r="F2064" i="44"/>
  <c r="E2064" i="44"/>
  <c r="C2064" i="44"/>
  <c r="F2058" i="44"/>
  <c r="E2058" i="44"/>
  <c r="F2052" i="44"/>
  <c r="D930" i="44"/>
  <c r="D925" i="44"/>
  <c r="D919" i="44"/>
  <c r="C930" i="44"/>
  <c r="C925" i="44"/>
  <c r="C919" i="44"/>
  <c r="F930" i="44"/>
  <c r="E930" i="44"/>
  <c r="F925" i="44"/>
  <c r="E925" i="44"/>
  <c r="F919" i="44"/>
  <c r="E919" i="44"/>
  <c r="D907" i="44"/>
  <c r="D903" i="44"/>
  <c r="D898" i="44"/>
  <c r="D892" i="44"/>
  <c r="C908" i="44"/>
  <c r="F907" i="44"/>
  <c r="E907" i="44"/>
  <c r="F903" i="44"/>
  <c r="E903" i="44"/>
  <c r="C903" i="44"/>
  <c r="F898" i="44"/>
  <c r="E898" i="44"/>
  <c r="C898" i="44"/>
  <c r="F892" i="44"/>
  <c r="E892" i="44"/>
  <c r="C892" i="44"/>
  <c r="E2023" i="43" l="1"/>
  <c r="E2019" i="43" s="1"/>
  <c r="C2065" i="44"/>
  <c r="C2067" i="44" s="1"/>
  <c r="F933" i="44"/>
  <c r="C933" i="44"/>
  <c r="D2090" i="44"/>
  <c r="D2093" i="44" s="1"/>
  <c r="C2090" i="44"/>
  <c r="C2093" i="44" s="1"/>
  <c r="E933" i="44"/>
  <c r="D931" i="44"/>
  <c r="E2090" i="44"/>
  <c r="E2093" i="44" s="1"/>
  <c r="F2090" i="44"/>
  <c r="F2093" i="44" s="1"/>
  <c r="D1824" i="9" s="1"/>
  <c r="F2065" i="44"/>
  <c r="F2067" i="44" s="1"/>
  <c r="E2065" i="44"/>
  <c r="E2067" i="44" s="1"/>
  <c r="D933" i="44"/>
  <c r="C812" i="9" s="1"/>
  <c r="E931" i="44"/>
  <c r="F904" i="44"/>
  <c r="F908" i="44" s="1"/>
  <c r="E904" i="44"/>
  <c r="E908" i="44" s="1"/>
  <c r="C931" i="44"/>
  <c r="F931" i="44"/>
  <c r="D904" i="44"/>
  <c r="D908" i="44" s="1"/>
  <c r="C88" i="41" l="1"/>
  <c r="D1798" i="9"/>
  <c r="C40" i="41"/>
  <c r="D786" i="9"/>
  <c r="C41" i="41"/>
  <c r="D812" i="9"/>
  <c r="G2093" i="44"/>
  <c r="C89" i="41"/>
  <c r="E2473" i="44"/>
  <c r="F2467" i="44"/>
  <c r="E2467" i="44"/>
  <c r="F2513" i="44"/>
  <c r="E2513" i="44"/>
  <c r="D2513" i="44"/>
  <c r="C2513" i="44"/>
  <c r="F2509" i="44"/>
  <c r="E2509" i="44"/>
  <c r="D2509" i="44"/>
  <c r="C2505" i="44"/>
  <c r="C2509" i="44" s="1"/>
  <c r="F2503" i="44"/>
  <c r="E2503" i="44"/>
  <c r="D2503" i="44"/>
  <c r="C2503" i="44"/>
  <c r="F2497" i="44"/>
  <c r="E2497" i="44"/>
  <c r="D2497" i="44"/>
  <c r="C2497" i="44"/>
  <c r="F2401" i="44"/>
  <c r="E2401" i="44"/>
  <c r="D2401" i="44"/>
  <c r="C2401" i="44"/>
  <c r="F2393" i="44"/>
  <c r="E2393" i="44"/>
  <c r="D2393" i="44"/>
  <c r="C2393" i="44"/>
  <c r="F2387" i="44"/>
  <c r="E2387" i="44"/>
  <c r="D2387" i="44"/>
  <c r="C2387" i="44"/>
  <c r="F2382" i="44"/>
  <c r="E2382" i="44"/>
  <c r="D2382" i="44"/>
  <c r="C2382" i="44"/>
  <c r="D2371" i="44"/>
  <c r="F2368" i="44"/>
  <c r="E2368" i="44"/>
  <c r="D2368" i="44"/>
  <c r="C2368" i="44"/>
  <c r="F2362" i="44"/>
  <c r="E2362" i="44"/>
  <c r="D2362" i="44"/>
  <c r="C2362" i="44"/>
  <c r="F2355" i="44"/>
  <c r="D2355" i="44"/>
  <c r="C2355" i="44"/>
  <c r="F2428" i="44"/>
  <c r="E2428" i="44"/>
  <c r="D2428" i="44"/>
  <c r="C2428" i="44"/>
  <c r="F2424" i="44"/>
  <c r="E2424" i="44"/>
  <c r="D2424" i="44"/>
  <c r="C2424" i="44"/>
  <c r="F2418" i="44"/>
  <c r="E2418" i="44"/>
  <c r="D2418" i="44"/>
  <c r="C2418" i="44"/>
  <c r="F2412" i="44"/>
  <c r="E2412" i="44"/>
  <c r="D2412" i="44"/>
  <c r="C2412" i="44"/>
  <c r="C2429" i="44" s="1"/>
  <c r="C2162" i="9" s="1"/>
  <c r="C2179" i="9" s="1"/>
  <c r="F2455" i="44"/>
  <c r="E2455" i="44"/>
  <c r="D2455" i="44"/>
  <c r="C2455" i="44"/>
  <c r="F2451" i="44"/>
  <c r="E2451" i="44"/>
  <c r="D2451" i="44"/>
  <c r="C2451" i="44"/>
  <c r="F2446" i="44"/>
  <c r="E2446" i="44"/>
  <c r="D2446" i="44"/>
  <c r="C2446" i="44"/>
  <c r="F2440" i="44"/>
  <c r="E2440" i="44"/>
  <c r="D2440" i="44"/>
  <c r="C2440" i="44"/>
  <c r="F2343" i="44"/>
  <c r="E2343" i="44"/>
  <c r="D2343" i="44"/>
  <c r="C2343" i="44"/>
  <c r="F2339" i="44"/>
  <c r="E2339" i="44"/>
  <c r="D2339" i="44"/>
  <c r="C2339" i="44"/>
  <c r="F2334" i="44"/>
  <c r="E2334" i="44"/>
  <c r="D2334" i="44"/>
  <c r="C2334" i="44"/>
  <c r="F2328" i="44"/>
  <c r="E2328" i="44"/>
  <c r="D2328" i="44"/>
  <c r="C2340" i="44" l="1"/>
  <c r="E2340" i="44"/>
  <c r="E2344" i="44" s="1"/>
  <c r="C2452" i="44"/>
  <c r="C2456" i="44" s="1"/>
  <c r="C2188" i="9" s="1"/>
  <c r="C2205" i="9" s="1"/>
  <c r="E2452" i="44"/>
  <c r="E2456" i="44" s="1"/>
  <c r="C2425" i="44"/>
  <c r="E2425" i="44"/>
  <c r="E2429" i="44" s="1"/>
  <c r="F2369" i="44"/>
  <c r="F2371" i="44" s="1"/>
  <c r="C100" i="41" s="1"/>
  <c r="D2394" i="44"/>
  <c r="D2402" i="44" s="1"/>
  <c r="F2394" i="44"/>
  <c r="F2402" i="44" s="1"/>
  <c r="D2510" i="44"/>
  <c r="D2514" i="44" s="1"/>
  <c r="C2240" i="9" s="1"/>
  <c r="C2257" i="9" s="1"/>
  <c r="F2510" i="44"/>
  <c r="F2514" i="44" s="1"/>
  <c r="D2340" i="44"/>
  <c r="F2340" i="44"/>
  <c r="F2344" i="44" s="1"/>
  <c r="D2452" i="44"/>
  <c r="D2456" i="44" s="1"/>
  <c r="F2452" i="44"/>
  <c r="F2456" i="44" s="1"/>
  <c r="D2425" i="44"/>
  <c r="D2429" i="44" s="1"/>
  <c r="F2425" i="44"/>
  <c r="F2429" i="44" s="1"/>
  <c r="C2369" i="44"/>
  <c r="E2369" i="44"/>
  <c r="E2371" i="44" s="1"/>
  <c r="E2394" i="44"/>
  <c r="E2402" i="44" s="1"/>
  <c r="C2510" i="44"/>
  <c r="C2514" i="44" s="1"/>
  <c r="E2510" i="44"/>
  <c r="E2514" i="44" s="1"/>
  <c r="D2486" i="44"/>
  <c r="F2480" i="44"/>
  <c r="F2486" i="44" s="1"/>
  <c r="E2480" i="44"/>
  <c r="E2486" i="44" s="1"/>
  <c r="C104" i="41" l="1"/>
  <c r="D2214" i="9"/>
  <c r="D2231" i="9" s="1"/>
  <c r="C105" i="41"/>
  <c r="D2240" i="9"/>
  <c r="D2257" i="9" s="1"/>
  <c r="C103" i="41"/>
  <c r="D2188" i="9"/>
  <c r="D2205" i="9" s="1"/>
  <c r="C102" i="41"/>
  <c r="D2162" i="9"/>
  <c r="D2179" i="9" s="1"/>
  <c r="C99" i="41"/>
  <c r="D2084" i="9"/>
  <c r="C101" i="41"/>
  <c r="D2136" i="9"/>
  <c r="D2153" i="9" s="1"/>
  <c r="D1490" i="44"/>
  <c r="D1485" i="44"/>
  <c r="D1479" i="44"/>
  <c r="D1491" i="44" l="1"/>
  <c r="D1494" i="44" s="1"/>
  <c r="C1330" i="9" s="1"/>
  <c r="C1461" i="44"/>
  <c r="F1466" i="44"/>
  <c r="E1466" i="44"/>
  <c r="D1466" i="44"/>
  <c r="C1466" i="44"/>
  <c r="F1461" i="44"/>
  <c r="E1461" i="44"/>
  <c r="D1461" i="44"/>
  <c r="F1455" i="44"/>
  <c r="E1455" i="44"/>
  <c r="D1455" i="44"/>
  <c r="C1455" i="44"/>
  <c r="D1467" i="44" l="1"/>
  <c r="D1469" i="44" s="1"/>
  <c r="C1304" i="9" s="1"/>
  <c r="F1467" i="44"/>
  <c r="F1469" i="44" s="1"/>
  <c r="E1467" i="44"/>
  <c r="E1469" i="44" s="1"/>
  <c r="C1467" i="44"/>
  <c r="C1469" i="44" s="1"/>
  <c r="F1490" i="44"/>
  <c r="E1490" i="44"/>
  <c r="F1485" i="44"/>
  <c r="E1485" i="44"/>
  <c r="F1479" i="44"/>
  <c r="E1479" i="44"/>
  <c r="C64" i="41" l="1"/>
  <c r="D1304" i="9"/>
  <c r="E1491" i="44"/>
  <c r="F1491" i="44"/>
  <c r="F1493" i="44"/>
  <c r="E1493" i="44"/>
  <c r="C1493" i="44"/>
  <c r="C1490" i="44"/>
  <c r="C1485" i="44"/>
  <c r="C1479" i="44"/>
  <c r="E1494" i="44" l="1"/>
  <c r="F1494" i="44"/>
  <c r="C1491" i="44"/>
  <c r="C1494" i="44" s="1"/>
  <c r="C65" i="41" l="1"/>
  <c r="D1330" i="9"/>
  <c r="D21" i="41"/>
  <c r="D73" i="41"/>
  <c r="D19" i="34"/>
  <c r="D66" i="34"/>
  <c r="D82" i="34"/>
  <c r="D83" i="34"/>
  <c r="D89" i="34"/>
  <c r="E1793" i="43" l="1"/>
  <c r="D1793" i="43"/>
  <c r="C1793" i="43"/>
  <c r="D1783" i="43"/>
  <c r="D1689" i="43"/>
  <c r="D1630" i="43"/>
  <c r="E1105" i="43"/>
  <c r="D1105" i="43"/>
  <c r="C1105" i="43"/>
  <c r="E1487" i="43"/>
  <c r="E196" i="43"/>
  <c r="D196" i="43"/>
  <c r="D656" i="43"/>
  <c r="E468" i="43"/>
  <c r="D468" i="43"/>
  <c r="C468" i="43"/>
  <c r="E10" i="43"/>
  <c r="D10" i="43"/>
  <c r="E16" i="44"/>
  <c r="C16" i="44"/>
  <c r="D16" i="44"/>
  <c r="D10" i="44"/>
  <c r="C10" i="44"/>
  <c r="F2677" i="44"/>
  <c r="E2677" i="44"/>
  <c r="C2677" i="44"/>
  <c r="D2677" i="44"/>
  <c r="C2006" i="9" l="1"/>
  <c r="D1980" i="9"/>
  <c r="D1997" i="9" s="1"/>
  <c r="C1980" i="9"/>
  <c r="C1997" i="9" s="1"/>
  <c r="D1841" i="9"/>
  <c r="C1824" i="9"/>
  <c r="C1841" i="9" s="1"/>
  <c r="C1798" i="9"/>
  <c r="C1815" i="9" s="1"/>
  <c r="D1815" i="9"/>
  <c r="C1772" i="9"/>
  <c r="D1347" i="9" l="1"/>
  <c r="C1347" i="9"/>
  <c r="D1321" i="9"/>
  <c r="C1321" i="9"/>
  <c r="C985" i="9"/>
  <c r="D985" i="9"/>
  <c r="D803" i="9"/>
  <c r="C786" i="9"/>
  <c r="C803" i="9" s="1"/>
  <c r="F359" i="44"/>
  <c r="D297" i="9" s="1"/>
  <c r="C346" i="44"/>
  <c r="E346" i="44"/>
  <c r="D207" i="9"/>
  <c r="C2023" i="9"/>
  <c r="C1789" i="9"/>
  <c r="C1607" i="9"/>
  <c r="C466" i="9"/>
  <c r="C440" i="9"/>
  <c r="C414" i="9"/>
  <c r="C388" i="9"/>
  <c r="C233" i="9"/>
  <c r="C207" i="9"/>
  <c r="D829" i="9" l="1"/>
  <c r="C829" i="9"/>
  <c r="C725" i="9"/>
  <c r="C751" i="9"/>
  <c r="D311" i="9"/>
  <c r="C516" i="9"/>
  <c r="D1477" i="9"/>
  <c r="C336" i="9"/>
  <c r="C491" i="9"/>
  <c r="D1243" i="9"/>
  <c r="C311" i="9"/>
  <c r="C673" i="9"/>
  <c r="C1243" i="9"/>
  <c r="C777" i="9"/>
  <c r="C259" i="9"/>
  <c r="C362" i="9"/>
  <c r="C542" i="9"/>
  <c r="C595" i="9"/>
  <c r="C621" i="9"/>
  <c r="C285" i="9"/>
  <c r="D362" i="9"/>
  <c r="C569" i="9"/>
  <c r="C647" i="9"/>
  <c r="F361" i="66" l="1"/>
  <c r="D488" i="66" l="1"/>
  <c r="F527" i="66" l="1"/>
  <c r="F54" i="65" s="1"/>
  <c r="E527" i="66"/>
  <c r="D527" i="66"/>
  <c r="F675" i="66"/>
  <c r="D15" i="18"/>
  <c r="D16" i="18"/>
  <c r="F6" i="18"/>
  <c r="G6" i="18" s="1"/>
  <c r="F13" i="18"/>
  <c r="G13" i="18" s="1"/>
  <c r="H6" i="18" l="1"/>
  <c r="H13" i="18"/>
  <c r="E288" i="44"/>
  <c r="E289" i="44" s="1"/>
  <c r="F1162" i="51" l="1"/>
  <c r="F1165" i="51"/>
  <c r="F1180" i="51"/>
  <c r="F1212" i="51"/>
  <c r="F1215" i="51"/>
  <c r="F1218" i="51"/>
  <c r="F1261" i="51"/>
  <c r="F1270" i="51" s="1"/>
  <c r="F1283" i="51"/>
  <c r="F1286" i="51"/>
  <c r="E722" i="51"/>
  <c r="E721" i="51" s="1"/>
  <c r="E738" i="51" s="1"/>
  <c r="D2156" i="51"/>
  <c r="D2159" i="51" s="1"/>
  <c r="C94" i="34" s="1"/>
  <c r="F63" i="51"/>
  <c r="E8" i="34" s="1"/>
  <c r="E9" i="34"/>
  <c r="F81" i="51"/>
  <c r="F105" i="51"/>
  <c r="F108" i="51"/>
  <c r="F119" i="51"/>
  <c r="E13" i="34"/>
  <c r="F165" i="51"/>
  <c r="F193" i="51" s="1"/>
  <c r="E18" i="34"/>
  <c r="F325" i="51"/>
  <c r="F337" i="51"/>
  <c r="F432" i="51"/>
  <c r="F436" i="51" s="1"/>
  <c r="E26" i="34" s="1"/>
  <c r="F449" i="51"/>
  <c r="F1350" i="51"/>
  <c r="F1466" i="51"/>
  <c r="F1479" i="51" s="1"/>
  <c r="F1562" i="51"/>
  <c r="F1572" i="51"/>
  <c r="F1643" i="51"/>
  <c r="F1655" i="51" s="1"/>
  <c r="F1669" i="51"/>
  <c r="F1675" i="51"/>
  <c r="F1678" i="51"/>
  <c r="F1621" i="51"/>
  <c r="E80" i="34" s="1"/>
  <c r="F1949" i="51"/>
  <c r="F1835" i="51"/>
  <c r="F1844" i="51" s="1"/>
  <c r="F1893" i="51"/>
  <c r="F1885" i="51"/>
  <c r="E92" i="34"/>
  <c r="F2152" i="51"/>
  <c r="F2156" i="51"/>
  <c r="F488" i="51"/>
  <c r="F614" i="51"/>
  <c r="F617" i="51" s="1"/>
  <c r="F633" i="51"/>
  <c r="F696" i="51"/>
  <c r="F766" i="51"/>
  <c r="E38" i="34" s="1"/>
  <c r="F800" i="51"/>
  <c r="F803" i="51" s="1"/>
  <c r="F825" i="51"/>
  <c r="F828" i="51" s="1"/>
  <c r="E42" i="34" s="1"/>
  <c r="F905" i="51"/>
  <c r="F909" i="51"/>
  <c r="F1090" i="51"/>
  <c r="F1100" i="51" s="1"/>
  <c r="F1146" i="51"/>
  <c r="E52" i="34" s="1"/>
  <c r="F1131" i="51"/>
  <c r="E53" i="34" s="1"/>
  <c r="F2536" i="44"/>
  <c r="F2531" i="44"/>
  <c r="F2525" i="44"/>
  <c r="E1918" i="44"/>
  <c r="E1913" i="44"/>
  <c r="E1907" i="44"/>
  <c r="E1931" i="44"/>
  <c r="F1907" i="44"/>
  <c r="F1913" i="44"/>
  <c r="F1918" i="44"/>
  <c r="E1437" i="44"/>
  <c r="E1432" i="44"/>
  <c r="E1426" i="44"/>
  <c r="E1443" i="44"/>
  <c r="D1437" i="44"/>
  <c r="D1432" i="44"/>
  <c r="D1426" i="44"/>
  <c r="F1358" i="44"/>
  <c r="F1213" i="44"/>
  <c r="F1208" i="44"/>
  <c r="F1202" i="44"/>
  <c r="F1216" i="44"/>
  <c r="F21" i="44"/>
  <c r="F51" i="44"/>
  <c r="F46" i="44"/>
  <c r="F40" i="44"/>
  <c r="F85" i="44"/>
  <c r="F113" i="44"/>
  <c r="F108" i="44"/>
  <c r="F102" i="44"/>
  <c r="F155" i="44"/>
  <c r="F161" i="44"/>
  <c r="F166" i="44"/>
  <c r="F194" i="44"/>
  <c r="F199" i="44"/>
  <c r="F258" i="44"/>
  <c r="F253" i="44"/>
  <c r="F247" i="44"/>
  <c r="F261" i="44"/>
  <c r="F312" i="44"/>
  <c r="F307" i="44"/>
  <c r="F301" i="44"/>
  <c r="F328" i="44"/>
  <c r="F334" i="44"/>
  <c r="F340" i="44"/>
  <c r="F382" i="44"/>
  <c r="F377" i="44"/>
  <c r="F371" i="44"/>
  <c r="C21" i="41"/>
  <c r="F443" i="44"/>
  <c r="F438" i="44"/>
  <c r="F432" i="44"/>
  <c r="F446" i="44"/>
  <c r="F469" i="44"/>
  <c r="F464" i="44"/>
  <c r="F458" i="44"/>
  <c r="F473" i="44"/>
  <c r="F496" i="44"/>
  <c r="F491" i="44"/>
  <c r="F485" i="44"/>
  <c r="F500" i="44"/>
  <c r="F513" i="44"/>
  <c r="F519" i="44"/>
  <c r="F524" i="44"/>
  <c r="F528" i="44"/>
  <c r="F605" i="44"/>
  <c r="F600" i="44"/>
  <c r="F594" i="44"/>
  <c r="F633" i="44"/>
  <c r="F628" i="44"/>
  <c r="F622" i="44"/>
  <c r="F667" i="44"/>
  <c r="F662" i="44"/>
  <c r="F656" i="44"/>
  <c r="F694" i="44"/>
  <c r="F689" i="44"/>
  <c r="F683" i="44"/>
  <c r="F724" i="44"/>
  <c r="F719" i="44"/>
  <c r="F713" i="44"/>
  <c r="F752" i="44"/>
  <c r="F753" i="44" s="1"/>
  <c r="D656" i="9" s="1"/>
  <c r="F782" i="44"/>
  <c r="F777" i="44"/>
  <c r="F771" i="44"/>
  <c r="F812" i="44"/>
  <c r="F807" i="44"/>
  <c r="F801" i="44"/>
  <c r="C36" i="41"/>
  <c r="F870" i="44"/>
  <c r="F864" i="44"/>
  <c r="F858" i="44"/>
  <c r="F956" i="44"/>
  <c r="F950" i="44"/>
  <c r="F944" i="44"/>
  <c r="F983" i="44"/>
  <c r="F978" i="44"/>
  <c r="F972" i="44"/>
  <c r="F1012" i="44"/>
  <c r="F1007" i="44"/>
  <c r="F1001" i="44"/>
  <c r="F1041" i="44"/>
  <c r="F1036" i="44"/>
  <c r="F1030" i="44"/>
  <c r="F1067" i="44"/>
  <c r="F1062" i="44"/>
  <c r="C50" i="41"/>
  <c r="F1127" i="44"/>
  <c r="F1128" i="44" s="1"/>
  <c r="F1154" i="44"/>
  <c r="F1149" i="44"/>
  <c r="F1143" i="44"/>
  <c r="F1186" i="44"/>
  <c r="F1181" i="44"/>
  <c r="F1175" i="44"/>
  <c r="F1297" i="44"/>
  <c r="F1332" i="44"/>
  <c r="F1321" i="44"/>
  <c r="F1322" i="44"/>
  <c r="F1323" i="44"/>
  <c r="F1324" i="44"/>
  <c r="F1314" i="44"/>
  <c r="F1315" i="44"/>
  <c r="F1316" i="44"/>
  <c r="F1318" i="44"/>
  <c r="F1319" i="44"/>
  <c r="F1307" i="44"/>
  <c r="F1308" i="44"/>
  <c r="F1309" i="44"/>
  <c r="F1310" i="44"/>
  <c r="F1311" i="44"/>
  <c r="F1312" i="44"/>
  <c r="F1410" i="44"/>
  <c r="F1405" i="44"/>
  <c r="F1399" i="44"/>
  <c r="F1437" i="44"/>
  <c r="F1432" i="44"/>
  <c r="F1426" i="44"/>
  <c r="F1517" i="44"/>
  <c r="F1512" i="44"/>
  <c r="F1506" i="44"/>
  <c r="F1546" i="44"/>
  <c r="F1541" i="44"/>
  <c r="F1535" i="44"/>
  <c r="F1549" i="44"/>
  <c r="F1600" i="44"/>
  <c r="F1595" i="44"/>
  <c r="F1589" i="44"/>
  <c r="C73" i="41"/>
  <c r="F1661" i="44"/>
  <c r="F1655" i="44"/>
  <c r="F1649" i="44"/>
  <c r="F1688" i="44"/>
  <c r="F1683" i="44"/>
  <c r="F1677" i="44"/>
  <c r="F1716" i="44"/>
  <c r="F1711" i="44"/>
  <c r="F1745" i="44"/>
  <c r="F1768" i="44"/>
  <c r="F1773" i="44"/>
  <c r="F1777" i="44"/>
  <c r="F1800" i="44"/>
  <c r="F1795" i="44"/>
  <c r="F1789" i="44"/>
  <c r="F1829" i="44"/>
  <c r="F1824" i="44"/>
  <c r="F1818" i="44"/>
  <c r="F1858" i="44"/>
  <c r="F1853" i="44"/>
  <c r="F1847" i="44"/>
  <c r="F1883" i="44"/>
  <c r="F1878" i="44"/>
  <c r="F1872" i="44"/>
  <c r="F1943" i="44"/>
  <c r="F1949" i="44"/>
  <c r="F1954" i="44"/>
  <c r="F2036" i="44"/>
  <c r="F2031" i="44"/>
  <c r="F2025" i="44"/>
  <c r="F2040" i="44"/>
  <c r="F1981" i="44"/>
  <c r="F1976" i="44"/>
  <c r="F1970" i="44"/>
  <c r="F1984" i="44"/>
  <c r="F2008" i="44"/>
  <c r="F2002" i="44"/>
  <c r="F1996" i="44"/>
  <c r="F2114" i="44"/>
  <c r="F2109" i="44"/>
  <c r="F2103" i="44"/>
  <c r="F2221" i="44"/>
  <c r="F2216" i="44"/>
  <c r="F2210" i="44"/>
  <c r="F2225" i="44"/>
  <c r="F2248" i="44"/>
  <c r="F2243" i="44"/>
  <c r="F2237" i="44"/>
  <c r="F2252" i="44"/>
  <c r="C95" i="41"/>
  <c r="F2139" i="44"/>
  <c r="F2145" i="44"/>
  <c r="F2149" i="44"/>
  <c r="F2154" i="44"/>
  <c r="F2158" i="44"/>
  <c r="F2160" i="44"/>
  <c r="F2172" i="44"/>
  <c r="F2275" i="44"/>
  <c r="F2270" i="44"/>
  <c r="F2264" i="44"/>
  <c r="F2278" i="44"/>
  <c r="F2300" i="44"/>
  <c r="F2294" i="44"/>
  <c r="F2287" i="44"/>
  <c r="F2560" i="44"/>
  <c r="F2555" i="44"/>
  <c r="F2549" i="44"/>
  <c r="F2593" i="44"/>
  <c r="F2588" i="44"/>
  <c r="F2582" i="44"/>
  <c r="F2598" i="44"/>
  <c r="F2678" i="44"/>
  <c r="D2396" i="9" s="1"/>
  <c r="F29" i="44"/>
  <c r="F59" i="44"/>
  <c r="F90" i="44"/>
  <c r="F117" i="44"/>
  <c r="F144" i="44"/>
  <c r="F177" i="44"/>
  <c r="F209" i="44"/>
  <c r="F288" i="44"/>
  <c r="F316" i="44"/>
  <c r="F386" i="44"/>
  <c r="F555" i="44"/>
  <c r="F582" i="44"/>
  <c r="F611" i="44"/>
  <c r="F637" i="44"/>
  <c r="F641" i="44"/>
  <c r="F644" i="44"/>
  <c r="D554" i="9" s="1"/>
  <c r="F671" i="44"/>
  <c r="F701" i="44"/>
  <c r="F729" i="44"/>
  <c r="F759" i="44"/>
  <c r="F789" i="44"/>
  <c r="F818" i="44"/>
  <c r="F847" i="44"/>
  <c r="F880" i="44"/>
  <c r="F960" i="44"/>
  <c r="F989" i="44"/>
  <c r="F1018" i="44"/>
  <c r="F1045" i="44"/>
  <c r="F1076" i="44"/>
  <c r="F1131" i="44"/>
  <c r="F1162" i="44"/>
  <c r="F1190" i="44"/>
  <c r="F1243" i="44"/>
  <c r="F1270" i="44"/>
  <c r="F1302" i="44"/>
  <c r="F1361" i="44"/>
  <c r="F1416" i="44"/>
  <c r="F1523" i="44"/>
  <c r="F1576" i="44"/>
  <c r="F1607" i="44"/>
  <c r="F1665" i="44"/>
  <c r="F1693" i="44"/>
  <c r="D75" i="41" s="1"/>
  <c r="F1719" i="44"/>
  <c r="D76" i="41" s="1"/>
  <c r="F1750" i="44"/>
  <c r="F1806" i="44"/>
  <c r="F1835" i="44"/>
  <c r="D82" i="41" s="1"/>
  <c r="F1862" i="44"/>
  <c r="F1896" i="44"/>
  <c r="F1931" i="44"/>
  <c r="D85" i="41" s="1"/>
  <c r="F1958" i="44"/>
  <c r="D86" i="41" s="1"/>
  <c r="F2013" i="44"/>
  <c r="F2127" i="44"/>
  <c r="D92" i="41" s="1"/>
  <c r="F2316" i="44"/>
  <c r="F2540" i="44"/>
  <c r="F2570" i="44"/>
  <c r="D107" i="41" s="1"/>
  <c r="F2627" i="44"/>
  <c r="F2654" i="44"/>
  <c r="F2683" i="44"/>
  <c r="D111" i="41" s="1"/>
  <c r="F76" i="65"/>
  <c r="F77" i="65"/>
  <c r="F79" i="65"/>
  <c r="D77" i="65"/>
  <c r="D76" i="65"/>
  <c r="E1067" i="44"/>
  <c r="E1068" i="44" s="1"/>
  <c r="E1071" i="44" s="1"/>
  <c r="E1076" i="44"/>
  <c r="D1071" i="44"/>
  <c r="E2221" i="44"/>
  <c r="E2216" i="44"/>
  <c r="E2210" i="44"/>
  <c r="D2221" i="44"/>
  <c r="D2216" i="44"/>
  <c r="D2210" i="44"/>
  <c r="D1041" i="44"/>
  <c r="D1036" i="44"/>
  <c r="D1030" i="44"/>
  <c r="D1045" i="44"/>
  <c r="C919" i="9" s="1"/>
  <c r="D694" i="44"/>
  <c r="D689" i="44"/>
  <c r="D683" i="44"/>
  <c r="D701" i="44"/>
  <c r="F415" i="44"/>
  <c r="D359" i="44"/>
  <c r="D194" i="44"/>
  <c r="D199" i="44"/>
  <c r="D1350" i="51"/>
  <c r="D1562" i="51"/>
  <c r="D1572" i="51"/>
  <c r="D1575" i="51"/>
  <c r="D1643" i="51"/>
  <c r="D1617" i="51"/>
  <c r="D1621" i="51" s="1"/>
  <c r="C80" i="34" s="1"/>
  <c r="D1835" i="51"/>
  <c r="D1844" i="51" s="1"/>
  <c r="C92" i="34"/>
  <c r="C93" i="34"/>
  <c r="E68" i="66"/>
  <c r="E74" i="65" s="1"/>
  <c r="D79" i="65"/>
  <c r="C7" i="47" s="1"/>
  <c r="D103" i="66"/>
  <c r="D75" i="65" s="1"/>
  <c r="E103" i="66"/>
  <c r="E75" i="65" s="1"/>
  <c r="F75" i="65"/>
  <c r="E5" i="43"/>
  <c r="E19" i="43"/>
  <c r="E22" i="43"/>
  <c r="E25" i="43"/>
  <c r="E24" i="43" s="1"/>
  <c r="E35" i="43"/>
  <c r="E40" i="43"/>
  <c r="E42" i="43"/>
  <c r="E45" i="43"/>
  <c r="E44" i="43" s="1"/>
  <c r="E46" i="43"/>
  <c r="E48" i="43"/>
  <c r="E61" i="43"/>
  <c r="E67" i="43"/>
  <c r="E71" i="43"/>
  <c r="E82" i="43"/>
  <c r="E80" i="43" s="1"/>
  <c r="E83" i="43"/>
  <c r="E87" i="43"/>
  <c r="E91" i="43"/>
  <c r="E95" i="43"/>
  <c r="E93" i="43" s="1"/>
  <c r="E96" i="43"/>
  <c r="E107" i="43"/>
  <c r="E110" i="43"/>
  <c r="E113" i="43"/>
  <c r="E115" i="43"/>
  <c r="E118" i="43"/>
  <c r="E132" i="43"/>
  <c r="E135" i="43"/>
  <c r="E140" i="43"/>
  <c r="E146" i="43"/>
  <c r="E145" i="43" s="1"/>
  <c r="E147" i="43"/>
  <c r="E149" i="43"/>
  <c r="E186" i="43"/>
  <c r="E188" i="43"/>
  <c r="E191" i="43"/>
  <c r="E193" i="43"/>
  <c r="E233" i="43"/>
  <c r="E209" i="43"/>
  <c r="E212" i="43"/>
  <c r="E214" i="43"/>
  <c r="E217" i="43"/>
  <c r="E255" i="43"/>
  <c r="E258" i="43"/>
  <c r="E260" i="43"/>
  <c r="E263" i="43"/>
  <c r="E265" i="43"/>
  <c r="E267" i="43"/>
  <c r="E275" i="43"/>
  <c r="E278" i="43"/>
  <c r="E280" i="43"/>
  <c r="E284" i="43"/>
  <c r="E283" i="43" s="1"/>
  <c r="E285" i="43"/>
  <c r="E287" i="43"/>
  <c r="E289" i="43"/>
  <c r="E368" i="43"/>
  <c r="E370" i="43"/>
  <c r="E373" i="43"/>
  <c r="E384" i="43"/>
  <c r="E387" i="43"/>
  <c r="E386" i="43" s="1"/>
  <c r="E388" i="43"/>
  <c r="E393" i="43"/>
  <c r="E391" i="43" s="1"/>
  <c r="E396" i="43"/>
  <c r="E413" i="43"/>
  <c r="E415" i="43"/>
  <c r="E425" i="43"/>
  <c r="E428" i="43"/>
  <c r="E435" i="43"/>
  <c r="E446" i="43"/>
  <c r="E448" i="43"/>
  <c r="E451" i="43"/>
  <c r="E453" i="43"/>
  <c r="E455" i="43"/>
  <c r="E458" i="43"/>
  <c r="E471" i="43"/>
  <c r="E473" i="43"/>
  <c r="E476" i="43"/>
  <c r="E508" i="43"/>
  <c r="E510" i="43"/>
  <c r="E513" i="43"/>
  <c r="E515" i="43"/>
  <c r="E518" i="43"/>
  <c r="E520" i="43"/>
  <c r="E488" i="43"/>
  <c r="E490" i="43"/>
  <c r="E493" i="43"/>
  <c r="E496" i="43"/>
  <c r="E529" i="43"/>
  <c r="E532" i="43"/>
  <c r="E537" i="43"/>
  <c r="E536" i="43" s="1"/>
  <c r="E540" i="43"/>
  <c r="E542" i="43"/>
  <c r="E544" i="43"/>
  <c r="E546" i="43"/>
  <c r="E554" i="43"/>
  <c r="E557" i="43"/>
  <c r="E560" i="43"/>
  <c r="E564" i="43"/>
  <c r="E567" i="43"/>
  <c r="E580" i="43"/>
  <c r="E583" i="43"/>
  <c r="E586" i="43"/>
  <c r="E588" i="43"/>
  <c r="E591" i="43"/>
  <c r="E602" i="43"/>
  <c r="E606" i="43"/>
  <c r="E608" i="43"/>
  <c r="E611" i="43"/>
  <c r="E622" i="43"/>
  <c r="E631" i="43"/>
  <c r="E634" i="43"/>
  <c r="E636" i="43"/>
  <c r="E639" i="43"/>
  <c r="E642" i="43"/>
  <c r="E644" i="43"/>
  <c r="E654" i="43"/>
  <c r="E656" i="43"/>
  <c r="E658" i="43"/>
  <c r="E661" i="43"/>
  <c r="E665" i="43"/>
  <c r="E667" i="43"/>
  <c r="E678" i="43"/>
  <c r="E681" i="43"/>
  <c r="E684" i="43"/>
  <c r="E688" i="43"/>
  <c r="E700" i="43"/>
  <c r="E704" i="43"/>
  <c r="E706" i="43"/>
  <c r="E723" i="43"/>
  <c r="E725" i="43"/>
  <c r="E727" i="43"/>
  <c r="E731" i="43"/>
  <c r="E730" i="43" s="1"/>
  <c r="E744" i="43"/>
  <c r="E748" i="43"/>
  <c r="E751" i="43"/>
  <c r="E750" i="43" s="1"/>
  <c r="E754" i="43"/>
  <c r="E757" i="43"/>
  <c r="E756" i="43" s="1"/>
  <c r="E760" i="43"/>
  <c r="E758" i="43" s="1"/>
  <c r="E761" i="43"/>
  <c r="E40" i="41"/>
  <c r="E41" i="41"/>
  <c r="E775" i="43"/>
  <c r="E782" i="43"/>
  <c r="E801" i="43"/>
  <c r="E808" i="43"/>
  <c r="E810" i="43"/>
  <c r="E821" i="43"/>
  <c r="E819" i="43" s="1"/>
  <c r="E825" i="43"/>
  <c r="E824" i="43" s="1"/>
  <c r="E827" i="43"/>
  <c r="E833" i="43"/>
  <c r="E841" i="43"/>
  <c r="E889" i="43"/>
  <c r="E938" i="43"/>
  <c r="E942" i="43"/>
  <c r="E945" i="43"/>
  <c r="E951" i="43"/>
  <c r="E953" i="43"/>
  <c r="E958" i="43"/>
  <c r="E50" i="41"/>
  <c r="E967" i="43"/>
  <c r="E970" i="43"/>
  <c r="E972" i="43"/>
  <c r="E974" i="43"/>
  <c r="E977" i="43"/>
  <c r="E986" i="43"/>
  <c r="E989" i="43"/>
  <c r="E991" i="43"/>
  <c r="E994" i="43"/>
  <c r="E1021" i="43"/>
  <c r="E1023" i="43"/>
  <c r="E1026" i="43"/>
  <c r="E1029" i="43"/>
  <c r="E1028" i="43" s="1"/>
  <c r="E1030" i="43"/>
  <c r="E1039" i="43"/>
  <c r="E1042" i="43"/>
  <c r="E1045" i="43"/>
  <c r="E1047" i="43"/>
  <c r="E1050" i="43"/>
  <c r="E1067" i="43"/>
  <c r="E1069" i="43"/>
  <c r="E1072" i="43"/>
  <c r="E1074" i="43"/>
  <c r="E1077" i="43"/>
  <c r="E1080" i="43"/>
  <c r="E1090" i="43"/>
  <c r="E1093" i="43"/>
  <c r="E1096" i="43"/>
  <c r="E1100" i="43"/>
  <c r="E1110" i="43"/>
  <c r="E1113" i="43"/>
  <c r="E1121" i="43"/>
  <c r="E1125" i="43"/>
  <c r="E1129" i="43"/>
  <c r="E1135" i="43"/>
  <c r="E1139" i="43"/>
  <c r="E1141" i="43"/>
  <c r="E1144" i="43"/>
  <c r="E1147" i="43"/>
  <c r="E1149" i="43"/>
  <c r="E1168" i="43"/>
  <c r="E1170" i="43"/>
  <c r="E1173" i="43"/>
  <c r="E1175" i="43"/>
  <c r="E1178" i="43"/>
  <c r="E1180" i="43"/>
  <c r="E1190" i="43"/>
  <c r="E1192" i="43"/>
  <c r="E1196" i="43"/>
  <c r="E1201" i="43"/>
  <c r="E1203" i="43"/>
  <c r="E1214" i="43"/>
  <c r="E1216" i="43"/>
  <c r="E1218" i="43"/>
  <c r="E1221" i="43"/>
  <c r="E1226" i="43"/>
  <c r="E1228" i="43"/>
  <c r="E1244" i="43"/>
  <c r="E1242" i="43" s="1"/>
  <c r="E1246" i="43"/>
  <c r="E1251" i="43"/>
  <c r="E1253" i="43"/>
  <c r="E1275" i="43"/>
  <c r="E1277" i="43"/>
  <c r="E1284" i="43"/>
  <c r="E1286" i="43"/>
  <c r="E1288" i="43"/>
  <c r="E65" i="41"/>
  <c r="E1300" i="43"/>
  <c r="E1302" i="43"/>
  <c r="E1305" i="43"/>
  <c r="E1310" i="43"/>
  <c r="E1312" i="43"/>
  <c r="E1342" i="43"/>
  <c r="E1344" i="43"/>
  <c r="E1347" i="43"/>
  <c r="E1350" i="43"/>
  <c r="E1322" i="43"/>
  <c r="E1324" i="43"/>
  <c r="E1327" i="43"/>
  <c r="E1329" i="43"/>
  <c r="E1333" i="43"/>
  <c r="E1362" i="43"/>
  <c r="E1365" i="43"/>
  <c r="E1368" i="43"/>
  <c r="E1372" i="43"/>
  <c r="E1375" i="43"/>
  <c r="E1378" i="43"/>
  <c r="E1386" i="43"/>
  <c r="E1389" i="43"/>
  <c r="E1392" i="43"/>
  <c r="E1396" i="43"/>
  <c r="E1406" i="43"/>
  <c r="E1414" i="43"/>
  <c r="E1417" i="43"/>
  <c r="E1419" i="43"/>
  <c r="E1424" i="43"/>
  <c r="E1428" i="43"/>
  <c r="E1431" i="43"/>
  <c r="E1434" i="43"/>
  <c r="E1450" i="43"/>
  <c r="E1452" i="43"/>
  <c r="E1455" i="43"/>
  <c r="E1459" i="43"/>
  <c r="E1462" i="43"/>
  <c r="E1465" i="43"/>
  <c r="E1478" i="43"/>
  <c r="E1480" i="43"/>
  <c r="E1482" i="43"/>
  <c r="E1484" i="43"/>
  <c r="E1499" i="43"/>
  <c r="E1501" i="43"/>
  <c r="E1507" i="43"/>
  <c r="E1509" i="43"/>
  <c r="E1524" i="43"/>
  <c r="E1523" i="43" s="1"/>
  <c r="E1534" i="43"/>
  <c r="E1537" i="43"/>
  <c r="E1539" i="43"/>
  <c r="E1542" i="43"/>
  <c r="E1555" i="43"/>
  <c r="E1557" i="43"/>
  <c r="E1559" i="43"/>
  <c r="E1564" i="43"/>
  <c r="E1563" i="43" s="1"/>
  <c r="E1565" i="43"/>
  <c r="E1569" i="43"/>
  <c r="E1579" i="43"/>
  <c r="E1582" i="43"/>
  <c r="E1584" i="43"/>
  <c r="E1589" i="43"/>
  <c r="E1588" i="43" s="1"/>
  <c r="E1604" i="43"/>
  <c r="E1607" i="43"/>
  <c r="E1611" i="43"/>
  <c r="E1627" i="43"/>
  <c r="E1630" i="43"/>
  <c r="E1650" i="43"/>
  <c r="E1647" i="43" s="1"/>
  <c r="E1653" i="43"/>
  <c r="E1654" i="43"/>
  <c r="E1655" i="43"/>
  <c r="E1656" i="43"/>
  <c r="E1677" i="43"/>
  <c r="E1663" i="43"/>
  <c r="E1662" i="43" s="1"/>
  <c r="E1664" i="43"/>
  <c r="E1671" i="43"/>
  <c r="E1674" i="43"/>
  <c r="E1763" i="43"/>
  <c r="E1820" i="43"/>
  <c r="E1819" i="43"/>
  <c r="E1822" i="43"/>
  <c r="E1823" i="43"/>
  <c r="E1825" i="43"/>
  <c r="E1826" i="43"/>
  <c r="E1687" i="43"/>
  <c r="E1689" i="43"/>
  <c r="E1697" i="43"/>
  <c r="E1699" i="43"/>
  <c r="E1730" i="43"/>
  <c r="E1733" i="43"/>
  <c r="E1736" i="43"/>
  <c r="E1739" i="43"/>
  <c r="E1783" i="43"/>
  <c r="E1798" i="43"/>
  <c r="E1800" i="43"/>
  <c r="E1709" i="43"/>
  <c r="E1711" i="43"/>
  <c r="E1713" i="43"/>
  <c r="E1716" i="43"/>
  <c r="E1719" i="43"/>
  <c r="E1838" i="43"/>
  <c r="E1842" i="43"/>
  <c r="E1845" i="43"/>
  <c r="E1848" i="43"/>
  <c r="E1962" i="43"/>
  <c r="E1964" i="43"/>
  <c r="E1971" i="43"/>
  <c r="E1924" i="43"/>
  <c r="E1926" i="43"/>
  <c r="E1932" i="43"/>
  <c r="E1934" i="43"/>
  <c r="E95" i="41"/>
  <c r="E1893" i="43"/>
  <c r="E1905" i="43"/>
  <c r="E1881" i="43"/>
  <c r="E1879" i="43"/>
  <c r="E1877" i="43"/>
  <c r="E1867" i="43"/>
  <c r="E1864" i="43"/>
  <c r="E1861" i="43"/>
  <c r="E1983" i="43"/>
  <c r="E1987" i="43"/>
  <c r="E1991" i="43"/>
  <c r="E1989" i="43" s="1"/>
  <c r="E1993" i="43"/>
  <c r="E1995" i="43"/>
  <c r="E2072" i="43"/>
  <c r="E2074" i="43"/>
  <c r="E2077" i="43"/>
  <c r="E2133" i="43"/>
  <c r="E2140" i="43"/>
  <c r="E2144" i="43"/>
  <c r="E2159" i="43"/>
  <c r="E2033" i="43"/>
  <c r="E2035" i="43"/>
  <c r="E2017" i="43"/>
  <c r="E2011" i="43"/>
  <c r="E2099" i="43"/>
  <c r="E2197" i="43"/>
  <c r="E2201" i="43"/>
  <c r="E2203" i="43"/>
  <c r="E2206" i="43"/>
  <c r="E2211" i="43"/>
  <c r="E2210" i="43" s="1"/>
  <c r="E2214" i="43"/>
  <c r="E2212" i="43" s="1"/>
  <c r="E2228" i="43"/>
  <c r="E2231" i="43"/>
  <c r="E2233" i="43"/>
  <c r="E2235" i="43"/>
  <c r="E2239" i="43"/>
  <c r="E2238" i="43" s="1"/>
  <c r="E2240" i="43"/>
  <c r="E2242" i="43"/>
  <c r="E2252" i="43"/>
  <c r="E2255" i="43"/>
  <c r="E2257" i="43"/>
  <c r="E2260" i="43"/>
  <c r="E2275" i="43"/>
  <c r="E2277" i="43"/>
  <c r="E2281" i="43"/>
  <c r="E2280" i="43" s="1"/>
  <c r="E2283" i="43"/>
  <c r="E2293" i="43"/>
  <c r="E2296" i="43"/>
  <c r="E2298" i="43"/>
  <c r="E2300" i="43"/>
  <c r="E2304" i="43"/>
  <c r="E2306" i="43"/>
  <c r="E2317" i="43"/>
  <c r="E2320" i="43"/>
  <c r="E2322" i="43"/>
  <c r="E2325" i="43"/>
  <c r="E2328" i="43"/>
  <c r="F153" i="66"/>
  <c r="E14" i="18" s="1"/>
  <c r="F5" i="65"/>
  <c r="F707" i="66"/>
  <c r="F6" i="65" s="1"/>
  <c r="F477" i="66"/>
  <c r="F7" i="65" s="1"/>
  <c r="F785" i="66"/>
  <c r="F8" i="65" s="1"/>
  <c r="F9" i="65"/>
  <c r="F375" i="66"/>
  <c r="F10" i="65" s="1"/>
  <c r="F381" i="66"/>
  <c r="F11" i="65" s="1"/>
  <c r="F387" i="66"/>
  <c r="F12" i="65" s="1"/>
  <c r="F393" i="66"/>
  <c r="F13" i="65" s="1"/>
  <c r="F406" i="66"/>
  <c r="F14" i="65" s="1"/>
  <c r="F415" i="66"/>
  <c r="F15" i="65" s="1"/>
  <c r="F420" i="66"/>
  <c r="F16" i="65" s="1"/>
  <c r="F17" i="65"/>
  <c r="F18" i="65"/>
  <c r="F367" i="66"/>
  <c r="F19" i="65" s="1"/>
  <c r="F694" i="66"/>
  <c r="F20" i="65" s="1"/>
  <c r="F730" i="66"/>
  <c r="F21" i="65" s="1"/>
  <c r="F185" i="66"/>
  <c r="F212" i="66"/>
  <c r="F23" i="65" s="1"/>
  <c r="F191" i="66"/>
  <c r="F199" i="66"/>
  <c r="F25" i="65" s="1"/>
  <c r="F162" i="66"/>
  <c r="F26" i="65" s="1"/>
  <c r="F488" i="66"/>
  <c r="F27" i="65" s="1"/>
  <c r="F506" i="66"/>
  <c r="F29" i="65" s="1"/>
  <c r="F796" i="66"/>
  <c r="F30" i="65" s="1"/>
  <c r="F737" i="66"/>
  <c r="F31" i="65" s="1"/>
  <c r="F778" i="66"/>
  <c r="F791" i="66"/>
  <c r="F33" i="65" s="1"/>
  <c r="F334" i="66"/>
  <c r="F34" i="65" s="1"/>
  <c r="F726" i="66"/>
  <c r="F36" i="65" s="1"/>
  <c r="F804" i="66"/>
  <c r="F37" i="65" s="1"/>
  <c r="F500" i="66"/>
  <c r="F38" i="65" s="1"/>
  <c r="F351" i="66"/>
  <c r="F39" i="65" s="1"/>
  <c r="F442" i="66"/>
  <c r="F40" i="65" s="1"/>
  <c r="F457" i="66"/>
  <c r="F41" i="65" s="1"/>
  <c r="F831" i="66"/>
  <c r="F42" i="65" s="1"/>
  <c r="F700" i="66"/>
  <c r="F45" i="65" s="1"/>
  <c r="F846" i="66"/>
  <c r="F46" i="65" s="1"/>
  <c r="F464" i="66"/>
  <c r="F47" i="65" s="1"/>
  <c r="F471" i="66"/>
  <c r="F48" i="65" s="1"/>
  <c r="F669" i="66"/>
  <c r="F49" i="65" s="1"/>
  <c r="F50" i="65"/>
  <c r="F686" i="66"/>
  <c r="F51" i="65" s="1"/>
  <c r="F520" i="66"/>
  <c r="F52" i="65" s="1"/>
  <c r="F715" i="66"/>
  <c r="F53" i="65" s="1"/>
  <c r="F562" i="66"/>
  <c r="F55" i="65" s="1"/>
  <c r="F585" i="66"/>
  <c r="F56" i="65" s="1"/>
  <c r="F655" i="66"/>
  <c r="F57" i="65" s="1"/>
  <c r="F544" i="66"/>
  <c r="F58" i="65" s="1"/>
  <c r="F742" i="66"/>
  <c r="F59" i="65" s="1"/>
  <c r="F747" i="66"/>
  <c r="F60" i="65" s="1"/>
  <c r="F662" i="66"/>
  <c r="F61" i="65" s="1"/>
  <c r="F241" i="66"/>
  <c r="F62" i="65" s="1"/>
  <c r="F271" i="66"/>
  <c r="F64" i="65" s="1"/>
  <c r="F292" i="66"/>
  <c r="F65" i="65" s="1"/>
  <c r="F312" i="66"/>
  <c r="F66" i="65" s="1"/>
  <c r="F324" i="66"/>
  <c r="F67" i="65" s="1"/>
  <c r="F319" i="66"/>
  <c r="F817" i="66"/>
  <c r="F69" i="65" s="1"/>
  <c r="F838" i="66"/>
  <c r="F70" i="65" s="1"/>
  <c r="F111" i="66"/>
  <c r="F120" i="66"/>
  <c r="F78" i="65" s="1"/>
  <c r="D817" i="66"/>
  <c r="D69" i="65" s="1"/>
  <c r="D715" i="66"/>
  <c r="D53" i="65" s="1"/>
  <c r="E41" i="18"/>
  <c r="E40" i="18"/>
  <c r="F40" i="18" s="1"/>
  <c r="C41" i="18"/>
  <c r="C40" i="18"/>
  <c r="D10" i="47"/>
  <c r="D11" i="47"/>
  <c r="D12" i="47"/>
  <c r="D13" i="47"/>
  <c r="D14" i="47"/>
  <c r="D26" i="47"/>
  <c r="D27" i="47"/>
  <c r="D68" i="66"/>
  <c r="D74" i="65" s="1"/>
  <c r="D111" i="66"/>
  <c r="D120" i="66"/>
  <c r="D78" i="65" s="1"/>
  <c r="D14" i="66"/>
  <c r="D30" i="66"/>
  <c r="D153" i="66"/>
  <c r="D4" i="65" s="1"/>
  <c r="D361" i="66"/>
  <c r="D5" i="65" s="1"/>
  <c r="D707" i="66"/>
  <c r="D6" i="65" s="1"/>
  <c r="D477" i="66"/>
  <c r="D7" i="65" s="1"/>
  <c r="D785" i="66"/>
  <c r="D8" i="65" s="1"/>
  <c r="D825" i="66"/>
  <c r="D9" i="65" s="1"/>
  <c r="D375" i="66"/>
  <c r="D10" i="65" s="1"/>
  <c r="D381" i="66"/>
  <c r="D11" i="65" s="1"/>
  <c r="D387" i="66"/>
  <c r="D12" i="65" s="1"/>
  <c r="D393" i="66"/>
  <c r="D13" i="65" s="1"/>
  <c r="D406" i="66"/>
  <c r="D14" i="65" s="1"/>
  <c r="D415" i="66"/>
  <c r="D15" i="65" s="1"/>
  <c r="D420" i="66"/>
  <c r="D16" i="65" s="1"/>
  <c r="D17" i="65"/>
  <c r="D18" i="65"/>
  <c r="D367" i="66"/>
  <c r="D19" i="65" s="1"/>
  <c r="D694" i="66"/>
  <c r="D20" i="65" s="1"/>
  <c r="D730" i="66"/>
  <c r="D21" i="65" s="1"/>
  <c r="D185" i="66"/>
  <c r="D212" i="66"/>
  <c r="D23" i="65" s="1"/>
  <c r="D191" i="66"/>
  <c r="D24" i="65" s="1"/>
  <c r="D199" i="66"/>
  <c r="D162" i="66"/>
  <c r="D26" i="65" s="1"/>
  <c r="D27" i="65"/>
  <c r="D506" i="66"/>
  <c r="D29" i="65" s="1"/>
  <c r="D796" i="66"/>
  <c r="D30" i="65" s="1"/>
  <c r="D737" i="66"/>
  <c r="D31" i="65" s="1"/>
  <c r="D778" i="66"/>
  <c r="D32" i="65" s="1"/>
  <c r="D791" i="66"/>
  <c r="D33" i="65" s="1"/>
  <c r="D334" i="66"/>
  <c r="D34" i="65" s="1"/>
  <c r="D340" i="66"/>
  <c r="D35" i="65" s="1"/>
  <c r="D726" i="66"/>
  <c r="D36" i="65" s="1"/>
  <c r="D804" i="66"/>
  <c r="D37" i="65" s="1"/>
  <c r="D500" i="66"/>
  <c r="D38" i="65" s="1"/>
  <c r="D351" i="66"/>
  <c r="D39" i="65" s="1"/>
  <c r="D442" i="66"/>
  <c r="D40" i="65" s="1"/>
  <c r="D457" i="66"/>
  <c r="D41" i="65" s="1"/>
  <c r="D831" i="66"/>
  <c r="D42" i="65" s="1"/>
  <c r="D700" i="66"/>
  <c r="D45" i="65" s="1"/>
  <c r="D846" i="66"/>
  <c r="D46" i="65" s="1"/>
  <c r="D464" i="66"/>
  <c r="D47" i="65" s="1"/>
  <c r="D471" i="66"/>
  <c r="D48" i="65" s="1"/>
  <c r="D669" i="66"/>
  <c r="D49" i="65" s="1"/>
  <c r="D675" i="66"/>
  <c r="D50" i="65" s="1"/>
  <c r="D686" i="66"/>
  <c r="D51" i="65" s="1"/>
  <c r="D520" i="66"/>
  <c r="D52" i="65" s="1"/>
  <c r="D562" i="66"/>
  <c r="D55" i="65" s="1"/>
  <c r="D585" i="66"/>
  <c r="D56" i="65" s="1"/>
  <c r="D655" i="66"/>
  <c r="D57" i="65" s="1"/>
  <c r="D544" i="66"/>
  <c r="D58" i="65" s="1"/>
  <c r="D742" i="66"/>
  <c r="D59" i="65" s="1"/>
  <c r="D747" i="66"/>
  <c r="D60" i="65" s="1"/>
  <c r="D662" i="66"/>
  <c r="D61" i="65" s="1"/>
  <c r="D241" i="66"/>
  <c r="D62" i="65" s="1"/>
  <c r="D271" i="66"/>
  <c r="D64" i="65" s="1"/>
  <c r="D292" i="66"/>
  <c r="D65" i="65" s="1"/>
  <c r="D312" i="66"/>
  <c r="D66" i="65" s="1"/>
  <c r="D324" i="66"/>
  <c r="D67" i="65" s="1"/>
  <c r="D319" i="66"/>
  <c r="D68" i="65" s="1"/>
  <c r="D838" i="66"/>
  <c r="D70" i="65" s="1"/>
  <c r="C12" i="18"/>
  <c r="C17" i="18" s="1"/>
  <c r="C18" i="18" s="1"/>
  <c r="C10" i="15"/>
  <c r="C34" i="18"/>
  <c r="C35" i="18"/>
  <c r="E185" i="66"/>
  <c r="E22" i="65" s="1"/>
  <c r="E191" i="66"/>
  <c r="E199" i="66"/>
  <c r="E25" i="65" s="1"/>
  <c r="E212" i="66"/>
  <c r="E23" i="65" s="1"/>
  <c r="E241" i="66"/>
  <c r="E62" i="65" s="1"/>
  <c r="E271" i="66"/>
  <c r="E64" i="65" s="1"/>
  <c r="E292" i="66"/>
  <c r="E65" i="65" s="1"/>
  <c r="E312" i="66"/>
  <c r="E66" i="65" s="1"/>
  <c r="E319" i="66"/>
  <c r="E68" i="65" s="1"/>
  <c r="E324" i="66"/>
  <c r="E67" i="65" s="1"/>
  <c r="E334" i="66"/>
  <c r="E34" i="65" s="1"/>
  <c r="E340" i="66"/>
  <c r="E35" i="65" s="1"/>
  <c r="E351" i="66"/>
  <c r="E39" i="65" s="1"/>
  <c r="E361" i="66"/>
  <c r="E5" i="65" s="1"/>
  <c r="E367" i="66"/>
  <c r="E19" i="65" s="1"/>
  <c r="E375" i="66"/>
  <c r="E10" i="65" s="1"/>
  <c r="E381" i="66"/>
  <c r="E11" i="65" s="1"/>
  <c r="E387" i="66"/>
  <c r="E12" i="65" s="1"/>
  <c r="E406" i="66"/>
  <c r="E14" i="65" s="1"/>
  <c r="E415" i="66"/>
  <c r="E15" i="65" s="1"/>
  <c r="E420" i="66"/>
  <c r="E16" i="65" s="1"/>
  <c r="E18" i="65"/>
  <c r="E17" i="65"/>
  <c r="E442" i="66"/>
  <c r="E40" i="65" s="1"/>
  <c r="E457" i="66"/>
  <c r="E41" i="65" s="1"/>
  <c r="E464" i="66"/>
  <c r="E47" i="65" s="1"/>
  <c r="E471" i="66"/>
  <c r="E48" i="65" s="1"/>
  <c r="E488" i="66"/>
  <c r="E27" i="65" s="1"/>
  <c r="E500" i="66"/>
  <c r="E38" i="65" s="1"/>
  <c r="E506" i="66"/>
  <c r="E29" i="65" s="1"/>
  <c r="E520" i="66"/>
  <c r="E52" i="65" s="1"/>
  <c r="E544" i="66"/>
  <c r="E58" i="65" s="1"/>
  <c r="E562" i="66"/>
  <c r="E55" i="65" s="1"/>
  <c r="E585" i="66"/>
  <c r="E56" i="65" s="1"/>
  <c r="E655" i="66"/>
  <c r="E57" i="65" s="1"/>
  <c r="E662" i="66"/>
  <c r="E61" i="65" s="1"/>
  <c r="E669" i="66"/>
  <c r="E49" i="65" s="1"/>
  <c r="E675" i="66"/>
  <c r="E50" i="65" s="1"/>
  <c r="E686" i="66"/>
  <c r="E51" i="65" s="1"/>
  <c r="E694" i="66"/>
  <c r="E20" i="65" s="1"/>
  <c r="E700" i="66"/>
  <c r="E45" i="65" s="1"/>
  <c r="E707" i="66"/>
  <c r="E6" i="65" s="1"/>
  <c r="E715" i="66"/>
  <c r="E53" i="65" s="1"/>
  <c r="E726" i="66"/>
  <c r="E36" i="65" s="1"/>
  <c r="E730" i="66"/>
  <c r="E21" i="65" s="1"/>
  <c r="E737" i="66"/>
  <c r="E31" i="65" s="1"/>
  <c r="E742" i="66"/>
  <c r="E59" i="65" s="1"/>
  <c r="E747" i="66"/>
  <c r="E60" i="65" s="1"/>
  <c r="E778" i="66"/>
  <c r="E32" i="65" s="1"/>
  <c r="E785" i="66"/>
  <c r="E8" i="65" s="1"/>
  <c r="E791" i="66"/>
  <c r="E33" i="65" s="1"/>
  <c r="E796" i="66"/>
  <c r="E30" i="65" s="1"/>
  <c r="E804" i="66"/>
  <c r="E37" i="65" s="1"/>
  <c r="E817" i="66"/>
  <c r="E69" i="65" s="1"/>
  <c r="E825" i="66"/>
  <c r="E9" i="65" s="1"/>
  <c r="E831" i="66"/>
  <c r="E42" i="65" s="1"/>
  <c r="E838" i="66"/>
  <c r="E70" i="65" s="1"/>
  <c r="E846" i="66"/>
  <c r="E46" i="65" s="1"/>
  <c r="E162" i="66"/>
  <c r="E26" i="65" s="1"/>
  <c r="E477" i="66"/>
  <c r="E7" i="65" s="1"/>
  <c r="E14" i="66"/>
  <c r="E30" i="66"/>
  <c r="E111" i="66"/>
  <c r="E76" i="65" s="1"/>
  <c r="E153" i="66"/>
  <c r="E4" i="65" s="1"/>
  <c r="C27" i="47"/>
  <c r="C26" i="47"/>
  <c r="D606" i="43"/>
  <c r="C606" i="43"/>
  <c r="D186" i="43"/>
  <c r="D188" i="43"/>
  <c r="D191" i="43"/>
  <c r="D193" i="43"/>
  <c r="D209" i="43"/>
  <c r="D212" i="43"/>
  <c r="D214" i="43"/>
  <c r="D217" i="43"/>
  <c r="D230" i="43"/>
  <c r="D233" i="43"/>
  <c r="D238" i="43"/>
  <c r="D119" i="51"/>
  <c r="D1893" i="51"/>
  <c r="C644" i="43"/>
  <c r="C642" i="43"/>
  <c r="C639" i="43"/>
  <c r="C636" i="43"/>
  <c r="C634" i="43"/>
  <c r="C631" i="43"/>
  <c r="C191" i="43"/>
  <c r="C193" i="43"/>
  <c r="C196" i="43"/>
  <c r="C187" i="43"/>
  <c r="C186" i="43" s="1"/>
  <c r="C1288" i="43"/>
  <c r="C1286" i="43"/>
  <c r="C1254" i="43"/>
  <c r="C1253" i="43" s="1"/>
  <c r="D1246" i="43"/>
  <c r="C1246" i="43"/>
  <c r="C1244" i="43"/>
  <c r="C1242" i="43" s="1"/>
  <c r="C938" i="43"/>
  <c r="C942" i="43"/>
  <c r="C945" i="43"/>
  <c r="C951" i="43"/>
  <c r="C953" i="43"/>
  <c r="C1332" i="43"/>
  <c r="C1329" i="43" s="1"/>
  <c r="D1329" i="43"/>
  <c r="C473" i="43"/>
  <c r="C471" i="43"/>
  <c r="D471" i="43"/>
  <c r="C763" i="43"/>
  <c r="C761" i="43" s="1"/>
  <c r="C747" i="43"/>
  <c r="C744" i="43" s="1"/>
  <c r="C760" i="43"/>
  <c r="C758" i="43" s="1"/>
  <c r="C1080" i="43"/>
  <c r="C1168" i="43"/>
  <c r="C1834" i="43"/>
  <c r="C1839" i="43"/>
  <c r="C1838" i="43" s="1"/>
  <c r="C1765" i="43"/>
  <c r="C1763" i="43"/>
  <c r="C1755" i="43"/>
  <c r="D1611" i="43"/>
  <c r="C1615" i="43"/>
  <c r="C1611" i="43" s="1"/>
  <c r="D1607" i="43"/>
  <c r="D1604" i="43"/>
  <c r="C1604" i="43"/>
  <c r="D1480" i="43"/>
  <c r="C1480" i="43"/>
  <c r="C1487" i="43"/>
  <c r="D1487" i="43"/>
  <c r="D1484" i="43"/>
  <c r="C1484" i="43"/>
  <c r="D1482" i="43"/>
  <c r="C1482" i="43"/>
  <c r="D1478" i="43"/>
  <c r="C1478" i="43"/>
  <c r="C209" i="43"/>
  <c r="C63" i="43"/>
  <c r="C61" i="43" s="1"/>
  <c r="C67" i="43"/>
  <c r="C30" i="47"/>
  <c r="D1090" i="51"/>
  <c r="D1100" i="51" s="1"/>
  <c r="C1848" i="43"/>
  <c r="D337" i="51"/>
  <c r="E337" i="51"/>
  <c r="D2101" i="43"/>
  <c r="C2101" i="43"/>
  <c r="D2107" i="43"/>
  <c r="C2107" i="43"/>
  <c r="C14" i="47"/>
  <c r="C13" i="47"/>
  <c r="C12" i="47"/>
  <c r="F140" i="44"/>
  <c r="F135" i="44"/>
  <c r="F129" i="44"/>
  <c r="C1821" i="43"/>
  <c r="C1824" i="43"/>
  <c r="C20" i="47"/>
  <c r="E7" i="18"/>
  <c r="E8" i="18"/>
  <c r="E9" i="18"/>
  <c r="E10" i="18"/>
  <c r="E11" i="18"/>
  <c r="E12" i="18"/>
  <c r="E13" i="65"/>
  <c r="E79" i="65"/>
  <c r="E78" i="65"/>
  <c r="E5" i="18"/>
  <c r="E73" i="51"/>
  <c r="D73" i="51"/>
  <c r="C821" i="43"/>
  <c r="C819" i="43" s="1"/>
  <c r="C825" i="43"/>
  <c r="C824" i="43" s="1"/>
  <c r="C827" i="43"/>
  <c r="C833" i="43"/>
  <c r="C841" i="43"/>
  <c r="D827" i="43"/>
  <c r="D824" i="43"/>
  <c r="D833" i="43"/>
  <c r="D841" i="43"/>
  <c r="D2257" i="43"/>
  <c r="C2257" i="43"/>
  <c r="D1800" i="43"/>
  <c r="C1800" i="43"/>
  <c r="D476" i="43"/>
  <c r="C476" i="43"/>
  <c r="D415" i="43"/>
  <c r="C415" i="43"/>
  <c r="C214" i="43"/>
  <c r="D12" i="34"/>
  <c r="F2024" i="51"/>
  <c r="F2031" i="51" s="1"/>
  <c r="E2024" i="51"/>
  <c r="E2031" i="51" s="1"/>
  <c r="D2024" i="51"/>
  <c r="D2031" i="51" s="1"/>
  <c r="E1949" i="51"/>
  <c r="E1946" i="51" s="1"/>
  <c r="E1953" i="51" s="1"/>
  <c r="E1617" i="51"/>
  <c r="E1621" i="51" s="1"/>
  <c r="D80" i="34" s="1"/>
  <c r="E1466" i="51"/>
  <c r="E1469" i="51"/>
  <c r="E1131" i="51"/>
  <c r="D53" i="34" s="1"/>
  <c r="C53" i="34"/>
  <c r="E1146" i="51"/>
  <c r="D52" i="34" s="1"/>
  <c r="D1146" i="51"/>
  <c r="C52" i="34" s="1"/>
  <c r="E633" i="51"/>
  <c r="E485" i="51"/>
  <c r="E488" i="51" s="1"/>
  <c r="E501" i="51"/>
  <c r="E505" i="51" s="1"/>
  <c r="E608" i="51"/>
  <c r="E614" i="51"/>
  <c r="D501" i="51"/>
  <c r="D505" i="51" s="1"/>
  <c r="D608" i="51"/>
  <c r="D614" i="51"/>
  <c r="D1687" i="43"/>
  <c r="D1697" i="43"/>
  <c r="D1699" i="43"/>
  <c r="C1687" i="43"/>
  <c r="C1689" i="43"/>
  <c r="C1697" i="43"/>
  <c r="E1954" i="44"/>
  <c r="E1949" i="44"/>
  <c r="E1943" i="44"/>
  <c r="E1958" i="44"/>
  <c r="D1950" i="44"/>
  <c r="D1951" i="44"/>
  <c r="D1952" i="44"/>
  <c r="D1953" i="44"/>
  <c r="D1944" i="44"/>
  <c r="D1945" i="44"/>
  <c r="D1946" i="44"/>
  <c r="D1947" i="44"/>
  <c r="D1948" i="44"/>
  <c r="D1937" i="44"/>
  <c r="D1938" i="44"/>
  <c r="D1939" i="44"/>
  <c r="D1940" i="44"/>
  <c r="D1941" i="44"/>
  <c r="D1942" i="44"/>
  <c r="D1956" i="44"/>
  <c r="D1957" i="44"/>
  <c r="C1954" i="44"/>
  <c r="C1949" i="44"/>
  <c r="C1943" i="44"/>
  <c r="C1958" i="44"/>
  <c r="C1749" i="9" s="1"/>
  <c r="C10" i="43"/>
  <c r="D64" i="43"/>
  <c r="C64" i="43"/>
  <c r="D1076" i="44"/>
  <c r="C1076" i="44"/>
  <c r="C1077" i="44" s="1"/>
  <c r="D929" i="43"/>
  <c r="D924" i="43" s="1"/>
  <c r="D887" i="43"/>
  <c r="E696" i="51"/>
  <c r="D696" i="51"/>
  <c r="E978" i="44"/>
  <c r="E972" i="44"/>
  <c r="D803" i="43"/>
  <c r="D808" i="43"/>
  <c r="D810" i="43"/>
  <c r="C798" i="43"/>
  <c r="C801" i="43"/>
  <c r="C808" i="43"/>
  <c r="C810" i="43"/>
  <c r="D92" i="34"/>
  <c r="D2272" i="43"/>
  <c r="D2275" i="43"/>
  <c r="D2277" i="43"/>
  <c r="D2280" i="43"/>
  <c r="D2283" i="43"/>
  <c r="C2272" i="43"/>
  <c r="C2275" i="43"/>
  <c r="C2277" i="43"/>
  <c r="C2281" i="43"/>
  <c r="C2280" i="43" s="1"/>
  <c r="C2283" i="43"/>
  <c r="D93" i="34"/>
  <c r="D967" i="43"/>
  <c r="D970" i="43"/>
  <c r="D972" i="43"/>
  <c r="D974" i="43"/>
  <c r="D977" i="43"/>
  <c r="C967" i="43"/>
  <c r="C970" i="43"/>
  <c r="C972" i="43"/>
  <c r="C974" i="43"/>
  <c r="C977" i="43"/>
  <c r="D1253" i="43"/>
  <c r="C1251" i="43"/>
  <c r="E30" i="51"/>
  <c r="D30" i="51"/>
  <c r="D80" i="43"/>
  <c r="D83" i="43"/>
  <c r="D87" i="43"/>
  <c r="D91" i="43"/>
  <c r="D93" i="43"/>
  <c r="D96" i="43"/>
  <c r="E113" i="44"/>
  <c r="E102" i="44"/>
  <c r="E108" i="44"/>
  <c r="D1275" i="43"/>
  <c r="D1277" i="43"/>
  <c r="D1284" i="43"/>
  <c r="D1288" i="43"/>
  <c r="C1275" i="43"/>
  <c r="C1277" i="43"/>
  <c r="C1284" i="43"/>
  <c r="E1853" i="44"/>
  <c r="E1847" i="44"/>
  <c r="E1824" i="44"/>
  <c r="E1829" i="44"/>
  <c r="E1818" i="44"/>
  <c r="E1835" i="44"/>
  <c r="E1410" i="44"/>
  <c r="E1405" i="44"/>
  <c r="E1399" i="44"/>
  <c r="E1416" i="44"/>
  <c r="D1214" i="43"/>
  <c r="D1216" i="43"/>
  <c r="D1218" i="43"/>
  <c r="D1221" i="43"/>
  <c r="D1226" i="43"/>
  <c r="D1228" i="43"/>
  <c r="C1214" i="43"/>
  <c r="C1216" i="43"/>
  <c r="C1218" i="43"/>
  <c r="C1221" i="43"/>
  <c r="C1226" i="43"/>
  <c r="C1228" i="43"/>
  <c r="D631" i="43"/>
  <c r="D634" i="43"/>
  <c r="D636" i="43"/>
  <c r="D639" i="43"/>
  <c r="D642" i="43"/>
  <c r="D644" i="43"/>
  <c r="E729" i="44"/>
  <c r="E724" i="44"/>
  <c r="E719" i="44"/>
  <c r="E713" i="44"/>
  <c r="C701" i="44"/>
  <c r="C694" i="44"/>
  <c r="C689" i="44"/>
  <c r="C683" i="44"/>
  <c r="E694" i="44"/>
  <c r="E689" i="44"/>
  <c r="E683" i="44"/>
  <c r="E701" i="44"/>
  <c r="D622" i="43"/>
  <c r="C622" i="43"/>
  <c r="D1342" i="43"/>
  <c r="D1344" i="43"/>
  <c r="D1347" i="43"/>
  <c r="D1350" i="43"/>
  <c r="C1342" i="43"/>
  <c r="C1344" i="43"/>
  <c r="C1347" i="43"/>
  <c r="C1350" i="43"/>
  <c r="E1535" i="44"/>
  <c r="E1541" i="44"/>
  <c r="E1546" i="44"/>
  <c r="E1549" i="44"/>
  <c r="D1546" i="44"/>
  <c r="D1541" i="44"/>
  <c r="D1535" i="44"/>
  <c r="D1549" i="44"/>
  <c r="C1546" i="44"/>
  <c r="C1541" i="44"/>
  <c r="C1535" i="44"/>
  <c r="C1549" i="44"/>
  <c r="D1322" i="43"/>
  <c r="D1324" i="43"/>
  <c r="D1327" i="43"/>
  <c r="D1333" i="43"/>
  <c r="C1322" i="43"/>
  <c r="C1324" i="43"/>
  <c r="C1327" i="43"/>
  <c r="C1333" i="43"/>
  <c r="D1517" i="44"/>
  <c r="D1512" i="44"/>
  <c r="D1506" i="44"/>
  <c r="E1517" i="44"/>
  <c r="E1512" i="44"/>
  <c r="E1506" i="44"/>
  <c r="E1523" i="44"/>
  <c r="C1506" i="44"/>
  <c r="C1512" i="44"/>
  <c r="C1517" i="44"/>
  <c r="D1300" i="43"/>
  <c r="D1302" i="43"/>
  <c r="D1305" i="43"/>
  <c r="D1310" i="43"/>
  <c r="D1312" i="43"/>
  <c r="C1300" i="43"/>
  <c r="C1302" i="43"/>
  <c r="C1307" i="43"/>
  <c r="C1305" i="43" s="1"/>
  <c r="C1310" i="43"/>
  <c r="C1312" i="43"/>
  <c r="D1242" i="43"/>
  <c r="D1240" i="43"/>
  <c r="D2316" i="44"/>
  <c r="C2061" i="9" s="1"/>
  <c r="D2300" i="44"/>
  <c r="D2294" i="44"/>
  <c r="D2287" i="44"/>
  <c r="E2300" i="44"/>
  <c r="E2294" i="44"/>
  <c r="E2287" i="44"/>
  <c r="E2316" i="44"/>
  <c r="C2300" i="44"/>
  <c r="C2294" i="44"/>
  <c r="C2287" i="44"/>
  <c r="C2316" i="44"/>
  <c r="D1983" i="43"/>
  <c r="D1987" i="43"/>
  <c r="D1989" i="43"/>
  <c r="D1993" i="43"/>
  <c r="D1995" i="43"/>
  <c r="D2019" i="43"/>
  <c r="D2017" i="43"/>
  <c r="D2011" i="43"/>
  <c r="D2008" i="43"/>
  <c r="D2033" i="43"/>
  <c r="D2035" i="43"/>
  <c r="D2037" i="43"/>
  <c r="D2054" i="43"/>
  <c r="D2074" i="43"/>
  <c r="D2077" i="43"/>
  <c r="D2088" i="43"/>
  <c r="D2099" i="43"/>
  <c r="D2131" i="43"/>
  <c r="D2133" i="43"/>
  <c r="D2140" i="43"/>
  <c r="D2159" i="43"/>
  <c r="C1983" i="43"/>
  <c r="C1987" i="43"/>
  <c r="C1991" i="43"/>
  <c r="C1989" i="43" s="1"/>
  <c r="C1993" i="43"/>
  <c r="C1995" i="43"/>
  <c r="C2017" i="43"/>
  <c r="C2011" i="43"/>
  <c r="C2008" i="43"/>
  <c r="C2033" i="43"/>
  <c r="C2035" i="43"/>
  <c r="C2037" i="43"/>
  <c r="C2072" i="43"/>
  <c r="C2074" i="43"/>
  <c r="C2077" i="43"/>
  <c r="C2088" i="43"/>
  <c r="C2099" i="43"/>
  <c r="C2133" i="43"/>
  <c r="C2140" i="43"/>
  <c r="C2144" i="43"/>
  <c r="C2159" i="43"/>
  <c r="C2161" i="43"/>
  <c r="C2164" i="43"/>
  <c r="E2161" i="43"/>
  <c r="D2161" i="43"/>
  <c r="D2144" i="43"/>
  <c r="E1893" i="51"/>
  <c r="E1885" i="51"/>
  <c r="D1885" i="51"/>
  <c r="E1162" i="51"/>
  <c r="E1165" i="51"/>
  <c r="D1362" i="43"/>
  <c r="D1365" i="43"/>
  <c r="D1368" i="43"/>
  <c r="D1372" i="43"/>
  <c r="D1375" i="43"/>
  <c r="D1378" i="43"/>
  <c r="E1600" i="44"/>
  <c r="E1595" i="44"/>
  <c r="E1607" i="44"/>
  <c r="D1450" i="43"/>
  <c r="D1452" i="43"/>
  <c r="D1455" i="43"/>
  <c r="D1459" i="43"/>
  <c r="D1462" i="43"/>
  <c r="D1465" i="43"/>
  <c r="E1688" i="44"/>
  <c r="E1683" i="44"/>
  <c r="E1677" i="44"/>
  <c r="E1693" i="44"/>
  <c r="E1258" i="51"/>
  <c r="E1266" i="51"/>
  <c r="D1258" i="51"/>
  <c r="D1270" i="51" s="1"/>
  <c r="E1212" i="51"/>
  <c r="E1215" i="51"/>
  <c r="E1218" i="51"/>
  <c r="D1212" i="51"/>
  <c r="D1215" i="51"/>
  <c r="D1218" i="51"/>
  <c r="E1661" i="44"/>
  <c r="E1655" i="44"/>
  <c r="E1649" i="44"/>
  <c r="E1665" i="44"/>
  <c r="E1180" i="51"/>
  <c r="F1638" i="44"/>
  <c r="E1637" i="44"/>
  <c r="E1638" i="44" s="1"/>
  <c r="F1631" i="44"/>
  <c r="E1631" i="44"/>
  <c r="F1625" i="44"/>
  <c r="E1625" i="44"/>
  <c r="F1619" i="44"/>
  <c r="E1619" i="44"/>
  <c r="D1637" i="44"/>
  <c r="C1463" i="9" s="1"/>
  <c r="D1631" i="44"/>
  <c r="D1625" i="44"/>
  <c r="D1619" i="44"/>
  <c r="D2013" i="44"/>
  <c r="C1879" i="9" s="1"/>
  <c r="D2008" i="44"/>
  <c r="D2002" i="44"/>
  <c r="D1996" i="44"/>
  <c r="C368" i="43"/>
  <c r="C370" i="43"/>
  <c r="C373" i="43"/>
  <c r="D368" i="43"/>
  <c r="D370" i="43"/>
  <c r="D373" i="43"/>
  <c r="D1709" i="43"/>
  <c r="D1711" i="43"/>
  <c r="D1713" i="43"/>
  <c r="D1716" i="43"/>
  <c r="D1719" i="43"/>
  <c r="C1709" i="43"/>
  <c r="C1711" i="43"/>
  <c r="C1713" i="43"/>
  <c r="C1716" i="43"/>
  <c r="C1719" i="43"/>
  <c r="D1739" i="43"/>
  <c r="C1739" i="43"/>
  <c r="C1736" i="43"/>
  <c r="C1733" i="43"/>
  <c r="C1730" i="43"/>
  <c r="D1736" i="43"/>
  <c r="D1730" i="43"/>
  <c r="D1733" i="43"/>
  <c r="D1647" i="43"/>
  <c r="D1651" i="43"/>
  <c r="D1662" i="43"/>
  <c r="D1664" i="43"/>
  <c r="C1650" i="43"/>
  <c r="C1647" i="43" s="1"/>
  <c r="C1653" i="43"/>
  <c r="C1654" i="43"/>
  <c r="C1655" i="43"/>
  <c r="C1656" i="43"/>
  <c r="C1677" i="43"/>
  <c r="C1663" i="43"/>
  <c r="C1662" i="43" s="1"/>
  <c r="C1664" i="43"/>
  <c r="C1671" i="43"/>
  <c r="C1674" i="43"/>
  <c r="D1883" i="44"/>
  <c r="D1878" i="44"/>
  <c r="D1872" i="44"/>
  <c r="D1297" i="44"/>
  <c r="D1090" i="43"/>
  <c r="D1093" i="43"/>
  <c r="D1096" i="43"/>
  <c r="D1100" i="43"/>
  <c r="D1110" i="43"/>
  <c r="D1113" i="43"/>
  <c r="C1090" i="43"/>
  <c r="C1093" i="43"/>
  <c r="C1096" i="43"/>
  <c r="C1100" i="43"/>
  <c r="C1110" i="43"/>
  <c r="C1113" i="43"/>
  <c r="E2275" i="44"/>
  <c r="E2270" i="44"/>
  <c r="E2264" i="44"/>
  <c r="E2278" i="44"/>
  <c r="D2275" i="44"/>
  <c r="D2270" i="44"/>
  <c r="D2264" i="44"/>
  <c r="D2278" i="44"/>
  <c r="C2275" i="44"/>
  <c r="C2270" i="44"/>
  <c r="C2264" i="44"/>
  <c r="C2278" i="44"/>
  <c r="E2139" i="44"/>
  <c r="E2145" i="44"/>
  <c r="E2149" i="44"/>
  <c r="E2154" i="44"/>
  <c r="E2158" i="44"/>
  <c r="E2172" i="44"/>
  <c r="D2172" i="44"/>
  <c r="D2139" i="44"/>
  <c r="D2145" i="44"/>
  <c r="D2149" i="44"/>
  <c r="D2154" i="44"/>
  <c r="D2158" i="44" s="1"/>
  <c r="D2114" i="44"/>
  <c r="D2109" i="44"/>
  <c r="D2103" i="44"/>
  <c r="D1834" i="43"/>
  <c r="D1838" i="43"/>
  <c r="D1842" i="43"/>
  <c r="D1845" i="43"/>
  <c r="D1848" i="43"/>
  <c r="C1845" i="43"/>
  <c r="C1842" i="43"/>
  <c r="E2039" i="51"/>
  <c r="D2039" i="51"/>
  <c r="D2536" i="44"/>
  <c r="D2531" i="44"/>
  <c r="D2525" i="44"/>
  <c r="E2540" i="44"/>
  <c r="E2536" i="44"/>
  <c r="E2531" i="44"/>
  <c r="E2525" i="44"/>
  <c r="D707" i="43"/>
  <c r="D706" i="43" s="1"/>
  <c r="D700" i="43"/>
  <c r="D704" i="43"/>
  <c r="C700" i="43"/>
  <c r="C704" i="43"/>
  <c r="C706" i="43"/>
  <c r="E782" i="44"/>
  <c r="E777" i="44"/>
  <c r="E771" i="44"/>
  <c r="E789" i="44"/>
  <c r="D654" i="43"/>
  <c r="D658" i="43"/>
  <c r="D661" i="43"/>
  <c r="D665" i="43"/>
  <c r="D667" i="43"/>
  <c r="C654" i="43"/>
  <c r="C656" i="43"/>
  <c r="C658" i="43"/>
  <c r="C661" i="43"/>
  <c r="C665" i="43"/>
  <c r="C667" i="43"/>
  <c r="E2156" i="51"/>
  <c r="E2159" i="51" s="1"/>
  <c r="D94" i="34" s="1"/>
  <c r="D1358" i="44"/>
  <c r="D986" i="43"/>
  <c r="D989" i="43"/>
  <c r="D991" i="43"/>
  <c r="D994" i="43"/>
  <c r="C986" i="43"/>
  <c r="C989" i="43"/>
  <c r="C991" i="43"/>
  <c r="C994" i="43"/>
  <c r="D1012" i="44"/>
  <c r="D1007" i="44"/>
  <c r="D1001" i="44"/>
  <c r="C1012" i="44"/>
  <c r="C1007" i="44"/>
  <c r="C1001" i="44"/>
  <c r="C1018" i="44"/>
  <c r="E1018" i="44"/>
  <c r="E1001" i="44"/>
  <c r="E1007" i="44"/>
  <c r="E1012" i="44"/>
  <c r="D1213" i="44"/>
  <c r="D1208" i="44"/>
  <c r="D1202" i="44"/>
  <c r="D1216" i="44"/>
  <c r="E1213" i="44"/>
  <c r="E1208" i="44"/>
  <c r="E1202" i="44"/>
  <c r="E1216" i="44"/>
  <c r="C1216" i="44"/>
  <c r="C1202" i="44"/>
  <c r="C1213" i="44"/>
  <c r="C1208" i="44"/>
  <c r="E1162" i="44"/>
  <c r="E1163" i="44" s="1"/>
  <c r="E1154" i="44"/>
  <c r="E1149" i="44"/>
  <c r="E1143" i="44"/>
  <c r="D520" i="43"/>
  <c r="C520" i="43"/>
  <c r="D518" i="43"/>
  <c r="C518" i="43"/>
  <c r="D515" i="43"/>
  <c r="C515" i="43"/>
  <c r="D513" i="43"/>
  <c r="D508" i="43"/>
  <c r="D510" i="43"/>
  <c r="C513" i="43"/>
  <c r="C510" i="43"/>
  <c r="C508" i="43"/>
  <c r="E622" i="44"/>
  <c r="E628" i="44"/>
  <c r="E644" i="44"/>
  <c r="E641" i="44"/>
  <c r="E325" i="51"/>
  <c r="D325" i="51"/>
  <c r="E611" i="44"/>
  <c r="E605" i="44"/>
  <c r="E600" i="44"/>
  <c r="E594" i="44"/>
  <c r="E82" i="44"/>
  <c r="E83" i="44" s="1"/>
  <c r="E85" i="44" s="1"/>
  <c r="E90" i="44"/>
  <c r="E166" i="44"/>
  <c r="E161" i="44"/>
  <c r="E155" i="44"/>
  <c r="E1711" i="44"/>
  <c r="E1717" i="44" s="1"/>
  <c r="D1768" i="44"/>
  <c r="E1777" i="44"/>
  <c r="D1777" i="44"/>
  <c r="E1773" i="44"/>
  <c r="E1768" i="44"/>
  <c r="E1789" i="44"/>
  <c r="D500" i="44"/>
  <c r="D496" i="44"/>
  <c r="D491" i="44"/>
  <c r="D485" i="44"/>
  <c r="C500" i="44"/>
  <c r="C496" i="44"/>
  <c r="C491" i="44"/>
  <c r="C485" i="44"/>
  <c r="E500" i="44"/>
  <c r="E496" i="44"/>
  <c r="E491" i="44"/>
  <c r="E485" i="44"/>
  <c r="D473" i="43"/>
  <c r="E528" i="44"/>
  <c r="E524" i="44"/>
  <c r="E519" i="44"/>
  <c r="E513" i="44"/>
  <c r="E2040" i="44"/>
  <c r="D2040" i="44"/>
  <c r="C2040" i="44"/>
  <c r="E2036" i="44"/>
  <c r="D2036" i="44"/>
  <c r="C2036" i="44"/>
  <c r="E2031" i="44"/>
  <c r="D2031" i="44"/>
  <c r="C2031" i="44"/>
  <c r="E2025" i="44"/>
  <c r="D2025" i="44"/>
  <c r="C2025" i="44"/>
  <c r="D1824" i="43"/>
  <c r="D1821" i="43"/>
  <c r="D396" i="43"/>
  <c r="C396" i="43"/>
  <c r="D391" i="43"/>
  <c r="C393" i="43"/>
  <c r="C391" i="43" s="1"/>
  <c r="D388" i="43"/>
  <c r="C388" i="43"/>
  <c r="D386" i="43"/>
  <c r="C387" i="43"/>
  <c r="C386" i="43" s="1"/>
  <c r="D384" i="43"/>
  <c r="C384" i="43"/>
  <c r="D1765" i="43"/>
  <c r="D1763" i="43"/>
  <c r="D1755" i="43"/>
  <c r="D1752" i="43"/>
  <c r="E312" i="44"/>
  <c r="E307" i="44"/>
  <c r="E301" i="44"/>
  <c r="D287" i="43"/>
  <c r="D285" i="43"/>
  <c r="D283" i="43"/>
  <c r="D280" i="43"/>
  <c r="D278" i="43"/>
  <c r="C771" i="43"/>
  <c r="D771" i="43"/>
  <c r="C775" i="43"/>
  <c r="D775" i="43"/>
  <c r="C782" i="43"/>
  <c r="D782" i="43"/>
  <c r="C1069" i="43"/>
  <c r="C1042" i="43"/>
  <c r="E2252" i="44"/>
  <c r="D2252" i="44"/>
  <c r="C2252" i="44"/>
  <c r="E2248" i="44"/>
  <c r="D2248" i="44"/>
  <c r="C2248" i="44"/>
  <c r="E2243" i="44"/>
  <c r="E2237" i="44"/>
  <c r="D2243" i="44"/>
  <c r="C2243" i="44"/>
  <c r="D2237" i="44"/>
  <c r="C2237" i="44"/>
  <c r="E2225" i="44"/>
  <c r="D2225" i="44"/>
  <c r="C2225" i="44"/>
  <c r="C2221" i="44"/>
  <c r="C2216" i="44"/>
  <c r="C2210" i="44"/>
  <c r="E2198" i="44"/>
  <c r="D2198" i="44"/>
  <c r="E2195" i="44"/>
  <c r="E2190" i="44"/>
  <c r="E2184" i="44"/>
  <c r="E1984" i="44"/>
  <c r="C1984" i="44"/>
  <c r="E1981" i="44"/>
  <c r="D1981" i="44"/>
  <c r="C1981" i="44"/>
  <c r="E1976" i="44"/>
  <c r="E1970" i="44"/>
  <c r="D1976" i="44"/>
  <c r="C1976" i="44"/>
  <c r="D1970" i="44"/>
  <c r="C1970" i="44"/>
  <c r="D1798" i="43"/>
  <c r="C1798" i="43"/>
  <c r="C1783" i="43"/>
  <c r="E1572" i="51"/>
  <c r="E1562" i="51"/>
  <c r="D1332" i="44"/>
  <c r="C1332" i="44"/>
  <c r="E1325" i="44"/>
  <c r="D1325" i="44"/>
  <c r="C1325" i="44"/>
  <c r="C1320" i="44"/>
  <c r="C1313" i="44"/>
  <c r="E1320" i="44"/>
  <c r="D1320" i="44"/>
  <c r="E1313" i="44"/>
  <c r="D1313" i="44"/>
  <c r="D1149" i="43"/>
  <c r="C1149" i="43"/>
  <c r="D1147" i="43"/>
  <c r="C1147" i="43"/>
  <c r="D1144" i="43"/>
  <c r="C1144" i="43"/>
  <c r="D1141" i="43"/>
  <c r="C1141" i="43"/>
  <c r="D1139" i="43"/>
  <c r="C1139" i="43"/>
  <c r="D1135" i="43"/>
  <c r="C1135" i="43"/>
  <c r="D1129" i="43"/>
  <c r="C1129" i="43"/>
  <c r="D1125" i="43"/>
  <c r="C1125" i="43"/>
  <c r="D1121" i="43"/>
  <c r="F1422" i="51"/>
  <c r="F1428" i="51" s="1"/>
  <c r="E1422" i="51"/>
  <c r="E1428" i="51" s="1"/>
  <c r="D1422" i="51"/>
  <c r="D1428" i="51" s="1"/>
  <c r="C1630" i="43"/>
  <c r="D1627" i="43"/>
  <c r="C1627" i="43"/>
  <c r="E1883" i="44"/>
  <c r="E1878" i="44"/>
  <c r="E1872" i="44"/>
  <c r="E1896" i="44"/>
  <c r="E2598" i="44"/>
  <c r="D2598" i="44"/>
  <c r="E2593" i="44"/>
  <c r="D2593" i="44"/>
  <c r="D2588" i="44"/>
  <c r="D2582" i="44"/>
  <c r="E2588" i="44"/>
  <c r="E2582" i="44"/>
  <c r="D2260" i="43"/>
  <c r="C2260" i="43"/>
  <c r="D2255" i="43"/>
  <c r="C2255" i="43"/>
  <c r="D2252" i="43"/>
  <c r="D1203" i="43"/>
  <c r="C1203" i="43"/>
  <c r="C1201" i="43"/>
  <c r="D1196" i="43"/>
  <c r="C1196" i="43"/>
  <c r="D1192" i="43"/>
  <c r="C1192" i="43"/>
  <c r="D1190" i="43"/>
  <c r="C1190" i="43"/>
  <c r="D1173" i="43"/>
  <c r="D1170" i="43"/>
  <c r="D1168" i="43"/>
  <c r="E909" i="51"/>
  <c r="D905" i="51"/>
  <c r="D912" i="51" s="1"/>
  <c r="C771" i="44"/>
  <c r="D771" i="44"/>
  <c r="D782" i="44"/>
  <c r="D777" i="44"/>
  <c r="D789" i="44"/>
  <c r="C777" i="44"/>
  <c r="D2328" i="43"/>
  <c r="D2325" i="43"/>
  <c r="D2322" i="43"/>
  <c r="D2320" i="43"/>
  <c r="D2317" i="43"/>
  <c r="E818" i="44"/>
  <c r="D818" i="44"/>
  <c r="E812" i="44"/>
  <c r="E801" i="44"/>
  <c r="D688" i="43"/>
  <c r="D684" i="43"/>
  <c r="D681" i="43"/>
  <c r="D678" i="43"/>
  <c r="D115" i="43"/>
  <c r="D113" i="43"/>
  <c r="D110" i="43"/>
  <c r="D107" i="43"/>
  <c r="C110" i="43"/>
  <c r="D118" i="43"/>
  <c r="D730" i="43"/>
  <c r="D727" i="43"/>
  <c r="D725" i="43"/>
  <c r="D723" i="43"/>
  <c r="D591" i="43"/>
  <c r="C591" i="43"/>
  <c r="D588" i="43"/>
  <c r="C588" i="43"/>
  <c r="D586" i="43"/>
  <c r="C586" i="43"/>
  <c r="D583" i="43"/>
  <c r="C585" i="43"/>
  <c r="C583" i="43" s="1"/>
  <c r="D580" i="43"/>
  <c r="C580" i="43"/>
  <c r="C641" i="44"/>
  <c r="D641" i="44"/>
  <c r="D637" i="44"/>
  <c r="C637" i="44"/>
  <c r="D644" i="44"/>
  <c r="C644" i="44"/>
  <c r="D633" i="44"/>
  <c r="D628" i="44"/>
  <c r="C633" i="44"/>
  <c r="C628" i="44"/>
  <c r="C622" i="44"/>
  <c r="C567" i="43"/>
  <c r="D567" i="43"/>
  <c r="D564" i="43"/>
  <c r="D560" i="43"/>
  <c r="D557" i="43"/>
  <c r="D554" i="43"/>
  <c r="D546" i="43"/>
  <c r="D544" i="43"/>
  <c r="D542" i="43"/>
  <c r="D540" i="43"/>
  <c r="D536" i="43"/>
  <c r="D532" i="43"/>
  <c r="D529" i="43"/>
  <c r="C233" i="43"/>
  <c r="C230" i="43"/>
  <c r="E261" i="44"/>
  <c r="D261" i="44"/>
  <c r="C261" i="44"/>
  <c r="E258" i="44"/>
  <c r="D258" i="44"/>
  <c r="D253" i="44"/>
  <c r="D247" i="44"/>
  <c r="C258" i="44"/>
  <c r="E253" i="44"/>
  <c r="C253" i="44"/>
  <c r="C247" i="44"/>
  <c r="E247" i="44"/>
  <c r="C217" i="43"/>
  <c r="C212" i="43"/>
  <c r="E1279" i="51"/>
  <c r="E1286" i="51"/>
  <c r="D1279" i="51"/>
  <c r="E105" i="51"/>
  <c r="E108" i="51"/>
  <c r="D105" i="51"/>
  <c r="D108" i="51"/>
  <c r="D267" i="43"/>
  <c r="D258" i="43"/>
  <c r="D255" i="43"/>
  <c r="D260" i="43"/>
  <c r="C263" i="43"/>
  <c r="D263" i="43"/>
  <c r="C255" i="43"/>
  <c r="C258" i="43"/>
  <c r="C260" i="43"/>
  <c r="C265" i="43"/>
  <c r="C267" i="43"/>
  <c r="D265" i="43"/>
  <c r="D67" i="43"/>
  <c r="D61" i="43"/>
  <c r="D71" i="43"/>
  <c r="D132" i="43"/>
  <c r="D135" i="43"/>
  <c r="D140" i="43"/>
  <c r="D145" i="43"/>
  <c r="D147" i="43"/>
  <c r="D149" i="43"/>
  <c r="C132" i="43"/>
  <c r="C135" i="43"/>
  <c r="C140" i="43"/>
  <c r="C146" i="43"/>
  <c r="C145" i="43" s="1"/>
  <c r="C147" i="43"/>
  <c r="E1741" i="44"/>
  <c r="E1736" i="44"/>
  <c r="E1730" i="44"/>
  <c r="E1750" i="44"/>
  <c r="D1741" i="44"/>
  <c r="D1736" i="44"/>
  <c r="D1730" i="44"/>
  <c r="D1750" i="44"/>
  <c r="C1567" i="9" s="1"/>
  <c r="C1741" i="44"/>
  <c r="C1736" i="44"/>
  <c r="C1730" i="44"/>
  <c r="C1750" i="44"/>
  <c r="D488" i="43"/>
  <c r="D490" i="43"/>
  <c r="D493" i="43"/>
  <c r="D496" i="43"/>
  <c r="D1534" i="43"/>
  <c r="D1537" i="43"/>
  <c r="D1539" i="43"/>
  <c r="D1542" i="43"/>
  <c r="C1534" i="43"/>
  <c r="C1537" i="43"/>
  <c r="C1539" i="43"/>
  <c r="C1542" i="43"/>
  <c r="D425" i="43"/>
  <c r="D428" i="43"/>
  <c r="D435" i="43"/>
  <c r="C425" i="43"/>
  <c r="C428" i="43"/>
  <c r="C435" i="43"/>
  <c r="D1499" i="43"/>
  <c r="D1501" i="43"/>
  <c r="D1503" i="43"/>
  <c r="D1507" i="43"/>
  <c r="D1509" i="43"/>
  <c r="D1523" i="43"/>
  <c r="C1499" i="43"/>
  <c r="C1501" i="43"/>
  <c r="C1507" i="43"/>
  <c r="C1509" i="43"/>
  <c r="C1523" i="43"/>
  <c r="D413" i="43"/>
  <c r="C413" i="43"/>
  <c r="E443" i="44"/>
  <c r="E438" i="44"/>
  <c r="E432" i="44"/>
  <c r="E446" i="44"/>
  <c r="D446" i="44"/>
  <c r="D443" i="44"/>
  <c r="D438" i="44"/>
  <c r="D432" i="44"/>
  <c r="E469" i="44"/>
  <c r="E464" i="44"/>
  <c r="E458" i="44"/>
  <c r="E473" i="44"/>
  <c r="D469" i="44"/>
  <c r="D464" i="44"/>
  <c r="D458" i="44"/>
  <c r="D473" i="44"/>
  <c r="C469" i="44"/>
  <c r="C464" i="44"/>
  <c r="C458" i="44"/>
  <c r="C473" i="44"/>
  <c r="D18" i="34"/>
  <c r="C18" i="34"/>
  <c r="D446" i="43"/>
  <c r="D448" i="43"/>
  <c r="D451" i="43"/>
  <c r="D453" i="43"/>
  <c r="D455" i="43"/>
  <c r="D458" i="43"/>
  <c r="C446" i="43"/>
  <c r="C448" i="43"/>
  <c r="C451" i="43"/>
  <c r="C453" i="43"/>
  <c r="C455" i="43"/>
  <c r="E51" i="44"/>
  <c r="E46" i="44"/>
  <c r="E40" i="44"/>
  <c r="E59" i="44"/>
  <c r="D48" i="43"/>
  <c r="D46" i="43"/>
  <c r="D44" i="43"/>
  <c r="D42" i="43"/>
  <c r="D35" i="43"/>
  <c r="E21" i="44"/>
  <c r="E10" i="44"/>
  <c r="D22" i="43"/>
  <c r="D19" i="43"/>
  <c r="D5" i="43"/>
  <c r="C29" i="15"/>
  <c r="C23" i="15"/>
  <c r="C17" i="15"/>
  <c r="F284" i="44"/>
  <c r="F285" i="44" s="1"/>
  <c r="D242" i="9" s="1"/>
  <c r="F551" i="44"/>
  <c r="F546" i="44"/>
  <c r="F540" i="44"/>
  <c r="F578" i="44"/>
  <c r="F573" i="44"/>
  <c r="F567" i="44"/>
  <c r="F1239" i="44"/>
  <c r="F1240" i="44" s="1"/>
  <c r="D1098" i="9" s="1"/>
  <c r="F1266" i="44"/>
  <c r="F1261" i="44"/>
  <c r="F1255" i="44"/>
  <c r="F2621" i="44"/>
  <c r="F2616" i="44"/>
  <c r="F2610" i="44"/>
  <c r="F2650" i="44"/>
  <c r="F2645" i="44"/>
  <c r="F2639" i="44"/>
  <c r="F1443" i="44"/>
  <c r="D11" i="15"/>
  <c r="C33" i="15"/>
  <c r="C36" i="15" s="1"/>
  <c r="E1719" i="44"/>
  <c r="C1719" i="44"/>
  <c r="D1716" i="44"/>
  <c r="D1711" i="44"/>
  <c r="D1705" i="44"/>
  <c r="C1716" i="44"/>
  <c r="C1711" i="44"/>
  <c r="C1705" i="44"/>
  <c r="D2242" i="43"/>
  <c r="D2228" i="43"/>
  <c r="D1386" i="43"/>
  <c r="D1389" i="43"/>
  <c r="D1392" i="43"/>
  <c r="D1396" i="43"/>
  <c r="D1402" i="43"/>
  <c r="D1406" i="43"/>
  <c r="D1069" i="43"/>
  <c r="D945" i="43"/>
  <c r="D602" i="43"/>
  <c r="E766" i="51"/>
  <c r="D38" i="34" s="1"/>
  <c r="E165" i="51"/>
  <c r="E168" i="51"/>
  <c r="E188" i="51"/>
  <c r="D165" i="51"/>
  <c r="D168" i="51"/>
  <c r="D188" i="51"/>
  <c r="E1776" i="51"/>
  <c r="E1826" i="51" s="1"/>
  <c r="E1835" i="51"/>
  <c r="E1844" i="51" s="1"/>
  <c r="E81" i="51"/>
  <c r="E91" i="51" s="1"/>
  <c r="D10" i="34" s="1"/>
  <c r="D1251" i="43"/>
  <c r="C1240" i="43"/>
  <c r="C2304" i="43"/>
  <c r="C2243" i="43"/>
  <c r="C2239" i="43"/>
  <c r="C2238" i="43" s="1"/>
  <c r="D1178" i="43"/>
  <c r="D1175" i="43"/>
  <c r="C1170" i="43"/>
  <c r="C1589" i="43"/>
  <c r="C1588" i="43" s="1"/>
  <c r="C2214" i="43"/>
  <c r="C2212" i="43" s="1"/>
  <c r="C2211" i="43"/>
  <c r="C2210" i="43" s="1"/>
  <c r="C1452" i="43"/>
  <c r="C1392" i="43"/>
  <c r="C1386" i="43"/>
  <c r="C1389" i="43"/>
  <c r="C1396" i="43"/>
  <c r="C1402" i="43"/>
  <c r="C1406" i="43"/>
  <c r="C1029" i="43"/>
  <c r="C1028" i="43" s="1"/>
  <c r="C1054" i="43"/>
  <c r="C1052" i="43" s="1"/>
  <c r="C889" i="43"/>
  <c r="C890" i="43"/>
  <c r="C873" i="43"/>
  <c r="C879" i="43"/>
  <c r="C883" i="43"/>
  <c r="D873" i="43"/>
  <c r="D879" i="43"/>
  <c r="D883" i="43"/>
  <c r="D744" i="43"/>
  <c r="C751" i="43"/>
  <c r="C750" i="43" s="1"/>
  <c r="C757" i="43"/>
  <c r="C756" i="43" s="1"/>
  <c r="C754" i="43"/>
  <c r="C723" i="43"/>
  <c r="C725" i="43"/>
  <c r="C727" i="43"/>
  <c r="C731" i="43"/>
  <c r="C730" i="43" s="1"/>
  <c r="D1569" i="43"/>
  <c r="C1569" i="43"/>
  <c r="C1564" i="43"/>
  <c r="C1563" i="43" s="1"/>
  <c r="C107" i="43"/>
  <c r="C602" i="43"/>
  <c r="C557" i="43"/>
  <c r="C537" i="43"/>
  <c r="C536" i="43" s="1"/>
  <c r="C284" i="43"/>
  <c r="C283" i="43" s="1"/>
  <c r="C25" i="43"/>
  <c r="C24" i="43" s="1"/>
  <c r="C22" i="43"/>
  <c r="C5" i="43"/>
  <c r="C19" i="43"/>
  <c r="C35" i="43"/>
  <c r="C40" i="43"/>
  <c r="C42" i="43"/>
  <c r="C45" i="43"/>
  <c r="C44" i="43" s="1"/>
  <c r="C46" i="43"/>
  <c r="C48" i="43"/>
  <c r="C95" i="43"/>
  <c r="C93" i="43" s="1"/>
  <c r="C82" i="43"/>
  <c r="C80" i="43" s="1"/>
  <c r="C87" i="43"/>
  <c r="C83" i="43"/>
  <c r="C91" i="43"/>
  <c r="C96" i="43"/>
  <c r="C71" i="43"/>
  <c r="C678" i="43"/>
  <c r="C681" i="43"/>
  <c r="C684" i="43"/>
  <c r="C688" i="43"/>
  <c r="C1067" i="43"/>
  <c r="C1072" i="43"/>
  <c r="C1074" i="43"/>
  <c r="C1077" i="43"/>
  <c r="D1021" i="43"/>
  <c r="D1023" i="43"/>
  <c r="D1026" i="43"/>
  <c r="D1028" i="43"/>
  <c r="C1021" i="43"/>
  <c r="C1023" i="43"/>
  <c r="C1026" i="43"/>
  <c r="C1030" i="43"/>
  <c r="C1431" i="43"/>
  <c r="C1428" i="43"/>
  <c r="C1424" i="43"/>
  <c r="C1419" i="43"/>
  <c r="C1417" i="43"/>
  <c r="C1414" i="43"/>
  <c r="C2197" i="43"/>
  <c r="C2201" i="43"/>
  <c r="C2203" i="43"/>
  <c r="C2206" i="43"/>
  <c r="C2228" i="43"/>
  <c r="C2231" i="43"/>
  <c r="C2233" i="43"/>
  <c r="C2235" i="43"/>
  <c r="C2240" i="43"/>
  <c r="C2317" i="43"/>
  <c r="C2320" i="43"/>
  <c r="C2322" i="43"/>
  <c r="C2325" i="43"/>
  <c r="C2328" i="43"/>
  <c r="C2293" i="43"/>
  <c r="C2296" i="43"/>
  <c r="C2298" i="43"/>
  <c r="C2300" i="43"/>
  <c r="C2306" i="43"/>
  <c r="D880" i="44"/>
  <c r="D1693" i="44"/>
  <c r="C1515" i="9" s="1"/>
  <c r="D1907" i="44"/>
  <c r="D1913" i="44"/>
  <c r="D1918" i="44"/>
  <c r="D766" i="51"/>
  <c r="C38" i="34" s="1"/>
  <c r="D449" i="51"/>
  <c r="C8" i="34"/>
  <c r="D1286" i="51"/>
  <c r="D1283" i="51"/>
  <c r="D1162" i="51"/>
  <c r="D1165" i="51"/>
  <c r="C46" i="34"/>
  <c r="D825" i="51"/>
  <c r="D828" i="51" s="1"/>
  <c r="C42" i="34" s="1"/>
  <c r="D432" i="51"/>
  <c r="D81" i="51"/>
  <c r="D91" i="51" s="1"/>
  <c r="C10" i="34" s="1"/>
  <c r="C13" i="34"/>
  <c r="E1297" i="44"/>
  <c r="E1302" i="44"/>
  <c r="C1292" i="44"/>
  <c r="C1287" i="44"/>
  <c r="C1281" i="44"/>
  <c r="C1297" i="44"/>
  <c r="C1302" i="44"/>
  <c r="C789" i="44"/>
  <c r="C782" i="44"/>
  <c r="E328" i="44"/>
  <c r="E334" i="44"/>
  <c r="E340" i="44"/>
  <c r="E359" i="44"/>
  <c r="D328" i="44"/>
  <c r="D334" i="44"/>
  <c r="D340" i="44"/>
  <c r="C328" i="44"/>
  <c r="C334" i="44"/>
  <c r="C340" i="44"/>
  <c r="C359" i="44"/>
  <c r="C1572" i="44"/>
  <c r="C1567" i="44"/>
  <c r="C1561" i="44"/>
  <c r="C1576" i="44"/>
  <c r="C667" i="44"/>
  <c r="C662" i="44"/>
  <c r="C656" i="44"/>
  <c r="C671" i="44"/>
  <c r="C2536" i="44"/>
  <c r="C2531" i="44"/>
  <c r="C2525" i="44"/>
  <c r="C2540" i="44"/>
  <c r="C551" i="44"/>
  <c r="C546" i="44"/>
  <c r="C540" i="44"/>
  <c r="C555" i="44"/>
  <c r="C382" i="44"/>
  <c r="C377" i="44"/>
  <c r="C371" i="44"/>
  <c r="C386" i="44"/>
  <c r="C1355" i="44"/>
  <c r="C1350" i="44"/>
  <c r="C1344" i="44"/>
  <c r="C1361" i="44"/>
  <c r="C1883" i="44"/>
  <c r="C1878" i="44"/>
  <c r="C1872" i="44"/>
  <c r="C1896" i="44"/>
  <c r="C140" i="44"/>
  <c r="C135" i="44"/>
  <c r="C129" i="44"/>
  <c r="C144" i="44"/>
  <c r="C2650" i="44"/>
  <c r="C2645" i="44"/>
  <c r="C2639" i="44"/>
  <c r="C2654" i="44"/>
  <c r="C2672" i="44"/>
  <c r="C2666" i="44"/>
  <c r="C2683" i="44"/>
  <c r="C2621" i="44"/>
  <c r="C2616" i="44"/>
  <c r="C2610" i="44"/>
  <c r="C2560" i="44"/>
  <c r="C2555" i="44"/>
  <c r="C2549" i="44"/>
  <c r="C2570" i="44"/>
  <c r="C2127" i="44"/>
  <c r="C2114" i="44"/>
  <c r="C2109" i="44"/>
  <c r="C2103" i="44"/>
  <c r="C2008" i="44"/>
  <c r="C2002" i="44"/>
  <c r="C1996" i="44"/>
  <c r="C2013" i="44"/>
  <c r="C1931" i="44"/>
  <c r="C1918" i="44"/>
  <c r="C1913" i="44"/>
  <c r="C1907" i="44"/>
  <c r="C1858" i="44"/>
  <c r="C1853" i="44"/>
  <c r="C1847" i="44"/>
  <c r="C1862" i="44"/>
  <c r="C1829" i="44"/>
  <c r="C1824" i="44"/>
  <c r="C1818" i="44"/>
  <c r="C1835" i="44"/>
  <c r="C1800" i="44"/>
  <c r="C1795" i="44"/>
  <c r="C1789" i="44"/>
  <c r="C1806" i="44"/>
  <c r="C1688" i="44"/>
  <c r="C1683" i="44"/>
  <c r="C1677" i="44"/>
  <c r="C1693" i="44"/>
  <c r="C1661" i="44"/>
  <c r="C1655" i="44"/>
  <c r="C1649" i="44"/>
  <c r="C1665" i="44"/>
  <c r="C1631" i="44"/>
  <c r="C1625" i="44"/>
  <c r="C1619" i="44"/>
  <c r="C1637" i="44"/>
  <c r="C1600" i="44"/>
  <c r="C1595" i="44"/>
  <c r="C1589" i="44"/>
  <c r="C1607" i="44"/>
  <c r="C1154" i="44"/>
  <c r="C1143" i="44"/>
  <c r="C1162" i="44"/>
  <c r="C1523" i="44"/>
  <c r="C1186" i="44"/>
  <c r="C1181" i="44"/>
  <c r="C1175" i="44"/>
  <c r="C1437" i="44"/>
  <c r="C1432" i="44"/>
  <c r="C1426" i="44"/>
  <c r="C1443" i="44"/>
  <c r="C1410" i="44"/>
  <c r="C1405" i="44"/>
  <c r="C1399" i="44"/>
  <c r="C1416" i="44"/>
  <c r="C1270" i="44"/>
  <c r="C1271" i="44" s="1"/>
  <c r="C1239" i="44"/>
  <c r="C1234" i="44"/>
  <c r="C1228" i="44"/>
  <c r="C1127" i="44"/>
  <c r="C1122" i="44"/>
  <c r="C1116" i="44"/>
  <c r="C1056" i="44"/>
  <c r="C983" i="44"/>
  <c r="C978" i="44"/>
  <c r="C972" i="44"/>
  <c r="C989" i="44"/>
  <c r="C956" i="44"/>
  <c r="C950" i="44"/>
  <c r="C944" i="44"/>
  <c r="C960" i="44"/>
  <c r="C870" i="44"/>
  <c r="C864" i="44"/>
  <c r="C858" i="44"/>
  <c r="C880" i="44"/>
  <c r="C847" i="44"/>
  <c r="C842" i="44"/>
  <c r="C836" i="44"/>
  <c r="C830" i="44"/>
  <c r="C752" i="44"/>
  <c r="C747" i="44"/>
  <c r="C741" i="44"/>
  <c r="C759" i="44"/>
  <c r="C729" i="44"/>
  <c r="C724" i="44"/>
  <c r="C719" i="44"/>
  <c r="C713" i="44"/>
  <c r="C605" i="44"/>
  <c r="C600" i="44"/>
  <c r="C594" i="44"/>
  <c r="C611" i="44"/>
  <c r="C578" i="44"/>
  <c r="C573" i="44"/>
  <c r="C567" i="44"/>
  <c r="C582" i="44"/>
  <c r="C397" i="44"/>
  <c r="C403" i="44"/>
  <c r="C408" i="44"/>
  <c r="C420" i="44"/>
  <c r="C312" i="44"/>
  <c r="C307" i="44"/>
  <c r="C301" i="44"/>
  <c r="C82" i="44"/>
  <c r="C83" i="44" s="1"/>
  <c r="C90" i="44"/>
  <c r="C284" i="44"/>
  <c r="C285" i="44" s="1"/>
  <c r="C199" i="44"/>
  <c r="C200" i="44" s="1"/>
  <c r="C210" i="44" s="1"/>
  <c r="C812" i="44"/>
  <c r="C807" i="44"/>
  <c r="C801" i="44"/>
  <c r="C818" i="44"/>
  <c r="C177" i="44"/>
  <c r="C178" i="44" s="1"/>
  <c r="C155" i="44"/>
  <c r="C113" i="44"/>
  <c r="C114" i="44" s="1"/>
  <c r="C117" i="44"/>
  <c r="C40" i="44"/>
  <c r="D1576" i="44"/>
  <c r="D667" i="44"/>
  <c r="D662" i="44"/>
  <c r="D656" i="44"/>
  <c r="D671" i="44"/>
  <c r="D2540" i="44"/>
  <c r="C2269" i="9" s="1"/>
  <c r="D551" i="44"/>
  <c r="D546" i="44"/>
  <c r="D540" i="44"/>
  <c r="D555" i="44"/>
  <c r="D382" i="44"/>
  <c r="D377" i="44"/>
  <c r="D371" i="44"/>
  <c r="D386" i="44"/>
  <c r="D1361" i="44"/>
  <c r="C1205" i="9" s="1"/>
  <c r="D1896" i="44"/>
  <c r="C1697" i="9" s="1"/>
  <c r="D140" i="44"/>
  <c r="D135" i="44"/>
  <c r="D129" i="44"/>
  <c r="D144" i="44"/>
  <c r="C116" i="9" s="1"/>
  <c r="D2650" i="44"/>
  <c r="D2645" i="44"/>
  <c r="D2639" i="44"/>
  <c r="D2654" i="44"/>
  <c r="C2373" i="9" s="1"/>
  <c r="D2672" i="44"/>
  <c r="D2666" i="44"/>
  <c r="D2683" i="44"/>
  <c r="C2399" i="9" s="1"/>
  <c r="D2621" i="44"/>
  <c r="D2616" i="44"/>
  <c r="D2610" i="44"/>
  <c r="D2627" i="44"/>
  <c r="C2347" i="9" s="1"/>
  <c r="D2560" i="44"/>
  <c r="D2555" i="44"/>
  <c r="D2549" i="44"/>
  <c r="D2570" i="44"/>
  <c r="C2295" i="9" s="1"/>
  <c r="D2127" i="44"/>
  <c r="C1905" i="9" s="1"/>
  <c r="D1931" i="44"/>
  <c r="C1723" i="9" s="1"/>
  <c r="D1858" i="44"/>
  <c r="D1853" i="44"/>
  <c r="D1847" i="44"/>
  <c r="D1862" i="44"/>
  <c r="C1671" i="9" s="1"/>
  <c r="D1829" i="44"/>
  <c r="D1824" i="44"/>
  <c r="D1818" i="44"/>
  <c r="D1835" i="44"/>
  <c r="C1645" i="9" s="1"/>
  <c r="D1800" i="44"/>
  <c r="D1795" i="44"/>
  <c r="D1789" i="44"/>
  <c r="D1806" i="44"/>
  <c r="C1619" i="9" s="1"/>
  <c r="D1688" i="44"/>
  <c r="D1683" i="44"/>
  <c r="D1677" i="44"/>
  <c r="D1661" i="44"/>
  <c r="D1655" i="44"/>
  <c r="D1649" i="44"/>
  <c r="D1665" i="44"/>
  <c r="C1489" i="9" s="1"/>
  <c r="D1600" i="44"/>
  <c r="D1595" i="44"/>
  <c r="D1589" i="44"/>
  <c r="D1607" i="44"/>
  <c r="C1437" i="9" s="1"/>
  <c r="D1154" i="44"/>
  <c r="D1149" i="44"/>
  <c r="D1143" i="44"/>
  <c r="D1162" i="44"/>
  <c r="C1023" i="9" s="1"/>
  <c r="D1523" i="44"/>
  <c r="C1359" i="9" s="1"/>
  <c r="D1190" i="44"/>
  <c r="C1049" i="9" s="1"/>
  <c r="D1186" i="44"/>
  <c r="D1181" i="44"/>
  <c r="D1175" i="44"/>
  <c r="D1443" i="44"/>
  <c r="C1281" i="9" s="1"/>
  <c r="D1410" i="44"/>
  <c r="D1405" i="44"/>
  <c r="D1399" i="44"/>
  <c r="D1416" i="44"/>
  <c r="C1255" i="9" s="1"/>
  <c r="D1292" i="44"/>
  <c r="D1287" i="44"/>
  <c r="D1281" i="44"/>
  <c r="D1302" i="44"/>
  <c r="C1153" i="9" s="1"/>
  <c r="D1266" i="44"/>
  <c r="D1261" i="44"/>
  <c r="D1255" i="44"/>
  <c r="D1270" i="44"/>
  <c r="C1127" i="9" s="1"/>
  <c r="D1239" i="44"/>
  <c r="D1240" i="44" s="1"/>
  <c r="C1098" i="9" s="1"/>
  <c r="D1243" i="44"/>
  <c r="C1101" i="9" s="1"/>
  <c r="D1127" i="44"/>
  <c r="D1128" i="44" s="1"/>
  <c r="C994" i="9" s="1"/>
  <c r="D1131" i="44"/>
  <c r="C997" i="9" s="1"/>
  <c r="D1018" i="44"/>
  <c r="C893" i="9" s="1"/>
  <c r="D983" i="44"/>
  <c r="D978" i="44"/>
  <c r="D972" i="44"/>
  <c r="D989" i="44"/>
  <c r="C867" i="9" s="1"/>
  <c r="D956" i="44"/>
  <c r="D950" i="44"/>
  <c r="D944" i="44"/>
  <c r="D960" i="44"/>
  <c r="C841" i="9" s="1"/>
  <c r="D870" i="44"/>
  <c r="D864" i="44"/>
  <c r="D858" i="44"/>
  <c r="D842" i="44"/>
  <c r="D836" i="44"/>
  <c r="D830" i="44"/>
  <c r="D847" i="44"/>
  <c r="D752" i="44"/>
  <c r="D747" i="44"/>
  <c r="D741" i="44"/>
  <c r="D759" i="44"/>
  <c r="D729" i="44"/>
  <c r="D724" i="44"/>
  <c r="D719" i="44"/>
  <c r="D713" i="44"/>
  <c r="D605" i="44"/>
  <c r="D600" i="44"/>
  <c r="D594" i="44"/>
  <c r="D611" i="44"/>
  <c r="D578" i="44"/>
  <c r="D573" i="44"/>
  <c r="D567" i="44"/>
  <c r="D582" i="44"/>
  <c r="D397" i="44"/>
  <c r="D403" i="44"/>
  <c r="D408" i="44"/>
  <c r="D420" i="44"/>
  <c r="D312" i="44"/>
  <c r="D307" i="44"/>
  <c r="D301" i="44"/>
  <c r="D316" i="44"/>
  <c r="D82" i="44"/>
  <c r="D77" i="44"/>
  <c r="D71" i="44"/>
  <c r="D90" i="44"/>
  <c r="C64" i="9" s="1"/>
  <c r="D284" i="44"/>
  <c r="D285" i="44" s="1"/>
  <c r="D288" i="44"/>
  <c r="D209" i="44"/>
  <c r="C167" i="9" s="1"/>
  <c r="D812" i="44"/>
  <c r="D807" i="44"/>
  <c r="D801" i="44"/>
  <c r="D177" i="44"/>
  <c r="C142" i="9" s="1"/>
  <c r="D155" i="44"/>
  <c r="D161" i="44"/>
  <c r="D166" i="44"/>
  <c r="D113" i="44"/>
  <c r="D108" i="44"/>
  <c r="D102" i="44"/>
  <c r="D117" i="44"/>
  <c r="C90" i="9" s="1"/>
  <c r="C104" i="9" s="1"/>
  <c r="D51" i="44"/>
  <c r="D46" i="44"/>
  <c r="D40" i="44"/>
  <c r="D59" i="44"/>
  <c r="C38" i="9" s="1"/>
  <c r="D21" i="44"/>
  <c r="D29" i="44"/>
  <c r="C12" i="9" s="1"/>
  <c r="D1572" i="44"/>
  <c r="D1567" i="44"/>
  <c r="D1561" i="44"/>
  <c r="D1355" i="44"/>
  <c r="D1350" i="44"/>
  <c r="D1344" i="44"/>
  <c r="D1056" i="44"/>
  <c r="H20" i="18"/>
  <c r="H21" i="18"/>
  <c r="H22" i="18"/>
  <c r="E449" i="51"/>
  <c r="C493" i="43"/>
  <c r="E1669" i="51"/>
  <c r="E1283" i="51"/>
  <c r="D46" i="34"/>
  <c r="C118" i="43"/>
  <c r="C113" i="43"/>
  <c r="C115" i="43"/>
  <c r="D2306" i="43"/>
  <c r="D2304" i="43"/>
  <c r="D2300" i="43"/>
  <c r="D2298" i="43"/>
  <c r="D2296" i="43"/>
  <c r="D2293" i="43"/>
  <c r="D2238" i="43"/>
  <c r="D2240" i="43"/>
  <c r="D2235" i="43"/>
  <c r="D2233" i="43"/>
  <c r="D2231" i="43"/>
  <c r="C1175" i="43"/>
  <c r="C1178" i="43"/>
  <c r="D1180" i="43"/>
  <c r="C1180" i="43"/>
  <c r="C1173" i="43"/>
  <c r="C1582" i="43"/>
  <c r="D1582" i="43"/>
  <c r="C1584" i="43"/>
  <c r="D1584" i="43"/>
  <c r="D1588" i="43"/>
  <c r="D1579" i="43"/>
  <c r="C1579" i="43"/>
  <c r="D1559" i="43"/>
  <c r="D1563" i="43"/>
  <c r="D1557" i="43"/>
  <c r="D1565" i="43"/>
  <c r="C1565" i="43"/>
  <c r="C1559" i="43"/>
  <c r="C1557" i="43"/>
  <c r="C1555" i="43"/>
  <c r="D2212" i="43"/>
  <c r="D2210" i="43"/>
  <c r="D2206" i="43"/>
  <c r="D2203" i="43"/>
  <c r="D2201" i="43"/>
  <c r="D2197" i="43"/>
  <c r="C1465" i="43"/>
  <c r="C1462" i="43"/>
  <c r="C1459" i="43"/>
  <c r="C1455" i="43"/>
  <c r="C1450" i="43"/>
  <c r="D1419" i="43"/>
  <c r="D1424" i="43"/>
  <c r="D1428" i="43"/>
  <c r="D1431" i="43"/>
  <c r="C1434" i="43"/>
  <c r="D1434" i="43"/>
  <c r="D1417" i="43"/>
  <c r="D1414" i="43"/>
  <c r="C1378" i="43"/>
  <c r="C1375" i="43"/>
  <c r="C1372" i="43"/>
  <c r="C1368" i="43"/>
  <c r="C1365" i="43"/>
  <c r="C1362" i="43"/>
  <c r="D1080" i="43"/>
  <c r="D1077" i="43"/>
  <c r="D1074" i="43"/>
  <c r="D1072" i="43"/>
  <c r="D1067" i="43"/>
  <c r="C1039" i="43"/>
  <c r="D1039" i="43"/>
  <c r="D1042" i="43"/>
  <c r="D1045" i="43"/>
  <c r="D1050" i="43"/>
  <c r="D1047" i="43"/>
  <c r="C1047" i="43"/>
  <c r="C1045" i="43"/>
  <c r="C958" i="43"/>
  <c r="D951" i="43"/>
  <c r="D953" i="43"/>
  <c r="D958" i="43"/>
  <c r="D942" i="43"/>
  <c r="D938" i="43"/>
  <c r="D756" i="43"/>
  <c r="D754" i="43"/>
  <c r="C748" i="43"/>
  <c r="D748" i="43"/>
  <c r="D750" i="43"/>
  <c r="D758" i="43"/>
  <c r="D761" i="43"/>
  <c r="C618" i="43"/>
  <c r="D618" i="43"/>
  <c r="C611" i="43"/>
  <c r="D611" i="43"/>
  <c r="C608" i="43"/>
  <c r="D608" i="43"/>
  <c r="C560" i="43"/>
  <c r="C564" i="43"/>
  <c r="C554" i="43"/>
  <c r="C542" i="43"/>
  <c r="C540" i="43"/>
  <c r="C544" i="43"/>
  <c r="C546" i="43"/>
  <c r="C532" i="43"/>
  <c r="C529" i="43"/>
  <c r="C496" i="43"/>
  <c r="C490" i="43"/>
  <c r="C488" i="43"/>
  <c r="C278" i="43"/>
  <c r="C280" i="43"/>
  <c r="C289" i="43"/>
  <c r="D289" i="43"/>
  <c r="C287" i="43"/>
  <c r="C285" i="43"/>
  <c r="D275" i="43"/>
  <c r="C275" i="43"/>
  <c r="C188" i="43"/>
  <c r="D24" i="43"/>
  <c r="E63" i="51"/>
  <c r="D8" i="34" s="1"/>
  <c r="E1678" i="51"/>
  <c r="E1675" i="51"/>
  <c r="E1650" i="51"/>
  <c r="E1643" i="51"/>
  <c r="E800" i="51"/>
  <c r="E803" i="51" s="1"/>
  <c r="E825" i="51"/>
  <c r="E828" i="51" s="1"/>
  <c r="D42" i="34" s="1"/>
  <c r="E432" i="51"/>
  <c r="E436" i="51" s="1"/>
  <c r="D26" i="34" s="1"/>
  <c r="D13" i="34"/>
  <c r="E1576" i="44"/>
  <c r="F1572" i="44"/>
  <c r="E1572" i="44"/>
  <c r="F1567" i="44"/>
  <c r="E1567" i="44"/>
  <c r="E1561" i="44"/>
  <c r="F1561" i="44"/>
  <c r="E671" i="44"/>
  <c r="E667" i="44"/>
  <c r="E662" i="44"/>
  <c r="E656" i="44"/>
  <c r="E555" i="44"/>
  <c r="E551" i="44"/>
  <c r="E546" i="44"/>
  <c r="E540" i="44"/>
  <c r="E386" i="44"/>
  <c r="E382" i="44"/>
  <c r="E377" i="44"/>
  <c r="E371" i="44"/>
  <c r="E1361" i="44"/>
  <c r="F1355" i="44"/>
  <c r="E1355" i="44"/>
  <c r="E1350" i="44"/>
  <c r="E1344" i="44"/>
  <c r="F1350" i="44"/>
  <c r="F1344" i="44"/>
  <c r="E144" i="44"/>
  <c r="E140" i="44"/>
  <c r="E135" i="44"/>
  <c r="E129" i="44"/>
  <c r="E2654" i="44"/>
  <c r="E2650" i="44"/>
  <c r="E2645" i="44"/>
  <c r="E2639" i="44"/>
  <c r="E2683" i="44"/>
  <c r="E2678" i="44"/>
  <c r="E2621" i="44"/>
  <c r="E2616" i="44"/>
  <c r="E2610" i="44"/>
  <c r="E2570" i="44"/>
  <c r="E2560" i="44"/>
  <c r="E2555" i="44"/>
  <c r="E2549" i="44"/>
  <c r="E2127" i="44"/>
  <c r="E2114" i="44"/>
  <c r="E2109" i="44"/>
  <c r="E2103" i="44"/>
  <c r="E2013" i="44"/>
  <c r="E2008" i="44"/>
  <c r="E2002" i="44"/>
  <c r="E1996" i="44"/>
  <c r="E1862" i="44"/>
  <c r="E1858" i="44"/>
  <c r="E1806" i="44"/>
  <c r="E1800" i="44"/>
  <c r="E1795" i="44"/>
  <c r="E1186" i="44"/>
  <c r="E1181" i="44"/>
  <c r="E1175" i="44"/>
  <c r="E1270" i="44"/>
  <c r="E1266" i="44"/>
  <c r="E1261" i="44"/>
  <c r="E1255" i="44"/>
  <c r="E1239" i="44"/>
  <c r="E1234" i="44"/>
  <c r="E1228" i="44"/>
  <c r="E1127" i="44"/>
  <c r="E1122" i="44"/>
  <c r="E1116" i="44"/>
  <c r="E989" i="44"/>
  <c r="E983" i="44"/>
  <c r="E960" i="44"/>
  <c r="E956" i="44"/>
  <c r="E950" i="44"/>
  <c r="E944" i="44"/>
  <c r="E880" i="44"/>
  <c r="E870" i="44"/>
  <c r="E864" i="44"/>
  <c r="E858" i="44"/>
  <c r="E847" i="44"/>
  <c r="E848" i="44" s="1"/>
  <c r="E759" i="44"/>
  <c r="E752" i="44"/>
  <c r="E753" i="44" s="1"/>
  <c r="E582" i="44"/>
  <c r="E578" i="44"/>
  <c r="E573" i="44"/>
  <c r="E567" i="44"/>
  <c r="E284" i="44"/>
  <c r="E285" i="44" s="1"/>
  <c r="E199" i="44"/>
  <c r="E200" i="44" s="1"/>
  <c r="E210" i="44" s="1"/>
  <c r="E177" i="44"/>
  <c r="E117" i="44"/>
  <c r="D43" i="18"/>
  <c r="D44" i="18" s="1"/>
  <c r="C36" i="47"/>
  <c r="F1730" i="44"/>
  <c r="F1741" i="44"/>
  <c r="F1736" i="44"/>
  <c r="D1201" i="43"/>
  <c r="C458" i="43"/>
  <c r="C377" i="43" l="1"/>
  <c r="E377" i="43"/>
  <c r="D2092" i="43"/>
  <c r="E2092" i="43"/>
  <c r="E99" i="41" s="1"/>
  <c r="C2092" i="43"/>
  <c r="E1974" i="43"/>
  <c r="D377" i="43"/>
  <c r="C99" i="43"/>
  <c r="D99" i="43"/>
  <c r="E99" i="43"/>
  <c r="E1821" i="43"/>
  <c r="F2159" i="51"/>
  <c r="E94" i="34" s="1"/>
  <c r="D2025" i="43"/>
  <c r="F1946" i="51"/>
  <c r="F1953" i="51" s="1"/>
  <c r="E84" i="34" s="1"/>
  <c r="D30" i="34"/>
  <c r="F18" i="34"/>
  <c r="G18" i="34" s="1"/>
  <c r="F8" i="34"/>
  <c r="G8" i="34" s="1"/>
  <c r="H8" i="34" s="1"/>
  <c r="G68" i="41"/>
  <c r="G34" i="41"/>
  <c r="G67" i="41"/>
  <c r="F13" i="34"/>
  <c r="G13" i="34" s="1"/>
  <c r="G97" i="41"/>
  <c r="F9" i="34"/>
  <c r="G9" i="34" s="1"/>
  <c r="H9" i="34" s="1"/>
  <c r="C30" i="34"/>
  <c r="E30" i="34"/>
  <c r="F1583" i="51"/>
  <c r="E1583" i="51"/>
  <c r="D1583" i="51"/>
  <c r="E1479" i="51"/>
  <c r="D70" i="34" s="1"/>
  <c r="E1641" i="43"/>
  <c r="D29" i="41"/>
  <c r="E1270" i="51"/>
  <c r="E1168" i="51"/>
  <c r="D57" i="34" s="1"/>
  <c r="D1168" i="51"/>
  <c r="F1168" i="51"/>
  <c r="E57" i="34" s="1"/>
  <c r="F912" i="51"/>
  <c r="E45" i="34" s="1"/>
  <c r="E912" i="51"/>
  <c r="D45" i="34" s="1"/>
  <c r="D617" i="51"/>
  <c r="C31" i="34" s="1"/>
  <c r="E617" i="51"/>
  <c r="D31" i="34" s="1"/>
  <c r="D193" i="51"/>
  <c r="E193" i="51"/>
  <c r="D14" i="34" s="1"/>
  <c r="E111" i="51"/>
  <c r="D11" i="34" s="1"/>
  <c r="D111" i="51"/>
  <c r="C11" i="34" s="1"/>
  <c r="F111" i="51"/>
  <c r="E11" i="34" s="1"/>
  <c r="F91" i="51"/>
  <c r="E10" i="34" s="1"/>
  <c r="E1818" i="43"/>
  <c r="E1824" i="43"/>
  <c r="E2025" i="43"/>
  <c r="D436" i="51"/>
  <c r="C26" i="34" s="1"/>
  <c r="E887" i="43"/>
  <c r="E1666" i="43"/>
  <c r="C1666" i="43"/>
  <c r="C1292" i="43"/>
  <c r="D1292" i="43"/>
  <c r="E1292" i="43"/>
  <c r="E64" i="41" s="1"/>
  <c r="E1060" i="43"/>
  <c r="E55" i="41" s="1"/>
  <c r="D1060" i="43"/>
  <c r="C418" i="43"/>
  <c r="C902" i="43"/>
  <c r="D902" i="43"/>
  <c r="D907" i="43" s="1"/>
  <c r="D931" i="43" s="1"/>
  <c r="E438" i="43"/>
  <c r="E23" i="41" s="1"/>
  <c r="C438" i="43"/>
  <c r="D438" i="43"/>
  <c r="D418" i="43"/>
  <c r="E418" i="43"/>
  <c r="E22" i="41" s="1"/>
  <c r="C49" i="34"/>
  <c r="D49" i="34"/>
  <c r="E23" i="34"/>
  <c r="D110" i="41"/>
  <c r="D2373" i="9"/>
  <c r="D81" i="41"/>
  <c r="D1619" i="9"/>
  <c r="C79" i="41"/>
  <c r="D1564" i="9"/>
  <c r="D109" i="41"/>
  <c r="D2347" i="9"/>
  <c r="D84" i="41"/>
  <c r="D1697" i="9"/>
  <c r="D79" i="41"/>
  <c r="D1567" i="9"/>
  <c r="D72" i="41"/>
  <c r="D1437" i="9"/>
  <c r="D106" i="41"/>
  <c r="D2269" i="9"/>
  <c r="D74" i="41"/>
  <c r="D1489" i="9"/>
  <c r="C1411" i="9"/>
  <c r="D1578" i="44"/>
  <c r="D91" i="41"/>
  <c r="D1879" i="9"/>
  <c r="C1115" i="9"/>
  <c r="D68" i="41"/>
  <c r="D1411" i="9"/>
  <c r="D66" i="41"/>
  <c r="D1359" i="9"/>
  <c r="D56" i="41"/>
  <c r="D1127" i="9"/>
  <c r="D61" i="41"/>
  <c r="D1255" i="9"/>
  <c r="D55" i="41"/>
  <c r="D1101" i="9"/>
  <c r="D1115" i="9" s="1"/>
  <c r="D59" i="41"/>
  <c r="D1205" i="9"/>
  <c r="D62" i="41"/>
  <c r="D1281" i="9"/>
  <c r="D57" i="41"/>
  <c r="D1153" i="9"/>
  <c r="C57" i="41"/>
  <c r="D1150" i="9"/>
  <c r="D51" i="41"/>
  <c r="D997" i="9"/>
  <c r="C1011" i="9"/>
  <c r="D54" i="41"/>
  <c r="D1049" i="9"/>
  <c r="C51" i="41"/>
  <c r="D994" i="9"/>
  <c r="D52" i="41"/>
  <c r="D1023" i="9"/>
  <c r="D35" i="41"/>
  <c r="D711" i="9"/>
  <c r="D20" i="41"/>
  <c r="D323" i="9"/>
  <c r="D34" i="41"/>
  <c r="D685" i="9"/>
  <c r="D30" i="41"/>
  <c r="D581" i="9"/>
  <c r="D18" i="41"/>
  <c r="D271" i="9"/>
  <c r="D46" i="41"/>
  <c r="D919" i="9"/>
  <c r="D39" i="41"/>
  <c r="D763" i="9"/>
  <c r="D33" i="41"/>
  <c r="D659" i="9"/>
  <c r="D673" i="9" s="1"/>
  <c r="D27" i="41"/>
  <c r="D503" i="9"/>
  <c r="D17" i="41"/>
  <c r="D245" i="9"/>
  <c r="D259" i="9" s="1"/>
  <c r="D43" i="41"/>
  <c r="D867" i="9"/>
  <c r="D31" i="41"/>
  <c r="D607" i="9"/>
  <c r="D49" i="41"/>
  <c r="D945" i="9"/>
  <c r="D42" i="41"/>
  <c r="D841" i="9"/>
  <c r="D28" i="41"/>
  <c r="D528" i="9"/>
  <c r="D1077" i="44"/>
  <c r="C945" i="9"/>
  <c r="C959" i="9" s="1"/>
  <c r="D44" i="41"/>
  <c r="D893" i="9"/>
  <c r="D36" i="41"/>
  <c r="D737" i="9"/>
  <c r="D751" i="9" s="1"/>
  <c r="D32" i="41"/>
  <c r="D633" i="9"/>
  <c r="D26" i="41"/>
  <c r="D478" i="9"/>
  <c r="D14" i="41"/>
  <c r="D167" i="9"/>
  <c r="D12" i="41"/>
  <c r="D142" i="9"/>
  <c r="D7" i="41"/>
  <c r="D38" i="9"/>
  <c r="D9" i="41"/>
  <c r="D90" i="9"/>
  <c r="D104" i="9" s="1"/>
  <c r="D98" i="41"/>
  <c r="D2061" i="9"/>
  <c r="D10" i="41"/>
  <c r="D116" i="9"/>
  <c r="C8" i="41"/>
  <c r="D61" i="9"/>
  <c r="D8" i="41"/>
  <c r="D64" i="9"/>
  <c r="D6" i="41"/>
  <c r="D12" i="9"/>
  <c r="F2165" i="44"/>
  <c r="F2173" i="44" s="1"/>
  <c r="D2006" i="9" s="1"/>
  <c r="D2023" i="9" s="1"/>
  <c r="D30" i="47"/>
  <c r="F5" i="18"/>
  <c r="G5" i="18" s="1"/>
  <c r="C74" i="43"/>
  <c r="F80" i="34"/>
  <c r="G80" i="34" s="1"/>
  <c r="D7" i="47"/>
  <c r="F68" i="65"/>
  <c r="E2037" i="43"/>
  <c r="E2040" i="43" s="1"/>
  <c r="E103" i="41" s="1"/>
  <c r="D126" i="51"/>
  <c r="C12" i="34" s="1"/>
  <c r="F126" i="51"/>
  <c r="G15" i="41" s="1"/>
  <c r="C65" i="34"/>
  <c r="F35" i="65"/>
  <c r="F848" i="66"/>
  <c r="E46" i="34"/>
  <c r="F22" i="65"/>
  <c r="E36" i="34"/>
  <c r="F1717" i="44"/>
  <c r="F1720" i="44" s="1"/>
  <c r="D90" i="34"/>
  <c r="C1746" i="43"/>
  <c r="E3" i="65"/>
  <c r="G10" i="41"/>
  <c r="D14" i="18"/>
  <c r="D17" i="18" s="1"/>
  <c r="D18" i="18" s="1"/>
  <c r="E7" i="34"/>
  <c r="D1671" i="9"/>
  <c r="D83" i="41"/>
  <c r="C32" i="34"/>
  <c r="C1160" i="43"/>
  <c r="D2399" i="9"/>
  <c r="D2413" i="9" s="1"/>
  <c r="D1749" i="9"/>
  <c r="D1723" i="9"/>
  <c r="D1905" i="9"/>
  <c r="D1645" i="9"/>
  <c r="D2295" i="9"/>
  <c r="D53" i="51"/>
  <c r="C7" i="34" s="1"/>
  <c r="D51" i="34"/>
  <c r="F52" i="34"/>
  <c r="G52" i="34" s="1"/>
  <c r="H52" i="34" s="1"/>
  <c r="D1897" i="51"/>
  <c r="E53" i="51"/>
  <c r="D7" i="34" s="1"/>
  <c r="D43" i="34"/>
  <c r="C16" i="34"/>
  <c r="D68" i="34"/>
  <c r="C51" i="34"/>
  <c r="D1289" i="51"/>
  <c r="C61" i="34" s="1"/>
  <c r="D69" i="34"/>
  <c r="E1289" i="51"/>
  <c r="D61" i="34" s="1"/>
  <c r="D75" i="34"/>
  <c r="E1897" i="51"/>
  <c r="D64" i="34"/>
  <c r="C17" i="34"/>
  <c r="C43" i="34"/>
  <c r="D16" i="34"/>
  <c r="D1811" i="43"/>
  <c r="C2242" i="43"/>
  <c r="C2245" i="43" s="1"/>
  <c r="C1353" i="43"/>
  <c r="C2265" i="43"/>
  <c r="D2040" i="43"/>
  <c r="C1527" i="43"/>
  <c r="C57" i="34"/>
  <c r="F1897" i="51"/>
  <c r="E88" i="34" s="1"/>
  <c r="D488" i="51"/>
  <c r="D65" i="34"/>
  <c r="G109" i="41"/>
  <c r="F92" i="34"/>
  <c r="G92" i="34" s="1"/>
  <c r="H92" i="34" s="1"/>
  <c r="G51" i="41"/>
  <c r="F38" i="34"/>
  <c r="G38" i="34" s="1"/>
  <c r="H38" i="34" s="1"/>
  <c r="C34" i="34"/>
  <c r="C41" i="34"/>
  <c r="D23" i="34"/>
  <c r="D85" i="34"/>
  <c r="D17" i="34"/>
  <c r="E68" i="34"/>
  <c r="G11" i="41"/>
  <c r="D34" i="34"/>
  <c r="C45" i="34"/>
  <c r="C75" i="34"/>
  <c r="C73" i="34"/>
  <c r="C69" i="34"/>
  <c r="C68" i="34"/>
  <c r="D1116" i="43"/>
  <c r="C1724" i="43"/>
  <c r="D1999" i="43"/>
  <c r="D270" i="43"/>
  <c r="D595" i="43"/>
  <c r="C671" i="43"/>
  <c r="D2066" i="43"/>
  <c r="D1183" i="43"/>
  <c r="E202" i="43"/>
  <c r="D1541" i="9"/>
  <c r="D73" i="34"/>
  <c r="D87" i="34"/>
  <c r="D625" i="43"/>
  <c r="F65" i="41"/>
  <c r="D1515" i="9"/>
  <c r="G66" i="41"/>
  <c r="E40" i="34"/>
  <c r="F1289" i="51"/>
  <c r="E61" i="34" s="1"/>
  <c r="D1206" i="43"/>
  <c r="D21" i="34"/>
  <c r="C40" i="34"/>
  <c r="D15" i="34"/>
  <c r="D1160" i="43"/>
  <c r="C1811" i="43"/>
  <c r="D403" i="43"/>
  <c r="C482" i="43"/>
  <c r="C72" i="34"/>
  <c r="C70" i="34"/>
  <c r="C67" i="34"/>
  <c r="E41" i="34"/>
  <c r="E82" i="34"/>
  <c r="C1472" i="43"/>
  <c r="D1572" i="43"/>
  <c r="C1955" i="44"/>
  <c r="C1746" i="9" s="1"/>
  <c r="C1763" i="9" s="1"/>
  <c r="D67" i="34"/>
  <c r="F50" i="41"/>
  <c r="H50" i="41" s="1"/>
  <c r="F41" i="41"/>
  <c r="E44" i="34"/>
  <c r="E85" i="34"/>
  <c r="E75" i="34"/>
  <c r="E69" i="34"/>
  <c r="E65" i="34"/>
  <c r="F341" i="44"/>
  <c r="E90" i="34"/>
  <c r="F26" i="34"/>
  <c r="G26" i="34" s="1"/>
  <c r="H26" i="34" s="1"/>
  <c r="E1689" i="44"/>
  <c r="E1694" i="44" s="1"/>
  <c r="C2009" i="44"/>
  <c r="C2014" i="44" s="1"/>
  <c r="E470" i="44"/>
  <c r="E474" i="44" s="1"/>
  <c r="E813" i="44"/>
  <c r="E819" i="44" s="1"/>
  <c r="D634" i="44"/>
  <c r="D645" i="44" s="1"/>
  <c r="E2594" i="44"/>
  <c r="E2599" i="44" s="1"/>
  <c r="E497" i="44"/>
  <c r="E501" i="44" s="1"/>
  <c r="E2301" i="44"/>
  <c r="E2311" i="44" s="1"/>
  <c r="E2317" i="44" s="1"/>
  <c r="F1303" i="44"/>
  <c r="E1720" i="44"/>
  <c r="F22" i="44"/>
  <c r="D9" i="9" s="1"/>
  <c r="F552" i="44"/>
  <c r="C2222" i="44"/>
  <c r="C2226" i="44" s="1"/>
  <c r="C1928" i="9" s="1"/>
  <c r="C1945" i="9" s="1"/>
  <c r="E695" i="44"/>
  <c r="E698" i="44" s="1"/>
  <c r="E702" i="44" s="1"/>
  <c r="F848" i="44"/>
  <c r="C1632" i="44"/>
  <c r="C1638" i="44" s="1"/>
  <c r="C1830" i="44"/>
  <c r="C1836" i="44" s="1"/>
  <c r="C552" i="44"/>
  <c r="C556" i="44" s="1"/>
  <c r="D341" i="44"/>
  <c r="E341" i="44"/>
  <c r="E360" i="44" s="1"/>
  <c r="E313" i="44"/>
  <c r="C2037" i="44"/>
  <c r="E525" i="44"/>
  <c r="E529" i="44" s="1"/>
  <c r="C497" i="44"/>
  <c r="C501" i="44" s="1"/>
  <c r="D497" i="44"/>
  <c r="D501" i="44" s="1"/>
  <c r="E1774" i="44"/>
  <c r="E1778" i="44" s="1"/>
  <c r="E1155" i="44"/>
  <c r="C1214" i="44"/>
  <c r="C1217" i="44" s="1"/>
  <c r="E1013" i="44"/>
  <c r="E1019" i="44" s="1"/>
  <c r="D1013" i="44"/>
  <c r="C890" i="9" s="1"/>
  <c r="C907" i="9" s="1"/>
  <c r="E783" i="44"/>
  <c r="E790" i="44" s="1"/>
  <c r="D1884" i="44"/>
  <c r="D1891" i="44" s="1"/>
  <c r="D2009" i="44"/>
  <c r="E1662" i="44"/>
  <c r="E1666" i="44" s="1"/>
  <c r="D2301" i="44"/>
  <c r="E1518" i="44"/>
  <c r="E1524" i="44" s="1"/>
  <c r="D1518" i="44"/>
  <c r="C1547" i="44"/>
  <c r="C1550" i="44" s="1"/>
  <c r="D1547" i="44"/>
  <c r="D1550" i="44" s="1"/>
  <c r="E1547" i="44"/>
  <c r="E1550" i="44" s="1"/>
  <c r="E725" i="44"/>
  <c r="E730" i="44" s="1"/>
  <c r="E114" i="44"/>
  <c r="E118" i="44" s="1"/>
  <c r="E984" i="44"/>
  <c r="E990" i="44" s="1"/>
  <c r="D1958" i="44"/>
  <c r="F141" i="44"/>
  <c r="D113" i="9" s="1"/>
  <c r="D1919" i="44"/>
  <c r="D1926" i="44" s="1"/>
  <c r="C1720" i="9" s="1"/>
  <c r="C1737" i="9" s="1"/>
  <c r="F1267" i="44"/>
  <c r="D1124" i="9" s="1"/>
  <c r="D2249" i="44"/>
  <c r="D2253" i="44" s="1"/>
  <c r="E2537" i="44"/>
  <c r="E2541" i="44" s="1"/>
  <c r="D2537" i="44"/>
  <c r="C2301" i="44"/>
  <c r="C2311" i="44" s="1"/>
  <c r="C2317" i="44" s="1"/>
  <c r="C695" i="44"/>
  <c r="C698" i="44" s="1"/>
  <c r="C702" i="44" s="1"/>
  <c r="D1943" i="44"/>
  <c r="F1356" i="44"/>
  <c r="D1202" i="9" s="1"/>
  <c r="D1362" i="44"/>
  <c r="F1244" i="44"/>
  <c r="D2037" i="44"/>
  <c r="E634" i="44"/>
  <c r="E645" i="44" s="1"/>
  <c r="E1214" i="44"/>
  <c r="E1217" i="44" s="1"/>
  <c r="C1013" i="44"/>
  <c r="C1019" i="44" s="1"/>
  <c r="D2276" i="44"/>
  <c r="D2279" i="44" s="1"/>
  <c r="C2032" i="9" s="1"/>
  <c r="C2049" i="9" s="1"/>
  <c r="F2651" i="44"/>
  <c r="D2370" i="9" s="1"/>
  <c r="D2387" i="9" s="1"/>
  <c r="E2037" i="44"/>
  <c r="E2041" i="44" s="1"/>
  <c r="E167" i="44"/>
  <c r="E169" i="44" s="1"/>
  <c r="E178" i="44" s="1"/>
  <c r="D1214" i="44"/>
  <c r="D1217" i="44" s="1"/>
  <c r="C1072" i="9" s="1"/>
  <c r="C1089" i="9" s="1"/>
  <c r="E2173" i="44"/>
  <c r="C2276" i="44"/>
  <c r="C2279" i="44" s="1"/>
  <c r="E2276" i="44"/>
  <c r="E2279" i="44" s="1"/>
  <c r="F1751" i="44"/>
  <c r="C1155" i="44"/>
  <c r="C1163" i="44" s="1"/>
  <c r="D1949" i="44"/>
  <c r="E2165" i="44"/>
  <c r="E1128" i="44"/>
  <c r="E668" i="44"/>
  <c r="E672" i="44" s="1"/>
  <c r="E22" i="44"/>
  <c r="C470" i="44"/>
  <c r="C474" i="44" s="1"/>
  <c r="E606" i="44"/>
  <c r="E612" i="44" s="1"/>
  <c r="D167" i="44"/>
  <c r="D1303" i="44"/>
  <c r="D1859" i="44"/>
  <c r="C1240" i="44"/>
  <c r="C1601" i="44"/>
  <c r="C1608" i="44" s="1"/>
  <c r="C1717" i="44"/>
  <c r="C1720" i="44" s="1"/>
  <c r="E1411" i="44"/>
  <c r="E1417" i="44" s="1"/>
  <c r="D1954" i="44"/>
  <c r="E1955" i="44"/>
  <c r="E1959" i="44" s="1"/>
  <c r="F40" i="41"/>
  <c r="F1132" i="44"/>
  <c r="F1362" i="44"/>
  <c r="F289" i="44"/>
  <c r="E259" i="44"/>
  <c r="E262" i="44" s="1"/>
  <c r="D1632" i="44"/>
  <c r="C1460" i="9" s="1"/>
  <c r="C1477" i="9" s="1"/>
  <c r="C1518" i="44"/>
  <c r="C1524" i="44" s="1"/>
  <c r="D78" i="34"/>
  <c r="D2245" i="43"/>
  <c r="C606" i="44"/>
  <c r="C612" i="44" s="1"/>
  <c r="G56" i="41"/>
  <c r="F42" i="34"/>
  <c r="G42" i="34" s="1"/>
  <c r="H42" i="34" s="1"/>
  <c r="G110" i="41"/>
  <c r="E93" i="34"/>
  <c r="C23" i="34"/>
  <c r="D40" i="34"/>
  <c r="D72" i="34"/>
  <c r="F2622" i="44"/>
  <c r="F579" i="44"/>
  <c r="D500" i="9" s="1"/>
  <c r="D2651" i="44"/>
  <c r="C313" i="44"/>
  <c r="C984" i="44"/>
  <c r="C990" i="44" s="1"/>
  <c r="C1128" i="44"/>
  <c r="C87" i="34"/>
  <c r="D41" i="34"/>
  <c r="D753" i="44"/>
  <c r="D760" i="44" s="1"/>
  <c r="D843" i="44"/>
  <c r="D848" i="44" s="1"/>
  <c r="D984" i="44"/>
  <c r="C2651" i="44"/>
  <c r="C2655" i="44" s="1"/>
  <c r="E70" i="34"/>
  <c r="C78" i="34"/>
  <c r="F1601" i="44"/>
  <c r="F1604" i="44" s="1"/>
  <c r="D1434" i="9" s="1"/>
  <c r="D1451" i="9" s="1"/>
  <c r="E34" i="34"/>
  <c r="E87" i="34"/>
  <c r="E73" i="34"/>
  <c r="E67" i="34"/>
  <c r="E16" i="34"/>
  <c r="E14" i="34"/>
  <c r="F1742" i="44"/>
  <c r="E1267" i="44"/>
  <c r="E1271" i="44" s="1"/>
  <c r="E1859" i="44"/>
  <c r="E1863" i="44" s="1"/>
  <c r="C502" i="43"/>
  <c r="C573" i="43"/>
  <c r="D1445" i="43"/>
  <c r="D1596" i="43"/>
  <c r="D2309" i="43"/>
  <c r="D52" i="43"/>
  <c r="D461" i="43"/>
  <c r="D84" i="34"/>
  <c r="F2537" i="44"/>
  <c r="D2266" i="9" s="1"/>
  <c r="E32" i="34"/>
  <c r="E78" i="34"/>
  <c r="E72" i="34"/>
  <c r="E17" i="34"/>
  <c r="C1801" i="44"/>
  <c r="C1807" i="44" s="1"/>
  <c r="F91" i="44"/>
  <c r="F1830" i="44"/>
  <c r="D1642" i="9" s="1"/>
  <c r="F1547" i="44"/>
  <c r="F1550" i="44" s="1"/>
  <c r="D1382" i="9" s="1"/>
  <c r="E49" i="34"/>
  <c r="E43" i="34"/>
  <c r="E31" i="34"/>
  <c r="E15" i="34"/>
  <c r="D36" i="34"/>
  <c r="D22" i="65"/>
  <c r="D848" i="66"/>
  <c r="D850" i="66" s="1"/>
  <c r="C43" i="18"/>
  <c r="G24" i="41"/>
  <c r="F53" i="34"/>
  <c r="G53" i="34" s="1"/>
  <c r="H53" i="34" s="1"/>
  <c r="G18" i="41"/>
  <c r="E848" i="66"/>
  <c r="E850" i="66" s="1"/>
  <c r="E24" i="65"/>
  <c r="F32" i="65"/>
  <c r="E80" i="65"/>
  <c r="F14" i="18"/>
  <c r="G14" i="18" s="1"/>
  <c r="F9" i="18"/>
  <c r="G9" i="18" s="1"/>
  <c r="F12" i="18"/>
  <c r="G12" i="18" s="1"/>
  <c r="F8" i="18"/>
  <c r="G8" i="18" s="1"/>
  <c r="F11" i="18"/>
  <c r="G11" i="18" s="1"/>
  <c r="F7" i="18"/>
  <c r="G7" i="18" s="1"/>
  <c r="F41" i="18"/>
  <c r="G41" i="18" s="1"/>
  <c r="F10" i="18"/>
  <c r="G10" i="18" s="1"/>
  <c r="C15" i="47"/>
  <c r="C23" i="47" s="1"/>
  <c r="C31" i="47" s="1"/>
  <c r="C37" i="47" s="1"/>
  <c r="G40" i="18"/>
  <c r="H40" i="18" s="1"/>
  <c r="D80" i="65"/>
  <c r="E2009" i="44"/>
  <c r="E2014" i="44" s="1"/>
  <c r="C32" i="18"/>
  <c r="C11" i="15"/>
  <c r="C30" i="15" s="1"/>
  <c r="D3" i="65"/>
  <c r="F24" i="65"/>
  <c r="F4" i="65"/>
  <c r="D8" i="47"/>
  <c r="D28" i="43"/>
  <c r="C625" i="43"/>
  <c r="D25" i="65"/>
  <c r="D29" i="47"/>
  <c r="E42" i="18"/>
  <c r="C783" i="44"/>
  <c r="C790" i="44" s="1"/>
  <c r="D962" i="43"/>
  <c r="C1381" i="43"/>
  <c r="D2221" i="43"/>
  <c r="C1183" i="43"/>
  <c r="D549" i="43"/>
  <c r="D573" i="43"/>
  <c r="D691" i="43"/>
  <c r="C1206" i="43"/>
  <c r="F1662" i="44"/>
  <c r="D1486" i="9" s="1"/>
  <c r="D1503" i="9" s="1"/>
  <c r="F1774" i="44"/>
  <c r="F1778" i="44" s="1"/>
  <c r="D1590" i="9" s="1"/>
  <c r="D1607" i="9" s="1"/>
  <c r="F1518" i="44"/>
  <c r="D1356" i="9" s="1"/>
  <c r="C2124" i="43"/>
  <c r="C2040" i="43"/>
  <c r="C1828" i="43"/>
  <c r="D766" i="43"/>
  <c r="C1445" i="43"/>
  <c r="D1033" i="43"/>
  <c r="C887" i="43"/>
  <c r="C1050" i="43"/>
  <c r="C1060" i="43" s="1"/>
  <c r="D1855" i="43"/>
  <c r="C1116" i="43"/>
  <c r="D1315" i="43"/>
  <c r="C1233" i="43"/>
  <c r="C980" i="43"/>
  <c r="D814" i="43"/>
  <c r="C222" i="43"/>
  <c r="D2331" i="43"/>
  <c r="D1828" i="43"/>
  <c r="D482" i="43"/>
  <c r="C523" i="43"/>
  <c r="D523" i="43"/>
  <c r="D999" i="43"/>
  <c r="D671" i="43"/>
  <c r="C2331" i="43"/>
  <c r="C691" i="43"/>
  <c r="C123" i="43"/>
  <c r="C1257" i="43"/>
  <c r="D1084" i="43"/>
  <c r="D293" i="43"/>
  <c r="C1410" i="43"/>
  <c r="D1410" i="43"/>
  <c r="D1527" i="43"/>
  <c r="D502" i="43"/>
  <c r="D74" i="43"/>
  <c r="D123" i="43"/>
  <c r="C1084" i="43"/>
  <c r="C1085" i="43" s="1"/>
  <c r="C999" i="43"/>
  <c r="E123" i="43"/>
  <c r="E10" i="41" s="1"/>
  <c r="C1651" i="43"/>
  <c r="D1746" i="43"/>
  <c r="D1724" i="43"/>
  <c r="D1472" i="43"/>
  <c r="D1381" i="43"/>
  <c r="C2066" i="43"/>
  <c r="D2124" i="43"/>
  <c r="D1257" i="43"/>
  <c r="D1336" i="43"/>
  <c r="D1353" i="43"/>
  <c r="D647" i="43"/>
  <c r="D1233" i="43"/>
  <c r="D980" i="43"/>
  <c r="D2286" i="43"/>
  <c r="C814" i="43"/>
  <c r="D2265" i="43"/>
  <c r="C1855" i="43"/>
  <c r="C962" i="43"/>
  <c r="C202" i="43"/>
  <c r="E1939" i="43"/>
  <c r="E94" i="41" s="1"/>
  <c r="E1855" i="43"/>
  <c r="E92" i="41" s="1"/>
  <c r="E523" i="43"/>
  <c r="E26" i="41" s="1"/>
  <c r="C461" i="43"/>
  <c r="D202" i="43"/>
  <c r="E1445" i="43"/>
  <c r="E74" i="41" s="1"/>
  <c r="E1381" i="43"/>
  <c r="E72" i="41" s="1"/>
  <c r="E1206" i="43"/>
  <c r="E60" i="41" s="1"/>
  <c r="E1116" i="43"/>
  <c r="E57" i="41" s="1"/>
  <c r="C647" i="43"/>
  <c r="E1410" i="43"/>
  <c r="E73" i="41" s="1"/>
  <c r="E1315" i="43"/>
  <c r="E66" i="41" s="1"/>
  <c r="E1183" i="43"/>
  <c r="E59" i="41" s="1"/>
  <c r="E962" i="43"/>
  <c r="E49" i="41" s="1"/>
  <c r="E2124" i="43"/>
  <c r="E105" i="41" s="1"/>
  <c r="E980" i="43"/>
  <c r="E51" i="41" s="1"/>
  <c r="C2286" i="43"/>
  <c r="C1492" i="43"/>
  <c r="D1492" i="43"/>
  <c r="E2331" i="43"/>
  <c r="E111" i="41" s="1"/>
  <c r="E2286" i="43"/>
  <c r="E109" i="41" s="1"/>
  <c r="C595" i="43"/>
  <c r="E1746" i="43"/>
  <c r="E89" i="41" s="1"/>
  <c r="C270" i="43"/>
  <c r="E1724" i="43"/>
  <c r="E91" i="41" s="1"/>
  <c r="E1033" i="43"/>
  <c r="E54" i="41" s="1"/>
  <c r="E222" i="43"/>
  <c r="E16" i="41" s="1"/>
  <c r="E1886" i="43"/>
  <c r="E97" i="41" s="1"/>
  <c r="E1811" i="43"/>
  <c r="E999" i="43"/>
  <c r="E52" i="41" s="1"/>
  <c r="E461" i="43"/>
  <c r="E24" i="41" s="1"/>
  <c r="C52" i="43"/>
  <c r="C549" i="43"/>
  <c r="C1033" i="43"/>
  <c r="E2265" i="43"/>
  <c r="E108" i="41" s="1"/>
  <c r="E2221" i="43"/>
  <c r="E106" i="41" s="1"/>
  <c r="E1596" i="43"/>
  <c r="E82" i="41" s="1"/>
  <c r="E1572" i="43"/>
  <c r="E81" i="41" s="1"/>
  <c r="E1527" i="43"/>
  <c r="E79" i="41" s="1"/>
  <c r="E1336" i="43"/>
  <c r="E68" i="41" s="1"/>
  <c r="E1160" i="43"/>
  <c r="E58" i="41" s="1"/>
  <c r="E502" i="43"/>
  <c r="E27" i="41" s="1"/>
  <c r="E52" i="43"/>
  <c r="E7" i="41" s="1"/>
  <c r="C293" i="43"/>
  <c r="C2221" i="43"/>
  <c r="C1596" i="43"/>
  <c r="C1336" i="43"/>
  <c r="E1472" i="43"/>
  <c r="E75" i="41" s="1"/>
  <c r="E1353" i="43"/>
  <c r="E67" i="41" s="1"/>
  <c r="E1233" i="43"/>
  <c r="E61" i="41" s="1"/>
  <c r="E1084" i="43"/>
  <c r="E56" i="41" s="1"/>
  <c r="E595" i="43"/>
  <c r="E30" i="41" s="1"/>
  <c r="E482" i="43"/>
  <c r="E25" i="41" s="1"/>
  <c r="E20" i="41"/>
  <c r="E74" i="43"/>
  <c r="C766" i="43"/>
  <c r="C1572" i="43"/>
  <c r="C2309" i="43"/>
  <c r="C403" i="43"/>
  <c r="C1999" i="43"/>
  <c r="C1315" i="43"/>
  <c r="C1774" i="43"/>
  <c r="E2245" i="43"/>
  <c r="E107" i="41" s="1"/>
  <c r="E1918" i="43"/>
  <c r="E96" i="41" s="1"/>
  <c r="E1651" i="43"/>
  <c r="E84" i="41"/>
  <c r="E1257" i="43"/>
  <c r="E62" i="41" s="1"/>
  <c r="E814" i="43"/>
  <c r="E43" i="41" s="1"/>
  <c r="E573" i="43"/>
  <c r="E29" i="41" s="1"/>
  <c r="E270" i="43"/>
  <c r="E17" i="41" s="1"/>
  <c r="C28" i="43"/>
  <c r="D222" i="43"/>
  <c r="E2066" i="43"/>
  <c r="E100" i="41" s="1"/>
  <c r="E1999" i="43"/>
  <c r="E98" i="41" s="1"/>
  <c r="E93" i="41"/>
  <c r="E1492" i="43"/>
  <c r="E76" i="41" s="1"/>
  <c r="E691" i="43"/>
  <c r="E34" i="41" s="1"/>
  <c r="E671" i="43"/>
  <c r="E33" i="41" s="1"/>
  <c r="E647" i="43"/>
  <c r="E32" i="41" s="1"/>
  <c r="E625" i="43"/>
  <c r="E31" i="41" s="1"/>
  <c r="E549" i="43"/>
  <c r="E28" i="41" s="1"/>
  <c r="E403" i="43"/>
  <c r="E21" i="41" s="1"/>
  <c r="E9" i="41"/>
  <c r="E28" i="43"/>
  <c r="E6" i="41" s="1"/>
  <c r="E2309" i="43"/>
  <c r="E110" i="41" s="1"/>
  <c r="E766" i="43"/>
  <c r="E39" i="41" s="1"/>
  <c r="E293" i="43"/>
  <c r="E18" i="41" s="1"/>
  <c r="F95" i="41"/>
  <c r="C2115" i="44"/>
  <c r="C2128" i="44" s="1"/>
  <c r="C2622" i="44"/>
  <c r="C2678" i="44"/>
  <c r="C2684" i="44" s="1"/>
  <c r="C141" i="44"/>
  <c r="C145" i="44" s="1"/>
  <c r="C1884" i="44"/>
  <c r="C1897" i="44" s="1"/>
  <c r="C1356" i="44"/>
  <c r="C2561" i="44"/>
  <c r="C2571" i="44" s="1"/>
  <c r="C383" i="44"/>
  <c r="C387" i="44" s="1"/>
  <c r="C2537" i="44"/>
  <c r="C2541" i="44" s="1"/>
  <c r="C668" i="44"/>
  <c r="C672" i="44" s="1"/>
  <c r="E2684" i="44"/>
  <c r="D200" i="44"/>
  <c r="D204" i="44" s="1"/>
  <c r="D695" i="44"/>
  <c r="D698" i="44" s="1"/>
  <c r="E1077" i="44"/>
  <c r="F1320" i="44"/>
  <c r="F871" i="44"/>
  <c r="D760" i="9" s="1"/>
  <c r="E1438" i="44"/>
  <c r="E1444" i="44" s="1"/>
  <c r="E1919" i="44"/>
  <c r="E1926" i="44" s="1"/>
  <c r="E1932" i="44" s="1"/>
  <c r="F1325" i="44"/>
  <c r="F1187" i="44"/>
  <c r="D1046" i="9" s="1"/>
  <c r="D1063" i="9" s="1"/>
  <c r="F200" i="44"/>
  <c r="F204" i="44" s="1"/>
  <c r="F1214" i="44"/>
  <c r="F1217" i="44" s="1"/>
  <c r="D1072" i="9" s="1"/>
  <c r="D1089" i="9" s="1"/>
  <c r="D1438" i="44"/>
  <c r="E2561" i="44"/>
  <c r="E2571" i="44" s="1"/>
  <c r="E2622" i="44"/>
  <c r="E2651" i="44"/>
  <c r="E2655" i="44" s="1"/>
  <c r="D289" i="44"/>
  <c r="F2115" i="44"/>
  <c r="F1313" i="44"/>
  <c r="F606" i="44"/>
  <c r="F444" i="44"/>
  <c r="F447" i="44" s="1"/>
  <c r="D141" i="44"/>
  <c r="E1830" i="44"/>
  <c r="E1836" i="44" s="1"/>
  <c r="F2249" i="44"/>
  <c r="F2253" i="44" s="1"/>
  <c r="D1954" i="9" s="1"/>
  <c r="D1971" i="9" s="1"/>
  <c r="F2009" i="44"/>
  <c r="F984" i="44"/>
  <c r="C111" i="41"/>
  <c r="F2684" i="44"/>
  <c r="E957" i="44"/>
  <c r="E961" i="44" s="1"/>
  <c r="E1356" i="44"/>
  <c r="E1362" i="44" s="1"/>
  <c r="E1573" i="44"/>
  <c r="E1578" i="44" s="1"/>
  <c r="E2196" i="44"/>
  <c r="E2199" i="44" s="1"/>
  <c r="D2115" i="44"/>
  <c r="E1601" i="44"/>
  <c r="E1604" i="44" s="1"/>
  <c r="E1608" i="44" s="1"/>
  <c r="F668" i="44"/>
  <c r="D578" i="9" s="1"/>
  <c r="D595" i="9" s="1"/>
  <c r="C813" i="44"/>
  <c r="C819" i="44" s="1"/>
  <c r="D1742" i="44"/>
  <c r="D1745" i="44" s="1"/>
  <c r="C1564" i="9" s="1"/>
  <c r="C1581" i="9" s="1"/>
  <c r="E1742" i="44"/>
  <c r="E1751" i="44" s="1"/>
  <c r="F2037" i="44"/>
  <c r="F2041" i="44" s="1"/>
  <c r="D1772" i="9" s="1"/>
  <c r="D1789" i="9" s="1"/>
  <c r="F383" i="44"/>
  <c r="D320" i="9" s="1"/>
  <c r="D336" i="9" s="1"/>
  <c r="C33" i="41"/>
  <c r="F760" i="44"/>
  <c r="E2115" i="44"/>
  <c r="E2128" i="44" s="1"/>
  <c r="F1573" i="44"/>
  <c r="D871" i="44"/>
  <c r="D875" i="44" s="1"/>
  <c r="D881" i="44" s="1"/>
  <c r="D957" i="44"/>
  <c r="D1689" i="44"/>
  <c r="C1512" i="9" s="1"/>
  <c r="D2678" i="44"/>
  <c r="C725" i="44"/>
  <c r="C843" i="44"/>
  <c r="C1411" i="44"/>
  <c r="C1417" i="44" s="1"/>
  <c r="C1438" i="44"/>
  <c r="C1444" i="44" s="1"/>
  <c r="C1919" i="44"/>
  <c r="D2222" i="44"/>
  <c r="D2226" i="44" s="1"/>
  <c r="F1955" i="44"/>
  <c r="D1746" i="9" s="1"/>
  <c r="F1438" i="44"/>
  <c r="D1278" i="9" s="1"/>
  <c r="F1042" i="44"/>
  <c r="F813" i="44"/>
  <c r="D708" i="9" s="1"/>
  <c r="F313" i="44"/>
  <c r="D268" i="9" s="1"/>
  <c r="F259" i="44"/>
  <c r="F262" i="44" s="1"/>
  <c r="D216" i="9" s="1"/>
  <c r="D233" i="9" s="1"/>
  <c r="F114" i="44"/>
  <c r="D87" i="9" s="1"/>
  <c r="E1187" i="44"/>
  <c r="E1191" i="44" s="1"/>
  <c r="E141" i="44"/>
  <c r="E145" i="44" s="1"/>
  <c r="E552" i="44"/>
  <c r="E556" i="44" s="1"/>
  <c r="D409" i="44"/>
  <c r="D415" i="44" s="1"/>
  <c r="D421" i="44" s="1"/>
  <c r="D579" i="44"/>
  <c r="D583" i="44" s="1"/>
  <c r="D606" i="44"/>
  <c r="D612" i="44" s="1"/>
  <c r="D725" i="44"/>
  <c r="D730" i="44" s="1"/>
  <c r="D1293" i="44"/>
  <c r="C1150" i="9" s="1"/>
  <c r="C1167" i="9" s="1"/>
  <c r="D1411" i="44"/>
  <c r="D1155" i="44"/>
  <c r="D383" i="44"/>
  <c r="D387" i="44" s="1"/>
  <c r="D552" i="44"/>
  <c r="D556" i="44" s="1"/>
  <c r="C118" i="44"/>
  <c r="C409" i="44"/>
  <c r="C421" i="44" s="1"/>
  <c r="C579" i="44"/>
  <c r="C583" i="44" s="1"/>
  <c r="C753" i="44"/>
  <c r="C760" i="44" s="1"/>
  <c r="C871" i="44"/>
  <c r="C881" i="44" s="1"/>
  <c r="C957" i="44"/>
  <c r="C961" i="44" s="1"/>
  <c r="C1662" i="44"/>
  <c r="C1666" i="44" s="1"/>
  <c r="C1689" i="44"/>
  <c r="C1694" i="44" s="1"/>
  <c r="C1859" i="44"/>
  <c r="C1863" i="44" s="1"/>
  <c r="E1303" i="44"/>
  <c r="C259" i="44"/>
  <c r="C262" i="44" s="1"/>
  <c r="E2222" i="44"/>
  <c r="E2226" i="44" s="1"/>
  <c r="F2301" i="44"/>
  <c r="F2311" i="44" s="1"/>
  <c r="D2058" i="9" s="1"/>
  <c r="F1884" i="44"/>
  <c r="F1891" i="44" s="1"/>
  <c r="D1694" i="9" s="1"/>
  <c r="D1711" i="9" s="1"/>
  <c r="F1068" i="44"/>
  <c r="F1919" i="44"/>
  <c r="C85" i="44"/>
  <c r="C91" i="44"/>
  <c r="E579" i="44"/>
  <c r="E583" i="44" s="1"/>
  <c r="E760" i="44"/>
  <c r="E871" i="44"/>
  <c r="E881" i="44" s="1"/>
  <c r="E1801" i="44"/>
  <c r="E1807" i="44" s="1"/>
  <c r="D1573" i="44"/>
  <c r="C1408" i="9" s="1"/>
  <c r="D22" i="44"/>
  <c r="D52" i="44"/>
  <c r="D114" i="44"/>
  <c r="D83" i="44"/>
  <c r="D85" i="44" s="1"/>
  <c r="C61" i="9" s="1"/>
  <c r="C78" i="9" s="1"/>
  <c r="D313" i="44"/>
  <c r="D317" i="44" s="1"/>
  <c r="D1132" i="44"/>
  <c r="D1244" i="44"/>
  <c r="D1267" i="44"/>
  <c r="D1187" i="44"/>
  <c r="D668" i="44"/>
  <c r="D672" i="44" s="1"/>
  <c r="C52" i="44"/>
  <c r="C60" i="44" s="1"/>
  <c r="C1187" i="44"/>
  <c r="C1191" i="44" s="1"/>
  <c r="C341" i="44"/>
  <c r="C360" i="44" s="1"/>
  <c r="E1326" i="44"/>
  <c r="E1333" i="44" s="1"/>
  <c r="E1240" i="44"/>
  <c r="E383" i="44"/>
  <c r="E387" i="44" s="1"/>
  <c r="D1356" i="44"/>
  <c r="D813" i="44"/>
  <c r="D1601" i="44"/>
  <c r="D1604" i="44" s="1"/>
  <c r="D1662" i="44"/>
  <c r="D1801" i="44"/>
  <c r="D1830" i="44"/>
  <c r="D2561" i="44"/>
  <c r="D2622" i="44"/>
  <c r="C1573" i="44"/>
  <c r="C1578" i="44" s="1"/>
  <c r="E52" i="44"/>
  <c r="E60" i="44" s="1"/>
  <c r="D444" i="44"/>
  <c r="C1742" i="44"/>
  <c r="C1751" i="44" s="1"/>
  <c r="D259" i="44"/>
  <c r="D262" i="44" s="1"/>
  <c r="E1884" i="44"/>
  <c r="E1897" i="44" s="1"/>
  <c r="D1982" i="44"/>
  <c r="D1985" i="44" s="1"/>
  <c r="C1293" i="44"/>
  <c r="C1303" i="44" s="1"/>
  <c r="D1720" i="44"/>
  <c r="C1538" i="9" s="1"/>
  <c r="C1555" i="9" s="1"/>
  <c r="D470" i="44"/>
  <c r="D474" i="44" s="1"/>
  <c r="E444" i="44"/>
  <c r="E447" i="44" s="1"/>
  <c r="C634" i="44"/>
  <c r="D783" i="44"/>
  <c r="D2594" i="44"/>
  <c r="D2599" i="44" s="1"/>
  <c r="C2318" i="9" s="1"/>
  <c r="C2335" i="9" s="1"/>
  <c r="D1326" i="44"/>
  <c r="D1333" i="44" s="1"/>
  <c r="C1326" i="44"/>
  <c r="C1333" i="44" s="1"/>
  <c r="C1982" i="44"/>
  <c r="C1985" i="44" s="1"/>
  <c r="C1850" i="9" s="1"/>
  <c r="C1867" i="9" s="1"/>
  <c r="E1982" i="44"/>
  <c r="E1985" i="44" s="1"/>
  <c r="C2249" i="44"/>
  <c r="C2253" i="44" s="1"/>
  <c r="C1954" i="9" s="1"/>
  <c r="C1971" i="9" s="1"/>
  <c r="E2249" i="44"/>
  <c r="E2253" i="44" s="1"/>
  <c r="D2165" i="44"/>
  <c r="D1042" i="44"/>
  <c r="F2594" i="44"/>
  <c r="F2599" i="44" s="1"/>
  <c r="F2222" i="44"/>
  <c r="F2226" i="44" s="1"/>
  <c r="F1982" i="44"/>
  <c r="F1985" i="44" s="1"/>
  <c r="D1850" i="9" s="1"/>
  <c r="D1867" i="9" s="1"/>
  <c r="F1859" i="44"/>
  <c r="D1668" i="9" s="1"/>
  <c r="F1689" i="44"/>
  <c r="D1512" i="9" s="1"/>
  <c r="F1411" i="44"/>
  <c r="D1252" i="9" s="1"/>
  <c r="F957" i="44"/>
  <c r="F783" i="44"/>
  <c r="F695" i="44"/>
  <c r="F167" i="44"/>
  <c r="F2561" i="44"/>
  <c r="F2276" i="44"/>
  <c r="F2279" i="44" s="1"/>
  <c r="F1801" i="44"/>
  <c r="D1616" i="9" s="1"/>
  <c r="F1155" i="44"/>
  <c r="F1013" i="44"/>
  <c r="D890" i="9" s="1"/>
  <c r="F725" i="44"/>
  <c r="D630" i="9" s="1"/>
  <c r="F634" i="44"/>
  <c r="D551" i="9" s="1"/>
  <c r="D569" i="9" s="1"/>
  <c r="F525" i="44"/>
  <c r="F529" i="44" s="1"/>
  <c r="D449" i="9" s="1"/>
  <c r="D466" i="9" s="1"/>
  <c r="F497" i="44"/>
  <c r="F501" i="44" s="1"/>
  <c r="D423" i="9" s="1"/>
  <c r="D440" i="9" s="1"/>
  <c r="F470" i="44"/>
  <c r="F474" i="44" s="1"/>
  <c r="D397" i="9" s="1"/>
  <c r="D414" i="9" s="1"/>
  <c r="F52" i="44"/>
  <c r="D35" i="9" s="1"/>
  <c r="D77" i="41" l="1"/>
  <c r="D86" i="34"/>
  <c r="E86" i="34"/>
  <c r="G103" i="41" s="1"/>
  <c r="H18" i="34"/>
  <c r="H13" i="34"/>
  <c r="F65" i="34"/>
  <c r="G65" i="34" s="1"/>
  <c r="G111" i="41"/>
  <c r="F68" i="34"/>
  <c r="G68" i="34" s="1"/>
  <c r="G60" i="41"/>
  <c r="G23" i="41"/>
  <c r="F93" i="34"/>
  <c r="G93" i="34" s="1"/>
  <c r="G101" i="41"/>
  <c r="G105" i="41"/>
  <c r="G104" i="41"/>
  <c r="G40" i="41"/>
  <c r="H40" i="41" s="1"/>
  <c r="G43" i="41"/>
  <c r="G92" i="41"/>
  <c r="G76" i="41"/>
  <c r="G49" i="41"/>
  <c r="G59" i="41"/>
  <c r="F78" i="34"/>
  <c r="G78" i="34" s="1"/>
  <c r="F85" i="34"/>
  <c r="G85" i="34" s="1"/>
  <c r="H85" i="34" s="1"/>
  <c r="G53" i="41"/>
  <c r="F7" i="34"/>
  <c r="G7" i="34" s="1"/>
  <c r="H7" i="34" s="1"/>
  <c r="D2283" i="9"/>
  <c r="G12" i="41"/>
  <c r="F10" i="34"/>
  <c r="G10" i="34" s="1"/>
  <c r="H10" i="34" s="1"/>
  <c r="E907" i="43"/>
  <c r="C907" i="43"/>
  <c r="D1141" i="9"/>
  <c r="D1218" i="9"/>
  <c r="D1373" i="9"/>
  <c r="D1269" i="9"/>
  <c r="C1425" i="9"/>
  <c r="D907" i="9"/>
  <c r="D2311" i="44"/>
  <c r="D2317" i="44" s="1"/>
  <c r="C2058" i="9"/>
  <c r="D1666" i="44"/>
  <c r="C1486" i="9"/>
  <c r="C1503" i="9" s="1"/>
  <c r="D2541" i="44"/>
  <c r="C2266" i="9"/>
  <c r="C2283" i="9" s="1"/>
  <c r="D1807" i="44"/>
  <c r="C1616" i="9"/>
  <c r="C1633" i="9" s="1"/>
  <c r="D1408" i="9"/>
  <c r="D1425" i="9" s="1"/>
  <c r="F1578" i="44"/>
  <c r="D1608" i="44"/>
  <c r="C1434" i="9"/>
  <c r="C1451" i="9" s="1"/>
  <c r="D285" i="9"/>
  <c r="H5" i="18"/>
  <c r="F2628" i="44"/>
  <c r="D2344" i="9"/>
  <c r="D2361" i="9" s="1"/>
  <c r="D2014" i="44"/>
  <c r="C1876" i="9"/>
  <c r="C1893" i="9" s="1"/>
  <c r="D1581" i="9"/>
  <c r="C91" i="41"/>
  <c r="F91" i="41" s="1"/>
  <c r="H91" i="41" s="1"/>
  <c r="D1876" i="9"/>
  <c r="D1893" i="9" s="1"/>
  <c r="D2655" i="44"/>
  <c r="C2370" i="9"/>
  <c r="C2387" i="9" s="1"/>
  <c r="D2628" i="44"/>
  <c r="C2344" i="9"/>
  <c r="C2361" i="9" s="1"/>
  <c r="D1633" i="9"/>
  <c r="D647" i="9"/>
  <c r="D2075" i="9"/>
  <c r="D725" i="9"/>
  <c r="D1897" i="44"/>
  <c r="C1694" i="9"/>
  <c r="C1711" i="9" s="1"/>
  <c r="D1167" i="9"/>
  <c r="C1176" i="9"/>
  <c r="C1193" i="9" s="1"/>
  <c r="D1524" i="44"/>
  <c r="C1356" i="9"/>
  <c r="C1373" i="9" s="1"/>
  <c r="D1011" i="9"/>
  <c r="D1417" i="44"/>
  <c r="C1252" i="9"/>
  <c r="C1269" i="9" s="1"/>
  <c r="D1444" i="44"/>
  <c r="C1278" i="9"/>
  <c r="C1295" i="9" s="1"/>
  <c r="C1382" i="9"/>
  <c r="C1399" i="9" s="1"/>
  <c r="D1271" i="44"/>
  <c r="C1124" i="9"/>
  <c r="C1141" i="9" s="1"/>
  <c r="C1362" i="44"/>
  <c r="C1202" i="9"/>
  <c r="C1218" i="9" s="1"/>
  <c r="D1157" i="44"/>
  <c r="D1163" i="44" s="1"/>
  <c r="C1020" i="9"/>
  <c r="C1037" i="9" s="1"/>
  <c r="D1191" i="44"/>
  <c r="C1046" i="9"/>
  <c r="C1063" i="9" s="1"/>
  <c r="D69" i="41"/>
  <c r="E15" i="15" s="1"/>
  <c r="F15" i="15" s="1"/>
  <c r="G15" i="15" s="1"/>
  <c r="H15" i="15" s="1"/>
  <c r="F1157" i="44"/>
  <c r="C52" i="41" s="1"/>
  <c r="D1020" i="9"/>
  <c r="F556" i="44"/>
  <c r="D475" i="9"/>
  <c r="D491" i="9" s="1"/>
  <c r="D961" i="44"/>
  <c r="C838" i="9"/>
  <c r="C855" i="9" s="1"/>
  <c r="C43" i="41"/>
  <c r="F43" i="41" s="1"/>
  <c r="D864" i="9"/>
  <c r="D881" i="9" s="1"/>
  <c r="D210" i="44"/>
  <c r="C164" i="9"/>
  <c r="C181" i="9" s="1"/>
  <c r="C49" i="41"/>
  <c r="F49" i="41" s="1"/>
  <c r="D942" i="9"/>
  <c r="D959" i="9" s="1"/>
  <c r="C22" i="41"/>
  <c r="F22" i="41" s="1"/>
  <c r="D371" i="9"/>
  <c r="D388" i="9" s="1"/>
  <c r="D26" i="9"/>
  <c r="F961" i="44"/>
  <c r="D838" i="9"/>
  <c r="D855" i="9" s="1"/>
  <c r="F612" i="44"/>
  <c r="D525" i="9"/>
  <c r="D542" i="9" s="1"/>
  <c r="D516" i="9"/>
  <c r="D682" i="9"/>
  <c r="D699" i="9" s="1"/>
  <c r="D990" i="44"/>
  <c r="C864" i="9"/>
  <c r="C881" i="9" s="1"/>
  <c r="F169" i="44"/>
  <c r="F178" i="44" s="1"/>
  <c r="D139" i="9"/>
  <c r="D155" i="9" s="1"/>
  <c r="D169" i="44"/>
  <c r="D178" i="44" s="1"/>
  <c r="C139" i="9"/>
  <c r="C155" i="9" s="1"/>
  <c r="D60" i="44"/>
  <c r="C35" i="9"/>
  <c r="C52" i="9" s="1"/>
  <c r="D129" i="9"/>
  <c r="D52" i="9"/>
  <c r="D118" i="44"/>
  <c r="C87" i="9"/>
  <c r="D145" i="44"/>
  <c r="C113" i="9"/>
  <c r="C129" i="9" s="1"/>
  <c r="D78" i="9"/>
  <c r="D30" i="44"/>
  <c r="C9" i="9"/>
  <c r="C26" i="9" s="1"/>
  <c r="F23" i="34"/>
  <c r="G23" i="34" s="1"/>
  <c r="G22" i="34"/>
  <c r="H22" i="34" s="1"/>
  <c r="E21" i="34"/>
  <c r="E8" i="41"/>
  <c r="C14" i="34"/>
  <c r="H80" i="34"/>
  <c r="D112" i="41"/>
  <c r="E21" i="15"/>
  <c r="F21" i="15" s="1"/>
  <c r="G21" i="15" s="1"/>
  <c r="H21" i="15" s="1"/>
  <c r="D37" i="41"/>
  <c r="H11" i="41"/>
  <c r="F79" i="41"/>
  <c r="F105" i="41"/>
  <c r="F73" i="41"/>
  <c r="F100" i="41"/>
  <c r="F55" i="41"/>
  <c r="H55" i="41" s="1"/>
  <c r="F109" i="41"/>
  <c r="H109" i="41" s="1"/>
  <c r="F21" i="41"/>
  <c r="F56" i="41"/>
  <c r="H56" i="41" s="1"/>
  <c r="F64" i="41"/>
  <c r="F89" i="41"/>
  <c r="H89" i="41" s="1"/>
  <c r="F59" i="41"/>
  <c r="F57" i="41"/>
  <c r="F26" i="41"/>
  <c r="H26" i="41" s="1"/>
  <c r="F103" i="41"/>
  <c r="F110" i="41"/>
  <c r="H110" i="41" s="1"/>
  <c r="F17" i="41"/>
  <c r="H17" i="41" s="1"/>
  <c r="F68" i="41"/>
  <c r="H68" i="41" s="1"/>
  <c r="F99" i="41"/>
  <c r="F51" i="41"/>
  <c r="H51" i="41" s="1"/>
  <c r="F60" i="41"/>
  <c r="H60" i="41" s="1"/>
  <c r="E12" i="34"/>
  <c r="G83" i="41"/>
  <c r="F36" i="34"/>
  <c r="G36" i="34" s="1"/>
  <c r="H36" i="34" s="1"/>
  <c r="F46" i="34"/>
  <c r="G46" i="34" s="1"/>
  <c r="H46" i="34" s="1"/>
  <c r="G9" i="41"/>
  <c r="D1295" i="9"/>
  <c r="F1444" i="44"/>
  <c r="D1685" i="9"/>
  <c r="E71" i="65"/>
  <c r="E82" i="65" s="1"/>
  <c r="C1959" i="44"/>
  <c r="F45" i="34"/>
  <c r="G45" i="34" s="1"/>
  <c r="H45" i="34" s="1"/>
  <c r="F70" i="34"/>
  <c r="G70" i="34" s="1"/>
  <c r="D1659" i="9"/>
  <c r="D1863" i="44"/>
  <c r="C1668" i="9"/>
  <c r="C1685" i="9" s="1"/>
  <c r="C93" i="41"/>
  <c r="D1928" i="9"/>
  <c r="D1945" i="9" s="1"/>
  <c r="D790" i="44"/>
  <c r="C682" i="9"/>
  <c r="C699" i="9" s="1"/>
  <c r="F1926" i="44"/>
  <c r="C85" i="41" s="1"/>
  <c r="D1720" i="9"/>
  <c r="D1737" i="9" s="1"/>
  <c r="F1046" i="44"/>
  <c r="D916" i="9"/>
  <c r="D933" i="9" s="1"/>
  <c r="F2122" i="44"/>
  <c r="C92" i="41" s="1"/>
  <c r="D1902" i="9"/>
  <c r="D1919" i="9" s="1"/>
  <c r="C97" i="41"/>
  <c r="D2032" i="9"/>
  <c r="D2049" i="9" s="1"/>
  <c r="D2122" i="44"/>
  <c r="D2128" i="44" s="1"/>
  <c r="C1902" i="9"/>
  <c r="C1919" i="9" s="1"/>
  <c r="D1046" i="44"/>
  <c r="C916" i="9"/>
  <c r="C933" i="9" s="1"/>
  <c r="D1836" i="44"/>
  <c r="C1642" i="9"/>
  <c r="C1659" i="9" s="1"/>
  <c r="C108" i="41"/>
  <c r="D2318" i="9"/>
  <c r="D2335" i="9" s="1"/>
  <c r="F2565" i="44"/>
  <c r="C107" i="41" s="1"/>
  <c r="D2292" i="9"/>
  <c r="D2309" i="9" s="1"/>
  <c r="D2565" i="44"/>
  <c r="D2571" i="44" s="1"/>
  <c r="C2292" i="9"/>
  <c r="C2309" i="9" s="1"/>
  <c r="D1763" i="9"/>
  <c r="C2101" i="9"/>
  <c r="G58" i="41"/>
  <c r="F88" i="34"/>
  <c r="G88" i="34" s="1"/>
  <c r="H88" i="34" s="1"/>
  <c r="G62" i="41"/>
  <c r="G85" i="41"/>
  <c r="G107" i="41"/>
  <c r="F84" i="34"/>
  <c r="G84" i="34" s="1"/>
  <c r="G102" i="41"/>
  <c r="G80" i="41"/>
  <c r="E90" i="41"/>
  <c r="F48" i="34"/>
  <c r="G48" i="34" s="1"/>
  <c r="H48" i="34" s="1"/>
  <c r="F75" i="34"/>
  <c r="G75" i="34" s="1"/>
  <c r="F44" i="34"/>
  <c r="G44" i="34" s="1"/>
  <c r="H44" i="34" s="1"/>
  <c r="F40" i="34"/>
  <c r="G40" i="34" s="1"/>
  <c r="D2684" i="44"/>
  <c r="C2396" i="9"/>
  <c r="C2413" i="9" s="1"/>
  <c r="D1694" i="44"/>
  <c r="C1529" i="9"/>
  <c r="F94" i="34"/>
  <c r="G94" i="34" s="1"/>
  <c r="F61" i="34"/>
  <c r="G61" i="34" s="1"/>
  <c r="H61" i="34" s="1"/>
  <c r="G84" i="41"/>
  <c r="F69" i="34"/>
  <c r="G69" i="34" s="1"/>
  <c r="G54" i="41"/>
  <c r="F41" i="34"/>
  <c r="D1529" i="9"/>
  <c r="F875" i="44"/>
  <c r="F881" i="44" s="1"/>
  <c r="D777" i="9"/>
  <c r="G99" i="41"/>
  <c r="F82" i="34"/>
  <c r="G82" i="34" s="1"/>
  <c r="H82" i="34" s="1"/>
  <c r="E51" i="34"/>
  <c r="F31" i="34"/>
  <c r="G31" i="34" s="1"/>
  <c r="C67" i="41"/>
  <c r="D1399" i="9"/>
  <c r="C76" i="41"/>
  <c r="D1538" i="9"/>
  <c r="D1555" i="9" s="1"/>
  <c r="D346" i="44"/>
  <c r="D360" i="44" s="1"/>
  <c r="F360" i="44"/>
  <c r="C19" i="41" s="1"/>
  <c r="C14" i="41"/>
  <c r="D164" i="9"/>
  <c r="D181" i="9" s="1"/>
  <c r="F90" i="34"/>
  <c r="G90" i="34" s="1"/>
  <c r="H90" i="34" s="1"/>
  <c r="F87" i="34"/>
  <c r="G87" i="34" s="1"/>
  <c r="G95" i="41"/>
  <c r="F17" i="34"/>
  <c r="G17" i="34" s="1"/>
  <c r="F27" i="41"/>
  <c r="H27" i="41" s="1"/>
  <c r="F2655" i="44"/>
  <c r="F30" i="44"/>
  <c r="F1271" i="44"/>
  <c r="D91" i="44"/>
  <c r="C46" i="41"/>
  <c r="D1638" i="44"/>
  <c r="D1019" i="44"/>
  <c r="C6" i="41"/>
  <c r="F145" i="44"/>
  <c r="C39" i="41"/>
  <c r="C30" i="41"/>
  <c r="D1932" i="44"/>
  <c r="D1955" i="44"/>
  <c r="D1959" i="44" s="1"/>
  <c r="D819" i="44"/>
  <c r="F583" i="44"/>
  <c r="F2014" i="44"/>
  <c r="D702" i="44"/>
  <c r="F815" i="44"/>
  <c r="F819" i="44" s="1"/>
  <c r="F10" i="41"/>
  <c r="H10" i="41" s="1"/>
  <c r="C82" i="41"/>
  <c r="F1836" i="44"/>
  <c r="G87" i="41"/>
  <c r="F72" i="34"/>
  <c r="G72" i="34" s="1"/>
  <c r="H72" i="34" s="1"/>
  <c r="C72" i="41"/>
  <c r="F1608" i="44"/>
  <c r="G64" i="41"/>
  <c r="F49" i="34"/>
  <c r="G49" i="34" s="1"/>
  <c r="G82" i="41"/>
  <c r="F67" i="34"/>
  <c r="G67" i="34" s="1"/>
  <c r="F1326" i="44"/>
  <c r="F1333" i="44" s="1"/>
  <c r="D1176" i="9" s="1"/>
  <c r="F34" i="34"/>
  <c r="G34" i="34" s="1"/>
  <c r="H34" i="34" s="1"/>
  <c r="G41" i="41"/>
  <c r="F32" i="34"/>
  <c r="G32" i="34" s="1"/>
  <c r="F14" i="34"/>
  <c r="G14" i="34" s="1"/>
  <c r="H14" i="34" s="1"/>
  <c r="G19" i="41"/>
  <c r="G88" i="41"/>
  <c r="F73" i="34"/>
  <c r="G73" i="34" s="1"/>
  <c r="H73" i="34" s="1"/>
  <c r="F1071" i="44"/>
  <c r="F1077" i="44" s="1"/>
  <c r="F111" i="41"/>
  <c r="C106" i="41"/>
  <c r="F2541" i="44"/>
  <c r="F16" i="34"/>
  <c r="G16" i="34" s="1"/>
  <c r="H16" i="34" s="1"/>
  <c r="G22" i="41"/>
  <c r="G21" i="41"/>
  <c r="F15" i="34"/>
  <c r="G57" i="41"/>
  <c r="F43" i="34"/>
  <c r="G43" i="34" s="1"/>
  <c r="G31" i="41"/>
  <c r="H12" i="18"/>
  <c r="H41" i="18"/>
  <c r="H7" i="18"/>
  <c r="H14" i="18"/>
  <c r="H10" i="18"/>
  <c r="H11" i="18"/>
  <c r="H8" i="18"/>
  <c r="H9" i="18"/>
  <c r="D1751" i="44"/>
  <c r="C74" i="41"/>
  <c r="F1666" i="44"/>
  <c r="F74" i="65"/>
  <c r="E16" i="18"/>
  <c r="C80" i="41"/>
  <c r="F42" i="18"/>
  <c r="F43" i="18" s="1"/>
  <c r="E43" i="18"/>
  <c r="D71" i="65"/>
  <c r="D82" i="65" s="1"/>
  <c r="F11" i="34"/>
  <c r="G14" i="41"/>
  <c r="G72" i="41"/>
  <c r="F57" i="34"/>
  <c r="C66" i="41"/>
  <c r="F1524" i="44"/>
  <c r="F33" i="41"/>
  <c r="E1828" i="43"/>
  <c r="E87" i="41" s="1"/>
  <c r="E77" i="41"/>
  <c r="E19" i="41"/>
  <c r="E14" i="41"/>
  <c r="F990" i="44"/>
  <c r="C94" i="41"/>
  <c r="C645" i="44"/>
  <c r="C28" i="41"/>
  <c r="C20" i="41"/>
  <c r="F387" i="44"/>
  <c r="F210" i="44"/>
  <c r="C53" i="41"/>
  <c r="C54" i="41"/>
  <c r="F1191" i="44"/>
  <c r="F672" i="44"/>
  <c r="C87" i="41"/>
  <c r="C98" i="41"/>
  <c r="D2101" i="9"/>
  <c r="C9" i="41"/>
  <c r="F118" i="44"/>
  <c r="C18" i="41"/>
  <c r="F317" i="44"/>
  <c r="C86" i="41"/>
  <c r="F1959" i="44"/>
  <c r="C84" i="41"/>
  <c r="F1897" i="44"/>
  <c r="C16" i="41"/>
  <c r="C62" i="41"/>
  <c r="C96" i="41"/>
  <c r="C7" i="41"/>
  <c r="F60" i="44"/>
  <c r="C24" i="41"/>
  <c r="C29" i="41"/>
  <c r="F645" i="44"/>
  <c r="C44" i="41"/>
  <c r="F1019" i="44"/>
  <c r="C81" i="41"/>
  <c r="F1807" i="44"/>
  <c r="C34" i="41"/>
  <c r="F790" i="44"/>
  <c r="C61" i="41"/>
  <c r="F1417" i="44"/>
  <c r="C83" i="41"/>
  <c r="F1863" i="44"/>
  <c r="C23" i="41"/>
  <c r="C25" i="41"/>
  <c r="C32" i="41"/>
  <c r="F730" i="44"/>
  <c r="F698" i="44"/>
  <c r="D604" i="9" s="1"/>
  <c r="D621" i="9" s="1"/>
  <c r="C42" i="41"/>
  <c r="C75" i="41"/>
  <c r="F1694" i="44"/>
  <c r="C90" i="41"/>
  <c r="F86" i="34" l="1"/>
  <c r="G86" i="34" s="1"/>
  <c r="H86" i="34" s="1"/>
  <c r="E47" i="41"/>
  <c r="E48" i="41"/>
  <c r="C24" i="18"/>
  <c r="C33" i="18" s="1"/>
  <c r="C36" i="18" s="1"/>
  <c r="C23" i="18"/>
  <c r="H78" i="34"/>
  <c r="D114" i="41"/>
  <c r="E27" i="18" s="1"/>
  <c r="H68" i="34"/>
  <c r="H93" i="34"/>
  <c r="H111" i="41"/>
  <c r="H105" i="41"/>
  <c r="F21" i="34"/>
  <c r="G21" i="34" s="1"/>
  <c r="H21" i="34" s="1"/>
  <c r="H59" i="41"/>
  <c r="H49" i="41"/>
  <c r="H43" i="41"/>
  <c r="E9" i="15"/>
  <c r="E46" i="41"/>
  <c r="F8" i="41"/>
  <c r="C12" i="41"/>
  <c r="F1163" i="44"/>
  <c r="C2075" i="9"/>
  <c r="D1037" i="9"/>
  <c r="H23" i="34"/>
  <c r="G29" i="41"/>
  <c r="F32" i="41"/>
  <c r="F34" i="41"/>
  <c r="H34" i="41" s="1"/>
  <c r="F96" i="41"/>
  <c r="F18" i="41"/>
  <c r="H18" i="41" s="1"/>
  <c r="F54" i="41"/>
  <c r="H54" i="41" s="1"/>
  <c r="F74" i="41"/>
  <c r="F25" i="41"/>
  <c r="F24" i="41"/>
  <c r="H24" i="41" s="1"/>
  <c r="F62" i="41"/>
  <c r="H62" i="41" s="1"/>
  <c r="F28" i="41"/>
  <c r="F66" i="41"/>
  <c r="H66" i="41" s="1"/>
  <c r="F6" i="41"/>
  <c r="H6" i="41" s="1"/>
  <c r="F67" i="41"/>
  <c r="H67" i="41" s="1"/>
  <c r="F84" i="41"/>
  <c r="H84" i="41" s="1"/>
  <c r="F20" i="41"/>
  <c r="H20" i="41" s="1"/>
  <c r="F52" i="41"/>
  <c r="F23" i="41"/>
  <c r="H23" i="41" s="1"/>
  <c r="F61" i="41"/>
  <c r="F16" i="41"/>
  <c r="H16" i="41" s="1"/>
  <c r="F9" i="41"/>
  <c r="H9" i="41" s="1"/>
  <c r="F30" i="41"/>
  <c r="H30" i="41" s="1"/>
  <c r="F108" i="41"/>
  <c r="F97" i="41"/>
  <c r="H97" i="41" s="1"/>
  <c r="F29" i="41"/>
  <c r="F98" i="41"/>
  <c r="F107" i="41"/>
  <c r="H107" i="41" s="1"/>
  <c r="F92" i="41"/>
  <c r="H92" i="41" s="1"/>
  <c r="F93" i="41"/>
  <c r="F94" i="41"/>
  <c r="F106" i="41"/>
  <c r="F72" i="41"/>
  <c r="H72" i="41" s="1"/>
  <c r="F82" i="41"/>
  <c r="H82" i="41" s="1"/>
  <c r="F39" i="41"/>
  <c r="F76" i="41"/>
  <c r="H76" i="41" s="1"/>
  <c r="E27" i="15"/>
  <c r="F27" i="15" s="1"/>
  <c r="G27" i="15" s="1"/>
  <c r="H64" i="41"/>
  <c r="H57" i="41"/>
  <c r="H21" i="41"/>
  <c r="H95" i="41"/>
  <c r="H103" i="41"/>
  <c r="E20" i="15"/>
  <c r="F20" i="15" s="1"/>
  <c r="G20" i="15" s="1"/>
  <c r="H99" i="41"/>
  <c r="F12" i="34"/>
  <c r="G12" i="34" s="1"/>
  <c r="H41" i="41"/>
  <c r="C103" i="34"/>
  <c r="H70" i="34"/>
  <c r="H75" i="34"/>
  <c r="H40" i="34"/>
  <c r="F90" i="41"/>
  <c r="F2571" i="44"/>
  <c r="F1932" i="44"/>
  <c r="F2128" i="44"/>
  <c r="H84" i="34"/>
  <c r="F51" i="34"/>
  <c r="G51" i="34" s="1"/>
  <c r="H51" i="34" s="1"/>
  <c r="H69" i="34"/>
  <c r="H87" i="34"/>
  <c r="H94" i="34"/>
  <c r="F87" i="41"/>
  <c r="H87" i="41" s="1"/>
  <c r="G41" i="34"/>
  <c r="H41" i="34" s="1"/>
  <c r="H17" i="34"/>
  <c r="H32" i="34"/>
  <c r="H31" i="34"/>
  <c r="C58" i="41"/>
  <c r="D1193" i="9"/>
  <c r="H22" i="41"/>
  <c r="H43" i="34"/>
  <c r="C35" i="41"/>
  <c r="F19" i="41"/>
  <c r="H19" i="41" s="1"/>
  <c r="G15" i="34"/>
  <c r="H15" i="34" s="1"/>
  <c r="H67" i="34"/>
  <c r="H49" i="34"/>
  <c r="F16" i="18"/>
  <c r="G16" i="18" s="1"/>
  <c r="G11" i="34"/>
  <c r="F80" i="65"/>
  <c r="D28" i="47"/>
  <c r="H65" i="34"/>
  <c r="G57" i="34"/>
  <c r="G42" i="18"/>
  <c r="G43" i="18" s="1"/>
  <c r="H43" i="18" s="1"/>
  <c r="F14" i="41"/>
  <c r="H14" i="41" s="1"/>
  <c r="F2317" i="44"/>
  <c r="C31" i="41"/>
  <c r="F702" i="44"/>
  <c r="F81" i="41"/>
  <c r="C112" i="41"/>
  <c r="F7" i="41"/>
  <c r="F75" i="41"/>
  <c r="C77" i="41"/>
  <c r="F9" i="15"/>
  <c r="C27" i="18" l="1"/>
  <c r="C29" i="18" s="1"/>
  <c r="C30" i="18" s="1"/>
  <c r="C37" i="18" s="1"/>
  <c r="C38" i="18" s="1"/>
  <c r="C44" i="18" s="1"/>
  <c r="F48" i="41"/>
  <c r="H48" i="41" s="1"/>
  <c r="E23" i="18"/>
  <c r="F47" i="41"/>
  <c r="H47" i="41" s="1"/>
  <c r="E24" i="18"/>
  <c r="F46" i="41"/>
  <c r="H46" i="41" s="1"/>
  <c r="H29" i="41"/>
  <c r="D19" i="47"/>
  <c r="E34" i="15"/>
  <c r="H27" i="15"/>
  <c r="F31" i="41"/>
  <c r="H31" i="41" s="1"/>
  <c r="E25" i="15"/>
  <c r="F25" i="15" s="1"/>
  <c r="F58" i="41"/>
  <c r="H58" i="41" s="1"/>
  <c r="E19" i="15"/>
  <c r="F19" i="15" s="1"/>
  <c r="H12" i="34"/>
  <c r="C69" i="41"/>
  <c r="H57" i="34"/>
  <c r="H16" i="18"/>
  <c r="H42" i="18"/>
  <c r="H11" i="34"/>
  <c r="C37" i="41"/>
  <c r="H20" i="15"/>
  <c r="F77" i="41"/>
  <c r="H7" i="41"/>
  <c r="G9" i="15"/>
  <c r="F34" i="15"/>
  <c r="F27" i="18"/>
  <c r="G27" i="18" s="1"/>
  <c r="F24" i="18" l="1"/>
  <c r="G24" i="18" s="1"/>
  <c r="F23" i="18"/>
  <c r="G23" i="18" s="1"/>
  <c r="E13" i="15"/>
  <c r="F13" i="15" s="1"/>
  <c r="G13" i="15" s="1"/>
  <c r="C114" i="41"/>
  <c r="E7" i="15"/>
  <c r="H27" i="18"/>
  <c r="G19" i="15"/>
  <c r="G25" i="15"/>
  <c r="G34" i="15"/>
  <c r="H9" i="15"/>
  <c r="H34" i="15" s="1"/>
  <c r="H23" i="18" l="1"/>
  <c r="H24" i="18"/>
  <c r="D17" i="47"/>
  <c r="E26" i="18"/>
  <c r="E32" i="15"/>
  <c r="F7" i="15"/>
  <c r="F32" i="15" s="1"/>
  <c r="H25" i="15"/>
  <c r="H13" i="15"/>
  <c r="H19" i="15"/>
  <c r="F26" i="18" l="1"/>
  <c r="G26" i="18" s="1"/>
  <c r="G7" i="15"/>
  <c r="H7" i="15" s="1"/>
  <c r="G32" i="15" l="1"/>
  <c r="H26" i="18"/>
  <c r="H32" i="15"/>
  <c r="F850" i="66" l="1"/>
  <c r="F3" i="65"/>
  <c r="F71" i="65" s="1"/>
  <c r="D9" i="47"/>
  <c r="E15" i="18"/>
  <c r="E17" i="18" l="1"/>
  <c r="D15" i="47"/>
  <c r="E18" i="18"/>
  <c r="F82" i="65"/>
  <c r="F15" i="18"/>
  <c r="G15" i="18" l="1"/>
  <c r="G17" i="18" s="1"/>
  <c r="G18" i="18" s="1"/>
  <c r="F17" i="18"/>
  <c r="F18" i="18" s="1"/>
  <c r="G66" i="65"/>
  <c r="G78" i="65"/>
  <c r="G21" i="65"/>
  <c r="G54" i="65"/>
  <c r="G64" i="65"/>
  <c r="G63" i="65"/>
  <c r="G55" i="65"/>
  <c r="G70" i="65"/>
  <c r="G40" i="65"/>
  <c r="G26" i="65"/>
  <c r="G76" i="65"/>
  <c r="G18" i="65"/>
  <c r="G51" i="65"/>
  <c r="G12" i="65"/>
  <c r="G17" i="65"/>
  <c r="G75" i="65"/>
  <c r="G14" i="65"/>
  <c r="G62" i="65"/>
  <c r="G77" i="65"/>
  <c r="G20" i="65"/>
  <c r="G58" i="65"/>
  <c r="G48" i="65"/>
  <c r="G57" i="65"/>
  <c r="G65" i="65"/>
  <c r="G68" i="65"/>
  <c r="G29" i="65"/>
  <c r="G24" i="65"/>
  <c r="G36" i="65"/>
  <c r="G69" i="65"/>
  <c r="G46" i="65"/>
  <c r="G59" i="65"/>
  <c r="G49" i="65"/>
  <c r="G34" i="65"/>
  <c r="G37" i="65"/>
  <c r="G41" i="65"/>
  <c r="G3" i="65"/>
  <c r="G6" i="65"/>
  <c r="G74" i="65"/>
  <c r="G4" i="65"/>
  <c r="G35" i="65"/>
  <c r="G7" i="65"/>
  <c r="G10" i="65"/>
  <c r="G42" i="65"/>
  <c r="G19" i="65"/>
  <c r="G39" i="65"/>
  <c r="G52" i="65"/>
  <c r="G67" i="65"/>
  <c r="G5" i="65"/>
  <c r="G11" i="65"/>
  <c r="G45" i="65"/>
  <c r="G53" i="65"/>
  <c r="G9" i="65"/>
  <c r="G56" i="65"/>
  <c r="G80" i="65"/>
  <c r="G33" i="65"/>
  <c r="G38" i="65"/>
  <c r="G50" i="65"/>
  <c r="G16" i="65"/>
  <c r="G22" i="65"/>
  <c r="G79" i="65"/>
  <c r="G27" i="65"/>
  <c r="G30" i="65"/>
  <c r="G13" i="65"/>
  <c r="G32" i="65"/>
  <c r="G23" i="65"/>
  <c r="G47" i="65"/>
  <c r="G8" i="65"/>
  <c r="G61" i="65"/>
  <c r="G15" i="65"/>
  <c r="G28" i="65"/>
  <c r="G60" i="65"/>
  <c r="G31" i="65"/>
  <c r="G25" i="65"/>
  <c r="G71" i="65"/>
  <c r="H15" i="18" l="1"/>
  <c r="H17" i="18" s="1"/>
  <c r="H18" i="18" s="1"/>
  <c r="D1064" i="51"/>
  <c r="C50" i="34"/>
  <c r="E1064" i="51"/>
  <c r="D50" i="34"/>
  <c r="F1064" i="51"/>
  <c r="E50" i="34"/>
  <c r="C100" i="34" l="1"/>
  <c r="G65" i="41"/>
  <c r="H65" i="41" s="1"/>
  <c r="F50" i="34"/>
  <c r="G50" i="34" l="1"/>
  <c r="H50" i="34" l="1"/>
  <c r="C737" i="43" l="1"/>
  <c r="D737" i="43"/>
  <c r="E737" i="43"/>
  <c r="E36" i="41" s="1"/>
  <c r="F36" i="41" l="1"/>
  <c r="C1014" i="43" l="1"/>
  <c r="D1014" i="43"/>
  <c r="E1014" i="43"/>
  <c r="E53" i="41" s="1"/>
  <c r="F53" i="41" l="1"/>
  <c r="H53" i="41" s="1"/>
  <c r="C1681" i="43" l="1"/>
  <c r="D1681" i="43"/>
  <c r="E1681" i="43"/>
  <c r="E85" i="41" s="1"/>
  <c r="F85" i="41" l="1"/>
  <c r="H85" i="41" s="1"/>
  <c r="C1704" i="43"/>
  <c r="D1704" i="43"/>
  <c r="E1704" i="43"/>
  <c r="E88" i="41" s="1"/>
  <c r="F88" i="41" l="1"/>
  <c r="H88" i="41" l="1"/>
  <c r="C2154" i="43"/>
  <c r="D2154" i="43"/>
  <c r="E2154" i="43"/>
  <c r="E101" i="41" s="1"/>
  <c r="D1774" i="43"/>
  <c r="E1774" i="43"/>
  <c r="E86" i="41" s="1"/>
  <c r="F101" i="41" l="1"/>
  <c r="H101" i="41" s="1"/>
  <c r="F86" i="41"/>
  <c r="C2025" i="43" l="1"/>
  <c r="E104" i="41"/>
  <c r="F104" i="41" l="1"/>
  <c r="H104" i="41" s="1"/>
  <c r="C19" i="34" l="1"/>
  <c r="G25" i="41"/>
  <c r="H25" i="41" s="1"/>
  <c r="E19" i="34" l="1"/>
  <c r="F19" i="34" l="1"/>
  <c r="G19" i="34" s="1"/>
  <c r="G39" i="41"/>
  <c r="H39" i="41" s="1"/>
  <c r="H19" i="34" l="1"/>
  <c r="F30" i="34"/>
  <c r="G30" i="34" l="1"/>
  <c r="H30" i="34" l="1"/>
  <c r="D81" i="34" l="1"/>
  <c r="C81" i="34"/>
  <c r="E81" i="34"/>
  <c r="G98" i="41" l="1"/>
  <c r="H98" i="41" s="1"/>
  <c r="F81" i="34"/>
  <c r="G81" i="34" s="1"/>
  <c r="D6" i="34"/>
  <c r="C6" i="34"/>
  <c r="E6" i="34"/>
  <c r="H81" i="34" l="1"/>
  <c r="F6" i="34"/>
  <c r="G8" i="41"/>
  <c r="H8" i="41" s="1"/>
  <c r="G6" i="34" l="1"/>
  <c r="H6" i="34" l="1"/>
  <c r="D227" i="51" l="1"/>
  <c r="C15" i="34" s="1"/>
  <c r="D340" i="51"/>
  <c r="C20" i="34" s="1"/>
  <c r="F340" i="51"/>
  <c r="E20" i="34" s="1"/>
  <c r="E340" i="51"/>
  <c r="D20" i="34" s="1"/>
  <c r="G28" i="41" l="1"/>
  <c r="H28" i="41" s="1"/>
  <c r="F20" i="34"/>
  <c r="G20" i="34" l="1"/>
  <c r="H20" i="34" l="1"/>
  <c r="F426" i="51"/>
  <c r="E25" i="34" s="1"/>
  <c r="G33" i="41" l="1"/>
  <c r="H33" i="41" s="1"/>
  <c r="F25" i="34"/>
  <c r="G25" i="34" s="1"/>
  <c r="H25" i="34" l="1"/>
  <c r="D469" i="51"/>
  <c r="C27" i="34" s="1"/>
  <c r="F469" i="51"/>
  <c r="E27" i="34" s="1"/>
  <c r="F27" i="34" l="1"/>
  <c r="G27" i="34" s="1"/>
  <c r="G36" i="41"/>
  <c r="H36" i="41" s="1"/>
  <c r="E469" i="51"/>
  <c r="D27" i="34" s="1"/>
  <c r="D32" i="34"/>
  <c r="D641" i="51"/>
  <c r="C33" i="34" s="1"/>
  <c r="H27" i="34" l="1"/>
  <c r="D660" i="51"/>
  <c r="E641" i="51"/>
  <c r="F641" i="51"/>
  <c r="F660" i="51" s="1"/>
  <c r="E660" i="51" l="1"/>
  <c r="E33" i="34"/>
  <c r="D33" i="34"/>
  <c r="F33" i="34" l="1"/>
  <c r="C105" i="34"/>
  <c r="G42" i="41"/>
  <c r="G33" i="34" l="1"/>
  <c r="H33" i="34" l="1"/>
  <c r="D738" i="51"/>
  <c r="C36" i="34" s="1"/>
  <c r="D413" i="51"/>
  <c r="C24" i="34" s="1"/>
  <c r="C28" i="34" s="1"/>
  <c r="E413" i="51"/>
  <c r="D24" i="34" s="1"/>
  <c r="D28" i="34" s="1"/>
  <c r="C39" i="34"/>
  <c r="E39" i="34"/>
  <c r="D39" i="34"/>
  <c r="G52" i="41" l="1"/>
  <c r="H52" i="41" s="1"/>
  <c r="F39" i="34"/>
  <c r="G39" i="34" s="1"/>
  <c r="H39" i="34" l="1"/>
  <c r="C47" i="34"/>
  <c r="E47" i="34"/>
  <c r="D47" i="34"/>
  <c r="G61" i="41" l="1"/>
  <c r="H61" i="41" s="1"/>
  <c r="F47" i="34"/>
  <c r="G47" i="34" s="1"/>
  <c r="H47" i="34" l="1"/>
  <c r="D1193" i="51"/>
  <c r="C58" i="34" l="1"/>
  <c r="F1193" i="51"/>
  <c r="E58" i="34" s="1"/>
  <c r="E1193" i="51"/>
  <c r="D58" i="34" l="1"/>
  <c r="F58" i="34"/>
  <c r="G73" i="41"/>
  <c r="H73" i="41" s="1"/>
  <c r="G58" i="34" l="1"/>
  <c r="H58" i="34" l="1"/>
  <c r="F1234" i="51"/>
  <c r="E59" i="34" s="1"/>
  <c r="G74" i="41" l="1"/>
  <c r="H74" i="41" s="1"/>
  <c r="F59" i="34"/>
  <c r="G59" i="34" l="1"/>
  <c r="H59" i="34" s="1"/>
  <c r="E1234" i="51" l="1"/>
  <c r="D59" i="34" s="1"/>
  <c r="D1234" i="51" l="1"/>
  <c r="C59" i="34" s="1"/>
  <c r="C60" i="34" l="1"/>
  <c r="C62" i="34" s="1"/>
  <c r="E60" i="34"/>
  <c r="F60" i="34" l="1"/>
  <c r="G75" i="41"/>
  <c r="H75" i="41" s="1"/>
  <c r="H77" i="41" s="1"/>
  <c r="E62" i="34"/>
  <c r="G77" i="41" l="1"/>
  <c r="F62" i="34"/>
  <c r="G60" i="34"/>
  <c r="G62" i="34" l="1"/>
  <c r="H62" i="34" s="1"/>
  <c r="H60" i="34"/>
  <c r="E34" i="18"/>
  <c r="E22" i="15"/>
  <c r="F34" i="18" l="1"/>
  <c r="G34" i="18" s="1"/>
  <c r="F22" i="15"/>
  <c r="E23" i="15"/>
  <c r="F23" i="15" l="1"/>
  <c r="G22" i="15"/>
  <c r="G23" i="15" s="1"/>
  <c r="H34" i="18"/>
  <c r="D60" i="34" l="1"/>
  <c r="D62" i="34" s="1"/>
  <c r="H22" i="15"/>
  <c r="H23" i="15" s="1"/>
  <c r="D1319" i="51"/>
  <c r="C64" i="34" s="1"/>
  <c r="F1319" i="51"/>
  <c r="E64" i="34" s="1"/>
  <c r="G79" i="41" l="1"/>
  <c r="H79" i="41" s="1"/>
  <c r="F64" i="34"/>
  <c r="G64" i="34" l="1"/>
  <c r="H64" i="34" l="1"/>
  <c r="D1503" i="51"/>
  <c r="C71" i="34" s="1"/>
  <c r="F1503" i="51"/>
  <c r="E71" i="34" s="1"/>
  <c r="E1503" i="51"/>
  <c r="D71" i="34" s="1"/>
  <c r="G86" i="41" l="1"/>
  <c r="H86" i="41" s="1"/>
  <c r="F71" i="34"/>
  <c r="G71" i="34" s="1"/>
  <c r="H71" i="34" l="1"/>
  <c r="E74" i="34"/>
  <c r="G90" i="41" l="1"/>
  <c r="H90" i="41" s="1"/>
  <c r="F74" i="34"/>
  <c r="G74" i="34" s="1"/>
  <c r="H74" i="34" l="1"/>
  <c r="D74" i="34"/>
  <c r="C74" i="34"/>
  <c r="D1655" i="51"/>
  <c r="C76" i="34" s="1"/>
  <c r="E1655" i="51"/>
  <c r="D76" i="34" s="1"/>
  <c r="E76" i="34"/>
  <c r="G93" i="41" l="1"/>
  <c r="H93" i="41" s="1"/>
  <c r="F76" i="34"/>
  <c r="G76" i="34" s="1"/>
  <c r="H76" i="34" l="1"/>
  <c r="D1683" i="51"/>
  <c r="C77" i="34" s="1"/>
  <c r="E1683" i="51"/>
  <c r="D77" i="34" s="1"/>
  <c r="F1683" i="51"/>
  <c r="E77" i="34" s="1"/>
  <c r="G94" i="41" l="1"/>
  <c r="H94" i="41" s="1"/>
  <c r="F77" i="34"/>
  <c r="G77" i="34" s="1"/>
  <c r="H77" i="34" l="1"/>
  <c r="D1769" i="51"/>
  <c r="C79" i="34" s="1"/>
  <c r="E79" i="34"/>
  <c r="E1769" i="51"/>
  <c r="D79" i="34" s="1"/>
  <c r="G96" i="41" l="1"/>
  <c r="H96" i="41" s="1"/>
  <c r="C104" i="34"/>
  <c r="F79" i="34"/>
  <c r="G79" i="34" s="1"/>
  <c r="H79" i="34" l="1"/>
  <c r="E83" i="34"/>
  <c r="C101" i="34" l="1"/>
  <c r="G100" i="41"/>
  <c r="H100" i="41" s="1"/>
  <c r="F83" i="34"/>
  <c r="G83" i="34" s="1"/>
  <c r="H83" i="34" l="1"/>
  <c r="E89" i="34"/>
  <c r="F89" i="34" l="1"/>
  <c r="G89" i="34" s="1"/>
  <c r="G106" i="41"/>
  <c r="H106" i="41" s="1"/>
  <c r="C91" i="34"/>
  <c r="D91" i="34"/>
  <c r="D95" i="34" s="1"/>
  <c r="E91" i="34"/>
  <c r="H89" i="34" l="1"/>
  <c r="C102" i="34"/>
  <c r="C99" i="34" s="1"/>
  <c r="F91" i="34"/>
  <c r="G91" i="34" s="1"/>
  <c r="G108" i="41"/>
  <c r="H108" i="41" s="1"/>
  <c r="H91" i="34" l="1"/>
  <c r="D710" i="51"/>
  <c r="C35" i="34" s="1"/>
  <c r="C54" i="34" s="1"/>
  <c r="E710" i="51"/>
  <c r="D35" i="34" s="1"/>
  <c r="D54" i="34" s="1"/>
  <c r="D97" i="34" s="1"/>
  <c r="F710" i="51"/>
  <c r="E35" i="34" s="1"/>
  <c r="F35" i="34" l="1"/>
  <c r="G44" i="41"/>
  <c r="E54" i="34"/>
  <c r="G35" i="34" l="1"/>
  <c r="G54" i="34" s="1"/>
  <c r="F54" i="34"/>
  <c r="G69" i="41"/>
  <c r="H35" i="34" l="1"/>
  <c r="H54" i="34"/>
  <c r="E16" i="15"/>
  <c r="E33" i="18"/>
  <c r="F16" i="15" l="1"/>
  <c r="F33" i="18"/>
  <c r="G33" i="18" s="1"/>
  <c r="G16" i="15" l="1"/>
  <c r="H33" i="18"/>
  <c r="H16" i="15" l="1"/>
  <c r="F413" i="51"/>
  <c r="E24" i="34" s="1"/>
  <c r="G32" i="41" l="1"/>
  <c r="H32" i="41" s="1"/>
  <c r="E28" i="34"/>
  <c r="F24" i="34"/>
  <c r="G24" i="34" l="1"/>
  <c r="G28" i="34" s="1"/>
  <c r="F28" i="34"/>
  <c r="G37" i="41"/>
  <c r="H28" i="34" l="1"/>
  <c r="H24" i="34"/>
  <c r="E10" i="15"/>
  <c r="E32" i="18"/>
  <c r="F32" i="18" l="1"/>
  <c r="F10" i="15"/>
  <c r="G32" i="18" l="1"/>
  <c r="G10" i="15"/>
  <c r="H32" i="18" l="1"/>
  <c r="H10" i="15"/>
  <c r="D1357" i="51" l="1"/>
  <c r="C66" i="34" s="1"/>
  <c r="C95" i="34" s="1"/>
  <c r="F1357" i="51"/>
  <c r="E66" i="34" s="1"/>
  <c r="G81" i="41" l="1"/>
  <c r="H81" i="41" s="1"/>
  <c r="F66" i="34"/>
  <c r="E95" i="34"/>
  <c r="G112" i="41" l="1"/>
  <c r="E35" i="18" s="1"/>
  <c r="E97" i="34"/>
  <c r="G66" i="34"/>
  <c r="G95" i="34" s="1"/>
  <c r="G97" i="34" s="1"/>
  <c r="F95" i="34"/>
  <c r="F97" i="34" s="1"/>
  <c r="G114" i="41" l="1"/>
  <c r="D35" i="47" s="1"/>
  <c r="E28" i="15"/>
  <c r="E35" i="15" s="1"/>
  <c r="H66" i="34"/>
  <c r="H95" i="34"/>
  <c r="H97" i="34" s="1"/>
  <c r="E36" i="18"/>
  <c r="F35" i="18"/>
  <c r="F36" i="18" s="1"/>
  <c r="F28" i="15" l="1"/>
  <c r="G35" i="18"/>
  <c r="G36" i="18" s="1"/>
  <c r="F35" i="15" l="1"/>
  <c r="G28" i="15"/>
  <c r="H28" i="15" s="1"/>
  <c r="H35" i="15" s="1"/>
  <c r="H35" i="18"/>
  <c r="H36" i="18" s="1"/>
  <c r="E426" i="51"/>
  <c r="G35" i="15" l="1"/>
  <c r="C248" i="43"/>
  <c r="D248" i="43"/>
  <c r="E248" i="43"/>
  <c r="E15" i="41" s="1"/>
  <c r="F15" i="41" s="1"/>
  <c r="H15" i="41" s="1"/>
  <c r="C157" i="43"/>
  <c r="D157" i="43"/>
  <c r="E157" i="43"/>
  <c r="E12" i="41" s="1"/>
  <c r="F12" i="41" l="1"/>
  <c r="C713" i="43"/>
  <c r="D713" i="43"/>
  <c r="E713" i="43"/>
  <c r="E35" i="41" s="1"/>
  <c r="F35" i="41" s="1"/>
  <c r="H35" i="41" s="1"/>
  <c r="C1548" i="43"/>
  <c r="D1548" i="43"/>
  <c r="E1548" i="43"/>
  <c r="E80" i="41" s="1"/>
  <c r="E37" i="41" l="1"/>
  <c r="E8" i="15" s="1"/>
  <c r="H12" i="41"/>
  <c r="F37" i="41"/>
  <c r="F80" i="41"/>
  <c r="H37" i="41" l="1"/>
  <c r="F8" i="15"/>
  <c r="E11" i="15"/>
  <c r="H80" i="41"/>
  <c r="D1619" i="43"/>
  <c r="C1619" i="43"/>
  <c r="E1619" i="43"/>
  <c r="E83" i="41" s="1"/>
  <c r="G8" i="15" l="1"/>
  <c r="H8" i="15" s="1"/>
  <c r="F11" i="15"/>
  <c r="F83" i="41"/>
  <c r="H11" i="15" l="1"/>
  <c r="G11" i="15"/>
  <c r="H83" i="41"/>
  <c r="C845" i="43"/>
  <c r="D845" i="43"/>
  <c r="E845" i="43"/>
  <c r="E44" i="41" s="1"/>
  <c r="F44" i="41" s="1"/>
  <c r="H44" i="41" s="1"/>
  <c r="C868" i="43"/>
  <c r="D868" i="43"/>
  <c r="E868" i="43"/>
  <c r="E45" i="41" s="1"/>
  <c r="F45" i="41" s="1"/>
  <c r="H45" i="41" s="1"/>
  <c r="D791" i="43"/>
  <c r="C791" i="43"/>
  <c r="E791" i="43"/>
  <c r="E42" i="41" s="1"/>
  <c r="E69" i="41" l="1"/>
  <c r="F42" i="41"/>
  <c r="E14" i="15" l="1"/>
  <c r="F69" i="41"/>
  <c r="H42" i="41"/>
  <c r="H69" i="41" s="1"/>
  <c r="F14" i="15" l="1"/>
  <c r="E17" i="15"/>
  <c r="C2191" i="43"/>
  <c r="D2191" i="43"/>
  <c r="E2191" i="43"/>
  <c r="E102" i="41" s="1"/>
  <c r="D1641" i="43"/>
  <c r="C1641" i="43"/>
  <c r="F102" i="41" l="1"/>
  <c r="E112" i="41"/>
  <c r="F17" i="15"/>
  <c r="G14" i="15"/>
  <c r="G17" i="15" l="1"/>
  <c r="H14" i="15"/>
  <c r="E26" i="15"/>
  <c r="E114" i="41"/>
  <c r="H102" i="41"/>
  <c r="H112" i="41" s="1"/>
  <c r="H114" i="41" s="1"/>
  <c r="F112" i="41"/>
  <c r="F114" i="41" s="1"/>
  <c r="D34" i="47" s="1"/>
  <c r="D36" i="47" l="1"/>
  <c r="E35" i="47" s="1"/>
  <c r="H17" i="15"/>
  <c r="E33" i="15"/>
  <c r="E36" i="15" s="1"/>
  <c r="E29" i="15"/>
  <c r="E30" i="15" s="1"/>
  <c r="F26" i="15"/>
  <c r="E28" i="18"/>
  <c r="D18" i="47"/>
  <c r="E34" i="47" l="1"/>
  <c r="D20" i="47"/>
  <c r="E18" i="47" s="1"/>
  <c r="F33" i="15"/>
  <c r="F36" i="15" s="1"/>
  <c r="G26" i="15"/>
  <c r="F29" i="15"/>
  <c r="F30" i="15" s="1"/>
  <c r="E29" i="18"/>
  <c r="E30" i="18" s="1"/>
  <c r="E37" i="18" s="1"/>
  <c r="E38" i="18" s="1"/>
  <c r="E44" i="18" s="1"/>
  <c r="F28" i="18"/>
  <c r="G28" i="18" l="1"/>
  <c r="F29" i="18"/>
  <c r="F30" i="18" s="1"/>
  <c r="F37" i="18" s="1"/>
  <c r="F38" i="18" s="1"/>
  <c r="F44" i="18" s="1"/>
  <c r="G29" i="15"/>
  <c r="G30" i="15" s="1"/>
  <c r="G33" i="15"/>
  <c r="G36" i="15" s="1"/>
  <c r="H26" i="15"/>
  <c r="E19" i="47"/>
  <c r="E17" i="47"/>
  <c r="D23" i="47"/>
  <c r="D31" i="47" s="1"/>
  <c r="D37" i="47" s="1"/>
  <c r="H29" i="15" l="1"/>
  <c r="H30" i="15" s="1"/>
  <c r="H33" i="15"/>
  <c r="H36" i="15" s="1"/>
  <c r="G29" i="18"/>
  <c r="G30" i="18" s="1"/>
  <c r="G37" i="18" s="1"/>
  <c r="G38" i="18" s="1"/>
  <c r="G44" i="18" s="1"/>
  <c r="H28" i="18"/>
  <c r="H29" i="18" s="1"/>
  <c r="H30" i="18" s="1"/>
  <c r="H37" i="18" s="1"/>
  <c r="H38" i="18" s="1"/>
  <c r="H44" i="18" s="1"/>
</calcChain>
</file>

<file path=xl/sharedStrings.xml><?xml version="1.0" encoding="utf-8"?>
<sst xmlns="http://schemas.openxmlformats.org/spreadsheetml/2006/main" count="12839" uniqueCount="4302">
  <si>
    <t>ECONOMIC</t>
  </si>
  <si>
    <t>CODE</t>
  </si>
  <si>
    <t>TOTAL</t>
  </si>
  <si>
    <t>Statutory Allocation</t>
  </si>
  <si>
    <t>N</t>
  </si>
  <si>
    <t>DEATAILS</t>
  </si>
  <si>
    <t>ESTIMATES</t>
  </si>
  <si>
    <t>APPROVED</t>
  </si>
  <si>
    <t>ACTUAL</t>
  </si>
  <si>
    <t>LOCAL TRAVEL &amp; TRANSPORT: TRAINING</t>
  </si>
  <si>
    <t>LOCAL TRAVEL &amp; TRANSPORT: OTHERS</t>
  </si>
  <si>
    <t>INTERNATIONAL TRAVEL &amp; TRANSPORT: TRAINING</t>
  </si>
  <si>
    <t>INTERNATIONAL TRAVEL &amp; TRANSPORT: OTHERS</t>
  </si>
  <si>
    <t>ELECTRICITY CHARGES</t>
  </si>
  <si>
    <t>TELEPHONE CHARGES</t>
  </si>
  <si>
    <t>INTERNET ACCESS CHARGES</t>
  </si>
  <si>
    <t>SATELLITE BROADCASTING ACCESS CHARGES</t>
  </si>
  <si>
    <t>OFFICE STATIONERIES / COMPUTER CONSUMABLES</t>
  </si>
  <si>
    <t>BOOKS</t>
  </si>
  <si>
    <t>NEWSPAPERS</t>
  </si>
  <si>
    <t>PRINTING OF NON SECURITY DOCUMENTS</t>
  </si>
  <si>
    <t>PRINTING OF SECURITY DOCUMENTS</t>
  </si>
  <si>
    <t>DRUGS &amp; MEDICAL SUPPLIES</t>
  </si>
  <si>
    <t>UNIFORMS &amp; OTHER CLOTHING</t>
  </si>
  <si>
    <t>TEACHING AIDS / INSTRUCTION MATERIALS</t>
  </si>
  <si>
    <t>FOOD STUFF / CATERING MATERIALS SUPPLIES</t>
  </si>
  <si>
    <t xml:space="preserve">MAINTENANCE OF OFFICE FURNITURE </t>
  </si>
  <si>
    <t>MAINTENANCE OF OFFICE / IT EQUIPMENTS</t>
  </si>
  <si>
    <t>MAINTENANCE OF PLANTS/GENERATORS</t>
  </si>
  <si>
    <t>OTHER MAINTENANCE SERVICES</t>
  </si>
  <si>
    <t xml:space="preserve">LOCAL TRAINING </t>
  </si>
  <si>
    <t>SECURITY SERVICES</t>
  </si>
  <si>
    <t>RESIDENTIAL RENT</t>
  </si>
  <si>
    <t>CLEANING &amp; FUMIGATION SERVICES</t>
  </si>
  <si>
    <t>FINANCIAL CONSULTING</t>
  </si>
  <si>
    <t>INFORMATION TECHNOLOGY CONSULTING</t>
  </si>
  <si>
    <t>LEGAL SERVICES</t>
  </si>
  <si>
    <t>AGRICULTURAL CONSULTING</t>
  </si>
  <si>
    <t>MEDICAL CONSULTING</t>
  </si>
  <si>
    <t>MOTOR VEHICLE  FUEL COST</t>
  </si>
  <si>
    <t>INSURANCE PREMIUM</t>
  </si>
  <si>
    <t>REFRESHMENT &amp; MEALS</t>
  </si>
  <si>
    <t>PUBLICITY &amp; ADVERTISEMENTS</t>
  </si>
  <si>
    <t>POSTAGES &amp; COURIER SERVICES</t>
  </si>
  <si>
    <t>WELFARE PACKAGES</t>
  </si>
  <si>
    <t>SUBSCRIPTION TO PROFESSIONAL BODIES</t>
  </si>
  <si>
    <t>SPORTING ACTIVITIES</t>
  </si>
  <si>
    <t>ANNUAL BUDGET EXPENSES &amp; ADMINISTRATION</t>
  </si>
  <si>
    <t>GRANTS TO COMMUNITIES/NGOs</t>
  </si>
  <si>
    <t>₦</t>
  </si>
  <si>
    <t>SALARIES AND WAGES</t>
  </si>
  <si>
    <t>SALARY</t>
  </si>
  <si>
    <t>OVER TIME PAYMENTS</t>
  </si>
  <si>
    <t>CRF- SALARIES</t>
  </si>
  <si>
    <t>ALLOWANCES</t>
  </si>
  <si>
    <t>NON REGULAR ALLOWANCES</t>
  </si>
  <si>
    <t>SOCIAL CONTRIBUTIONS</t>
  </si>
  <si>
    <t>GROUP LIFE INSURANCE</t>
  </si>
  <si>
    <t>EMPLOYEES COMPENSATION FUND</t>
  </si>
  <si>
    <t>HOUSING FUND CONTRIBUTION</t>
  </si>
  <si>
    <t>SOCIAL BENEFITS</t>
  </si>
  <si>
    <t>GRATUITY</t>
  </si>
  <si>
    <t>PENSION</t>
  </si>
  <si>
    <t>DEATH BENEFITS</t>
  </si>
  <si>
    <t>TRAVEL&amp; TRANSPORT - GENERAL</t>
  </si>
  <si>
    <t>UTILITIES - GENERAL</t>
  </si>
  <si>
    <t>MATERIALS &amp; SUPPLIES - GENERAL</t>
  </si>
  <si>
    <t>MAINTENANCE SERVICES - GENERAL</t>
  </si>
  <si>
    <t>TRAINING - GENERAL</t>
  </si>
  <si>
    <t>OTHER SERVICES - GENERAL</t>
  </si>
  <si>
    <t>CONSULTING &amp; PROFESSIONAL SERVICES - GENERAL</t>
  </si>
  <si>
    <t>FUEL &amp; LUBRICANTS - GENERAL</t>
  </si>
  <si>
    <t>FINANCIAL CHARGES - GENERAL</t>
  </si>
  <si>
    <t>MISCELLANEOUS EXPENSES GENERAL</t>
  </si>
  <si>
    <t>Organisation Name</t>
  </si>
  <si>
    <t>LOCAL GRANTS AND CONTRIBUTIONS</t>
  </si>
  <si>
    <t>Total 3 Years Budget</t>
  </si>
  <si>
    <t>BUDGET</t>
  </si>
  <si>
    <t>SPECIAL DAYS/CELEBRATIONS</t>
  </si>
  <si>
    <t>MAINTENANCE OF M/ VEHICLE / TRANSPORT EQUIP.</t>
  </si>
  <si>
    <t>ECONOMIC SECTOR</t>
  </si>
  <si>
    <t>SOCIAL SECTOR</t>
  </si>
  <si>
    <t>Sector Code</t>
  </si>
  <si>
    <t>01</t>
  </si>
  <si>
    <t>Personnel Cost</t>
  </si>
  <si>
    <t>Overhead Cost</t>
  </si>
  <si>
    <t>Capital Expenditure</t>
  </si>
  <si>
    <t>02</t>
  </si>
  <si>
    <t>Economic Sector</t>
  </si>
  <si>
    <t>Economic Sector - Sub Total</t>
  </si>
  <si>
    <t>05</t>
  </si>
  <si>
    <t>Social Sector</t>
  </si>
  <si>
    <t>Social Sector - Sub Total</t>
  </si>
  <si>
    <t xml:space="preserve">CONSOLIDATED  BUDGET SUMMARY (MASTER BUDGET) </t>
  </si>
  <si>
    <t>S/No</t>
  </si>
  <si>
    <t>Opening Balance</t>
  </si>
  <si>
    <t>Receipts:</t>
  </si>
  <si>
    <t>Total Current Year Receipts</t>
  </si>
  <si>
    <t>Total Projected Funds Available</t>
  </si>
  <si>
    <t>Expenditure:</t>
  </si>
  <si>
    <t>A: Recurrent Debt</t>
  </si>
  <si>
    <t>Internal Loans  Repayment</t>
  </si>
  <si>
    <t>Total Recurrent Non-Debt</t>
  </si>
  <si>
    <t>Total Recurrent Expenditure</t>
  </si>
  <si>
    <t>Total Capital Expenditure</t>
  </si>
  <si>
    <t>Total Expenditure (Budget Size)</t>
  </si>
  <si>
    <t>Budget Surplus/(Deficit)</t>
  </si>
  <si>
    <t>Financing of Deficit by Borrowing:</t>
  </si>
  <si>
    <t xml:space="preserve">Total Loans </t>
  </si>
  <si>
    <t>Closing Balance</t>
  </si>
  <si>
    <t>C: Capital Exp. Based on Sectors</t>
  </si>
  <si>
    <t>DRUGS/LABORATORY/MEDICAL SUPPLIES</t>
  </si>
  <si>
    <t>UNIFORMS &amp; OTHER CLOSING</t>
  </si>
  <si>
    <t>MAITENANCE OF COMMUNICATION EQUIPMENTS</t>
  </si>
  <si>
    <t>INTERNATIONAL TRAINING</t>
  </si>
  <si>
    <t>PLANT/GENERATOR FUEL COST</t>
  </si>
  <si>
    <t>Details</t>
  </si>
  <si>
    <t>SUB-TOTAL</t>
  </si>
  <si>
    <t>External Loans Repayment</t>
  </si>
  <si>
    <t>SUB - TOTAL</t>
  </si>
  <si>
    <t>SUB- TOTAL</t>
  </si>
  <si>
    <t>Overhead Costs</t>
  </si>
  <si>
    <t>NHIS CONTRIBUTION</t>
  </si>
  <si>
    <t>CONTRIBUTORY PENSION (EMPLOYERS)</t>
  </si>
  <si>
    <t>AUDITING OF ACCOUNTS</t>
  </si>
  <si>
    <t>03</t>
  </si>
  <si>
    <t>SPECIAL DAY/CELEBRATIONS</t>
  </si>
  <si>
    <t>CONTINGENCY</t>
  </si>
  <si>
    <t>KATSINA STATE GOVERNMENT</t>
  </si>
  <si>
    <t xml:space="preserve">CONTINGENCY </t>
  </si>
  <si>
    <t>10t</t>
  </si>
  <si>
    <t>MAINTENANCE OF OFFICE BUILDING / RESIDENTIAL QTRS</t>
  </si>
  <si>
    <t>PUBLICITY &amp; ADVERTISEMENT</t>
  </si>
  <si>
    <t>CONTINGENCIES</t>
  </si>
  <si>
    <t>DEPARTMENT OF LABOUR AND PRODUCTIVITY -  022700100100</t>
  </si>
  <si>
    <t>ELECTION-LOGISTICS SUPPORT</t>
  </si>
  <si>
    <t>MINISTRY FOR LOCAL GOVERNMENT AND CHIEFTAINCY AFFAIRS - 055100100100</t>
  </si>
  <si>
    <t>FIELD &amp; CAMPING MATERIALS SUPPLY</t>
  </si>
  <si>
    <t>MINISTRY OF ENVIRONMENT 053500100100</t>
  </si>
  <si>
    <t>MINISTRY OF INFORMATION CULTURE AND HOME AFFAIRS - 012300100100</t>
  </si>
  <si>
    <t>DEPARTMENT OF COMMUNITY DEVELOPMENT - 055100300100</t>
  </si>
  <si>
    <t>MINISTRY OF WATER RESOURCES - 025200100100</t>
  </si>
  <si>
    <t>MEDICAL EXPENSES - LOCAL</t>
  </si>
  <si>
    <t>MINISTRY OF EDUCATION - 051700100100</t>
  </si>
  <si>
    <t>DEPARTMENT OF HIGHER EDUCATION - 051700100200</t>
  </si>
  <si>
    <t>MINISTRY OF FINANCE - 022000100100</t>
  </si>
  <si>
    <t>MINISTRY OF HEALTH - 052100100100</t>
  </si>
  <si>
    <t>LAW &amp; JUSTICE SECTOR</t>
  </si>
  <si>
    <t>MINISTRY OF JUSTICE - 032600100100</t>
  </si>
  <si>
    <t>OFFICE OF THE  AUDITOR GENERAL FOR LOCAL GOVERNMENTS - 014000100200</t>
  </si>
  <si>
    <t>CIVIL SERVICE COMMISSION - 014700100100</t>
  </si>
  <si>
    <t>STATE INDEPENDENT ELECTORAL COMMISSION - 014800100100</t>
  </si>
  <si>
    <t>JUDICIAL SERVICE COMMISSION - 031801100100</t>
  </si>
  <si>
    <t>MINISTRY OF RELIGIOUS AFFAIRS</t>
  </si>
  <si>
    <t>Ministry of Information, Culture &amp; Home Affairs</t>
  </si>
  <si>
    <t>MINISTRY OF INFORMATION CULTURE &amp; HOME AFFAIRS</t>
  </si>
  <si>
    <t>DEPARTMENT OF POLITICAL AFFAIRS</t>
  </si>
  <si>
    <t>CIVIL SERVICE COMMISSION</t>
  </si>
  <si>
    <t>LOCAL GOVERNMENT SERVICE COMMISSION</t>
  </si>
  <si>
    <t>STATE INDEPENDENT ELECTORAL COMMISSION</t>
  </si>
  <si>
    <t>MINISTRY OF AGRICULTURE AND NATURAL RESOURCES</t>
  </si>
  <si>
    <t>OFFICE OF THE ACCOUNTANT GENERAL</t>
  </si>
  <si>
    <t>MINISTRY OF RESOURCE DEVELOPMENT</t>
  </si>
  <si>
    <t>MINISTRY OF WORKS, HOUSING &amp; TRANSPORT</t>
  </si>
  <si>
    <t>OFFICE OF THE SURVEYOR GENERAL</t>
  </si>
  <si>
    <t>MINISTRY OF WATER RESOURCES</t>
  </si>
  <si>
    <t>MINISTRY OF LANDS</t>
  </si>
  <si>
    <t>JUDICIAL SERVICE COMMISSION</t>
  </si>
  <si>
    <t>HIGH COURT OF JUSTICE</t>
  </si>
  <si>
    <t>SHARI'A COURT OF APPEAL</t>
  </si>
  <si>
    <t>MINISTRY OF JUSTICE</t>
  </si>
  <si>
    <t>MINISTRY OF WOMEN AFFAIRS</t>
  </si>
  <si>
    <t>DEPARTMENT OF GIRL CHILD EDUCATION &amp; CHILD DEVELOPMENT</t>
  </si>
  <si>
    <t>MINISTRY OF EDUCATION</t>
  </si>
  <si>
    <t>DEPARTMENT OF HIGHER EDUCATION</t>
  </si>
  <si>
    <t>MINISTRY OF HEALTH</t>
  </si>
  <si>
    <t>MINISTRY OF ENVIRONMENT</t>
  </si>
  <si>
    <t>MINISTRY OF LOCAL GOVERNMENT &amp; CHIEFTAINCY AFFAIRS</t>
  </si>
  <si>
    <t>DEPARTMENT OF COMMUNITY DEVELOPMENT</t>
  </si>
  <si>
    <t>-</t>
  </si>
  <si>
    <t>INTERNET ACCESS CHAARGES</t>
  </si>
  <si>
    <t>MAINTENANCE OF OFFICE BUILDING/RESIDENTIAL QTRS</t>
  </si>
  <si>
    <t>MAINTENANCE OF OFFICE/IT EQUIPMENTS</t>
  </si>
  <si>
    <t>RECURRENT EXPENDITURE (PERSONNEL COSTS)</t>
  </si>
  <si>
    <t>ADMINISTRATIVE CODE -   011100100100  -  GOVERNMENT HOUSE</t>
  </si>
  <si>
    <t>CLASSIFICATION CODE</t>
  </si>
  <si>
    <t>SAL. GL</t>
  </si>
  <si>
    <t>TOTAL GL.01-06</t>
  </si>
  <si>
    <t>TOTAL GL.07-12</t>
  </si>
  <si>
    <t>TOTAL  GL.13-16</t>
  </si>
  <si>
    <t>TOTAL GL.01-16</t>
  </si>
  <si>
    <t>Chief of Staff Salary</t>
  </si>
  <si>
    <t>TOTAL  FOR GH</t>
  </si>
  <si>
    <t>S.A. (Press) Salary</t>
  </si>
  <si>
    <t>S.A. (Press) Allow.</t>
  </si>
  <si>
    <t>TOTAL  FOR DGO</t>
  </si>
  <si>
    <t>Other Allowances</t>
  </si>
  <si>
    <t>TOTAL  FOR SGS</t>
  </si>
  <si>
    <t>TOTAL  FOR (HOCSS) OFFICE</t>
  </si>
  <si>
    <t>TOTAL  FOR DET</t>
  </si>
  <si>
    <t>Special Adviser’s Salary</t>
  </si>
  <si>
    <t>Special Adviser’s Allowance</t>
  </si>
  <si>
    <t>KYES/SOAS</t>
  </si>
  <si>
    <t>Agric. Part Time Teachers Allowance</t>
  </si>
  <si>
    <t>TOTAL  FOR DEPT OF SPECIAL DUTIES</t>
  </si>
  <si>
    <t xml:space="preserve">TOTAL  FOR MINISTRY OF LANDS </t>
  </si>
  <si>
    <t xml:space="preserve">TOTAL  FOR OFFICE OF THE SURV.GENERAL </t>
  </si>
  <si>
    <t>TOTAL  FOR MIN FOR MLG&amp;CA</t>
  </si>
  <si>
    <t>TOTAL  FOR MINISTRY OF ENVIORNMENT</t>
  </si>
  <si>
    <t>SEPA:</t>
  </si>
  <si>
    <t>TOTAL  FOR MINISTRY OF INFORMATION</t>
  </si>
  <si>
    <t>TOTAL  FOR DEPT OF COMMUNITY DEV.</t>
  </si>
  <si>
    <t>TOTAL  FOR MINISTRY OF WOMEN AFFAIRS</t>
  </si>
  <si>
    <t>TOTAL  FOR DEPT OF GIRL CHILD &amp; CHILD DEV.</t>
  </si>
  <si>
    <t>TOTAL  GL.13-17</t>
  </si>
  <si>
    <t>TOTAL GL.01-17</t>
  </si>
  <si>
    <t>Permanent Secretary’s Salary</t>
  </si>
  <si>
    <t>KTARDA</t>
  </si>
  <si>
    <t>FASCOKT</t>
  </si>
  <si>
    <t>ADMINISTRATIVE CODE -   011100100200  -  DEPUTY GOVERNOR'S OFFICE</t>
  </si>
  <si>
    <t>TRADITIONAL GIFT</t>
  </si>
  <si>
    <t>VACCINATION CAMPAIGN</t>
  </si>
  <si>
    <t>SKILLS DEVELOPMENT &amp; SPECIALIZATION</t>
  </si>
  <si>
    <t>RESEARCH EXPENSES</t>
  </si>
  <si>
    <t>QUALITY ASSURANCE</t>
  </si>
  <si>
    <t>ACCREDITATION EXERCISE</t>
  </si>
  <si>
    <t>Law &amp; Justice Sector - Sub Total</t>
  </si>
  <si>
    <t>CAPITAL EXPENDITURE BUDGET</t>
  </si>
  <si>
    <t>Agricultural Production Survey</t>
  </si>
  <si>
    <t>Control of Animal Parasites, Diseases &amp; Annual Vaccination</t>
  </si>
  <si>
    <t xml:space="preserve">Jibia Irrigation project </t>
  </si>
  <si>
    <t>Mutton Improvement Centre</t>
  </si>
  <si>
    <t>General Conduct of Local Government Elections</t>
  </si>
  <si>
    <t>Construction of 1No. Block of 2No Computer Lab</t>
  </si>
  <si>
    <t>Construction of 5No. Blocks of 3No. Class room</t>
  </si>
  <si>
    <t>Wall fence and Gole House</t>
  </si>
  <si>
    <t>Office Furniture</t>
  </si>
  <si>
    <t>Office Equipments</t>
  </si>
  <si>
    <t>SHARIA COURT OF APPEAL</t>
  </si>
  <si>
    <t>Production of Calendars/Almanacs</t>
  </si>
  <si>
    <t>Hajj Exercise</t>
  </si>
  <si>
    <t>CRF Charges- Salaries</t>
  </si>
  <si>
    <t>RECURRENT REVENUE BUDGET</t>
  </si>
  <si>
    <t>Sub Total</t>
  </si>
  <si>
    <t>Value Added Tax (V. A. T.)</t>
  </si>
  <si>
    <t>Fishing Licenses</t>
  </si>
  <si>
    <t>BOARD OF INTERNAL REVENUE</t>
  </si>
  <si>
    <t>Motor Vehicles Registration Fees(V.I.O Charges)</t>
  </si>
  <si>
    <t>Certificate of Road Worthiness Fees</t>
  </si>
  <si>
    <t>Other Traffic Registration Fees</t>
  </si>
  <si>
    <t>Sales of Vehicle Stickers</t>
  </si>
  <si>
    <t>Sales of Motor Vehicle Number Plates</t>
  </si>
  <si>
    <t>Court Fees</t>
  </si>
  <si>
    <t>MINISTRY OF WORKS</t>
  </si>
  <si>
    <t>Survey Fees</t>
  </si>
  <si>
    <t>Assignment Fees</t>
  </si>
  <si>
    <t>Survey Reports Fees</t>
  </si>
  <si>
    <t>Beacon Recovery</t>
  </si>
  <si>
    <t>Registration of Women NGO’s</t>
  </si>
  <si>
    <t>Registration of Business Premises Fees</t>
  </si>
  <si>
    <t>Renewal of Business Premises</t>
  </si>
  <si>
    <t>Application Form</t>
  </si>
  <si>
    <t>Games Fees</t>
  </si>
  <si>
    <t>Tuition Fees</t>
  </si>
  <si>
    <t>Registration Fees</t>
  </si>
  <si>
    <t>Certificate Processing fees</t>
  </si>
  <si>
    <t>Application   Fees</t>
  </si>
  <si>
    <t>Sales of Agric School Forms</t>
  </si>
  <si>
    <t>Sales of BATC Forms</t>
  </si>
  <si>
    <t>Temporary certificate of occupancy</t>
  </si>
  <si>
    <t>Sub-Total</t>
  </si>
  <si>
    <t>Penalty</t>
  </si>
  <si>
    <t>Court Fines</t>
  </si>
  <si>
    <t>Sales of Law Publications</t>
  </si>
  <si>
    <t>Sales of Boarded Items (Vehicles etc)</t>
  </si>
  <si>
    <t>Sales of Maps</t>
  </si>
  <si>
    <t>Rent on quarters senior &amp; junior staff</t>
  </si>
  <si>
    <t>State land ground rent</t>
  </si>
  <si>
    <t>Companies Directors</t>
  </si>
  <si>
    <t>Dividends</t>
  </si>
  <si>
    <t>Interest on Bank Deposit</t>
  </si>
  <si>
    <t>Loan Repayment: House of Assembly Members</t>
  </si>
  <si>
    <t>DETAILS</t>
  </si>
  <si>
    <t>Forest Rehabilitation</t>
  </si>
  <si>
    <t>Forest Protection and Conservation</t>
  </si>
  <si>
    <t>Farm Forestry Extension Training</t>
  </si>
  <si>
    <t xml:space="preserve">Expansion of Katsina Motel To 3 Star Hotel </t>
  </si>
  <si>
    <t>Upgrading of Youth Craft Village Katsina</t>
  </si>
  <si>
    <t>Construction of Daura &amp; Funtua Youth Empowerment Centre</t>
  </si>
  <si>
    <t>Construction of Science Research laboratory</t>
  </si>
  <si>
    <t>Alternative Energy</t>
  </si>
  <si>
    <t>Establishment of Data Bank</t>
  </si>
  <si>
    <t>Land Acquisition &amp; Compensation for development project</t>
  </si>
  <si>
    <t>Survey Equipments</t>
  </si>
  <si>
    <t>Mapping (Administrative, Township &amp; Cadastral)</t>
  </si>
  <si>
    <t xml:space="preserve">Renovation &amp; Furnishing of J.S.C Secretariat </t>
  </si>
  <si>
    <t>Updating &amp; Publication of law of Katsina State</t>
  </si>
  <si>
    <t>Purchase of Vehicles</t>
  </si>
  <si>
    <t>Purchase of Computers</t>
  </si>
  <si>
    <t>Purchase of Generators</t>
  </si>
  <si>
    <t>Purchase of Law Books For H/Court &amp; Magistrate Courts</t>
  </si>
  <si>
    <t>Integrity/Capacity Building For Katsina State Judiciary</t>
  </si>
  <si>
    <t>Implementation of Nigerian Judiciary IT Policy</t>
  </si>
  <si>
    <t xml:space="preserve">Purchase of vehicles </t>
  </si>
  <si>
    <t>Purchase of Library Books</t>
  </si>
  <si>
    <t>Provision of Furniture for Schools</t>
  </si>
  <si>
    <t>Provision &amp; Improvement of Games facilities &amp; equipment’s</t>
  </si>
  <si>
    <t>Provision of Electricity and Fire Fighting Equip for Schools</t>
  </si>
  <si>
    <t xml:space="preserve">Provision of Operational Equip for ERC </t>
  </si>
  <si>
    <t xml:space="preserve">Const /Completion of Science Labs &amp; other Facilities in Sec. Schools. </t>
  </si>
  <si>
    <t>Wall Fencing for Secondary Schools</t>
  </si>
  <si>
    <t>Demarcation of School Boundaries &amp; Production of Site Plan</t>
  </si>
  <si>
    <t>Procurement of Science Tech. /Home Econ. Equipment.</t>
  </si>
  <si>
    <t>Supply of Text Books</t>
  </si>
  <si>
    <t>Purchase of Vehicle</t>
  </si>
  <si>
    <t>Accreditation expenses</t>
  </si>
  <si>
    <t>Upgrading of Internet Facilities</t>
  </si>
  <si>
    <t>Const of new Phys,Chem,Bio,Int Science Labs</t>
  </si>
  <si>
    <t xml:space="preserve">Purchase of Vehicles </t>
  </si>
  <si>
    <t>Accreditation/Affiliation/Recognition</t>
  </si>
  <si>
    <t>Provision of E-Library, Library  Books &amp; other equip</t>
  </si>
  <si>
    <t>Accreditation of Programmes</t>
  </si>
  <si>
    <t>Library Books &amp; Equipment – Faculty of Law</t>
  </si>
  <si>
    <t xml:space="preserve">Lab Furniture (Biology ,Physics  ,Chemistry)/ Geo. Equipment Chemicals </t>
  </si>
  <si>
    <t>Const &amp; Equipping  of Sports Complex</t>
  </si>
  <si>
    <t>Provision of ICT Infrastructure</t>
  </si>
  <si>
    <t>Construction &amp; Furnishing of Faculty of Medicine</t>
  </si>
  <si>
    <t>Construction &amp; Furnishing of Medical Library</t>
  </si>
  <si>
    <t>Construction &amp; Furnishing of postgraduate School</t>
  </si>
  <si>
    <t>Sickle Cell Diseases</t>
  </si>
  <si>
    <t xml:space="preserve">College of Health Sciences </t>
  </si>
  <si>
    <t>Purchase of spare parts for vehicle &amp; plants</t>
  </si>
  <si>
    <t>Purchase of Knapp Sack Sprayers &amp; Fogging Machines</t>
  </si>
  <si>
    <t>Purchase of Chemicals</t>
  </si>
  <si>
    <t>Construction of 40no VIP Latrines across the State</t>
  </si>
  <si>
    <t>Purchase of Water Pumping Machine</t>
  </si>
  <si>
    <t>Rehabilitation of 150 no Incinerators</t>
  </si>
  <si>
    <t>Purchase of 100 No. Skid bins.</t>
  </si>
  <si>
    <t>Township Beautification &amp; Road side Plantation</t>
  </si>
  <si>
    <t>Purchase of  200 no Plastic Containers</t>
  </si>
  <si>
    <t>Rehabilitation of 8no VIP Latrines</t>
  </si>
  <si>
    <t>5 no Metal Mobile Incinerator</t>
  </si>
  <si>
    <t>Relief and Disaster Management</t>
  </si>
  <si>
    <t>Purchase of Mobile Cinema Vans</t>
  </si>
  <si>
    <t>Special Mobilisation &amp; Societal Re-orientation</t>
  </si>
  <si>
    <t>ADMINISTRATIVE CODE -  014700100100  CIVIL SERVICE COMMISSION</t>
  </si>
  <si>
    <t>ADMINISTRATIVE CODE -   014800100100 STATE INDEPENDENT ELECTORAL COMMISSION</t>
  </si>
  <si>
    <t>ADMINISTRATIVE CODE -   021500100100  -  MINISTRY OF AGRICULTURE AND NATURAL RESOURCES</t>
  </si>
  <si>
    <t>ADMINISTRATIVE CODE -   022000100100  -  MINISTRY OF FINANCE</t>
  </si>
  <si>
    <t>ADMINISTRATIVE CODE -   022200100100  -  MINISTRY OF COMMERCE TOURISM &amp; INDUSTRY</t>
  </si>
  <si>
    <t>ADMINISTRATIVE CODE -  023305100100  -  MINISTRY OF RESOURCE DEVELOPMENT</t>
  </si>
  <si>
    <t>TOTAL FOR GL.01-06</t>
  </si>
  <si>
    <t>TOTAL FOR GL.07-12</t>
  </si>
  <si>
    <t>TOTAL FOR  GL.13-16</t>
  </si>
  <si>
    <t>TOTAL FOR GL.01-16</t>
  </si>
  <si>
    <t>Permanent Secretary’s Allow.</t>
  </si>
  <si>
    <t>ADMINISTRATIVE CODE -  023400100100  -  MINISTRY OF WORKS, HOUSING &amp; TRANSPORT</t>
  </si>
  <si>
    <t>TOTAL  FOR MINISTRY OF WORKS</t>
  </si>
  <si>
    <t>ADMINISTRATIVE CODE -   025200100100  -  MINISTRY OF WATER RESOURCES</t>
  </si>
  <si>
    <t>ADMINISTRATIVE CODE -   026000100100  -  MINISTRY OF LANDS</t>
  </si>
  <si>
    <t>ADMINISTRATIVE CODE -   031801100100  -  JUDICIAL SERVICE COMMISSION</t>
  </si>
  <si>
    <t>Secretary’s Salary</t>
  </si>
  <si>
    <t>Secretary’s Allowance</t>
  </si>
  <si>
    <t>TOTAL  FOR JUDICIAL SERVICE COMMISSION</t>
  </si>
  <si>
    <t>ADMINISTRATIVE CODE -   032600100100  -  MINISTRY OF JUSTICE</t>
  </si>
  <si>
    <t>TOTAL  MINISTRY OF JUSTICE</t>
  </si>
  <si>
    <t>ADMINISTRATIVE CODE -   032605100100  -  HIGH COURT OF JUSTICE</t>
  </si>
  <si>
    <t>CR ‘s Salary</t>
  </si>
  <si>
    <t>CR’s Allowance</t>
  </si>
  <si>
    <t>ADMINISTRATIVE CODE -   032605300100  -  SHARI'A COURT OF APPEAL</t>
  </si>
  <si>
    <t>CR’s Salary</t>
  </si>
  <si>
    <t>Rent Allow for Grand Khadi &amp; Other Khadis</t>
  </si>
  <si>
    <t>ADMINISTRATIVE CODE -   051400100100  -  MINISTRY OF WOMEN AFFAIRS</t>
  </si>
  <si>
    <t>ADMINISTRATIVE CODE - 051700100300 - DEPARTMENT OF GIRL CHILD EDUCATION &amp; CHILD DEVELOPMENT</t>
  </si>
  <si>
    <t xml:space="preserve">TOTAL FOR GL.07-12 </t>
  </si>
  <si>
    <t xml:space="preserve"> </t>
  </si>
  <si>
    <t>Mathematical Centre</t>
  </si>
  <si>
    <t>Agency for Mass Education</t>
  </si>
  <si>
    <t>TOTAL  FOR DEPT OF HIGHER EDUC.</t>
  </si>
  <si>
    <t>Umaru Musa Yar’adua University</t>
  </si>
  <si>
    <t>Hassan Usman Katsina Polytechnic</t>
  </si>
  <si>
    <t>Isa Kaita College of Education, D/ma</t>
  </si>
  <si>
    <t>Yusuf Bala Usman College of Legal &amp; General Studies, Daura-</t>
  </si>
  <si>
    <t>ADMINISTRATIVE CODE -  052100100100-   MINISTRY OF HEALTH</t>
  </si>
  <si>
    <t>Health Services Management Board</t>
  </si>
  <si>
    <t>Primary Health Care Development Agency</t>
  </si>
  <si>
    <t>ADMINISTRATIVE CODE -   055100300100  -  DEPARTMENT OF COMMUNITY DEVELOPMENT</t>
  </si>
  <si>
    <t>ADMINISTRATIVE CODE -   022700100100  -  DEPARTMENT OF LABOUR &amp; PRODUCTIVITY</t>
  </si>
  <si>
    <t>ADMINISTRATIVE CODE -   023400200100  -  OFFICE OF THE SURVEY GENERAL OF THE STATE</t>
  </si>
  <si>
    <t>GRAND TOTAL</t>
  </si>
  <si>
    <t>DEPARTMENT OF LABOUR &amp; PRODUCTIVITY</t>
  </si>
  <si>
    <t>ADMINISTRATIVE CODE -   011200300100 STATE HOUSE OF ASSEMBLY</t>
  </si>
  <si>
    <t>TEACHERS SERVICE BOARD</t>
  </si>
  <si>
    <t>10% LOCAL GOVTS. SHARE OF I.G.R</t>
  </si>
  <si>
    <t>ADM.</t>
  </si>
  <si>
    <t>PERS. COST</t>
  </si>
  <si>
    <t>O/H COST</t>
  </si>
  <si>
    <t>CAPITAL EXP.</t>
  </si>
  <si>
    <t>011100100100</t>
  </si>
  <si>
    <t>011101300100</t>
  </si>
  <si>
    <t>012500100100</t>
  </si>
  <si>
    <t>021500100100</t>
  </si>
  <si>
    <t>022000100100</t>
  </si>
  <si>
    <t>023400100100</t>
  </si>
  <si>
    <t>051700100100</t>
  </si>
  <si>
    <t>052100100100</t>
  </si>
  <si>
    <t>053500100100</t>
  </si>
  <si>
    <t>011100700100</t>
  </si>
  <si>
    <t>011118300100</t>
  </si>
  <si>
    <t>011103700200</t>
  </si>
  <si>
    <t>011113200100</t>
  </si>
  <si>
    <t>011200300100</t>
  </si>
  <si>
    <t>012300100100</t>
  </si>
  <si>
    <t>012300100200</t>
  </si>
  <si>
    <t>012500500100</t>
  </si>
  <si>
    <t>014000100100</t>
  </si>
  <si>
    <t>014000100200</t>
  </si>
  <si>
    <t>014700100100</t>
  </si>
  <si>
    <t>014700100200</t>
  </si>
  <si>
    <t>014800100100</t>
  </si>
  <si>
    <t>Deputy Gov. Salary</t>
  </si>
  <si>
    <t>Deputy Gov. Allowance</t>
  </si>
  <si>
    <t>Members Allowances</t>
  </si>
  <si>
    <t>MINSTRY OF HEALTH</t>
  </si>
  <si>
    <t>MINISTY OF JUSTICE</t>
  </si>
  <si>
    <t>LOCAL GOVT. SERVICE COMM</t>
  </si>
  <si>
    <t>ADMINISTRATIVE CODE - 051705400100 - TEACHERS SERVICE BOARD</t>
  </si>
  <si>
    <t>MINISTRY OF INFORMATION</t>
  </si>
  <si>
    <t>ESTABLISHMENT AND TRAINING</t>
  </si>
  <si>
    <t>011100100200</t>
  </si>
  <si>
    <t>011102000100</t>
  </si>
  <si>
    <t>011103500200</t>
  </si>
  <si>
    <t>011104400100</t>
  </si>
  <si>
    <t>022000300100</t>
  </si>
  <si>
    <t>022000700100</t>
  </si>
  <si>
    <t>022200100100</t>
  </si>
  <si>
    <t>022700100100</t>
  </si>
  <si>
    <t>022700500100</t>
  </si>
  <si>
    <t>022800100100</t>
  </si>
  <si>
    <t>023305100100</t>
  </si>
  <si>
    <t>023400200100</t>
  </si>
  <si>
    <t>025200100100</t>
  </si>
  <si>
    <t>026000100100</t>
  </si>
  <si>
    <t>031801100100</t>
  </si>
  <si>
    <t>032600100100</t>
  </si>
  <si>
    <t>032605100100</t>
  </si>
  <si>
    <t>032605300100</t>
  </si>
  <si>
    <t>051300100100</t>
  </si>
  <si>
    <t>051400100100</t>
  </si>
  <si>
    <t>051705400100</t>
  </si>
  <si>
    <t>055100100100</t>
  </si>
  <si>
    <t>KATSINA STATE HOUSE OF ASSEMBLY  011200300100</t>
  </si>
  <si>
    <t>FOR 3 YRS</t>
  </si>
  <si>
    <t>CRF SALARY</t>
  </si>
  <si>
    <t xml:space="preserve">KATSINA STATE </t>
  </si>
  <si>
    <t>Law and Justice Sector</t>
  </si>
  <si>
    <t>Special Adviser's Salary</t>
  </si>
  <si>
    <t>Special Adviser's Allow</t>
  </si>
  <si>
    <t>Commissioner's Salary</t>
  </si>
  <si>
    <t>ADMINISTRATIVE CODE -   053500100100  -  MINISTRY OF ENVIRONMENT</t>
  </si>
  <si>
    <t>RECURRENT EXPENDITURER</t>
  </si>
  <si>
    <t>TOTAL EXP.</t>
  </si>
  <si>
    <t>NON-CURRENT ASSETS</t>
  </si>
  <si>
    <t>PROPERTY, PLANT &amp; EQUIPMENT</t>
  </si>
  <si>
    <t xml:space="preserve"> LAND &amp; BUILDING - GENERAL</t>
  </si>
  <si>
    <t>INFRASTRUCTURE - GENERAL</t>
  </si>
  <si>
    <t>PLANT &amp; MACHINERY - GENERAL</t>
  </si>
  <si>
    <t>FIXED ASSETS - GENERAL</t>
  </si>
  <si>
    <t>OFFICE EQUIPMENT - GENERAL</t>
  </si>
  <si>
    <t>FURNITURE &amp; FITTINGS - GENERAL</t>
  </si>
  <si>
    <t>SPECIALISED ASSETS-GENERAL</t>
  </si>
  <si>
    <t>LAND &amp; BUILDING - GENERAL</t>
  </si>
  <si>
    <t>INTANGIBLE ASSETS</t>
  </si>
  <si>
    <t>Farmers Data &amp; Information System (2,200Ad-hoc Enumerators)</t>
  </si>
  <si>
    <t>Development of Hides &amp; Skins Activities</t>
  </si>
  <si>
    <t>Purchase of Drugs (revolving)</t>
  </si>
  <si>
    <t>Development of  Pan-African Control of Epizootic (PACE) Activities</t>
  </si>
  <si>
    <t>Collabo with Specialized Institutions, NGOs, National and International Organisations</t>
  </si>
  <si>
    <t>Schools Extension and Demonstrations Programme – Mobilisation/Formation of Groups</t>
  </si>
  <si>
    <t>Assistance to Physically Handicapped People</t>
  </si>
  <si>
    <t>Youth Entrepreneurship</t>
  </si>
  <si>
    <t>Establishment of Comprehensive Data Centre</t>
  </si>
  <si>
    <t>Survey and Design of Road Projects</t>
  </si>
  <si>
    <t>Procurement of Customized Text Books (MIP)</t>
  </si>
  <si>
    <t>Const of 3no Women &amp; Vocational Literacy Centres KKR,KSD &amp; BAT</t>
  </si>
  <si>
    <t>Instructional Materials</t>
  </si>
  <si>
    <t>Procurement of Office Vehicles</t>
  </si>
  <si>
    <t>Special Projects Primary Schools</t>
  </si>
  <si>
    <t>Extra-Mural Sporting activities (Tertiary Institutions)</t>
  </si>
  <si>
    <t>Construction of 1No. female Hostel (1,000 bed capacity)</t>
  </si>
  <si>
    <t>Rehab of Coll Labs Phys, Chem, Bio, Int Science &amp; PHE.</t>
  </si>
  <si>
    <t>Establishment of Demonstration School</t>
  </si>
  <si>
    <t>Const &amp; furnishing of Social Studies Resources Room</t>
  </si>
  <si>
    <t>Const &amp; furnishing of Mathematics Laboratory</t>
  </si>
  <si>
    <t>Const of Faculties: Science, Arts &amp;Soc Sciences, Educ/Admin  Block / Lib</t>
  </si>
  <si>
    <t>Const of Fence ,Gate House ,Estate Office Gen House,&amp; Students Centre</t>
  </si>
  <si>
    <t xml:space="preserve">Const &amp; Furnishing of 8nos Lecture classes for Undergraduates </t>
  </si>
  <si>
    <t>Const &amp; Equipping  of University Clinic</t>
  </si>
  <si>
    <t>Animal House</t>
  </si>
  <si>
    <t>Provision of Books &amp; Journals for Library</t>
  </si>
  <si>
    <t xml:space="preserve">Professional Film &amp;Video Equipment </t>
  </si>
  <si>
    <t>Purchase of 6No Fire Fighting Vehicles, 3 Water Tankers , Chemicals &amp; Equip</t>
  </si>
  <si>
    <t>Completion of Tahfiz College -Katsina</t>
  </si>
  <si>
    <t>Yearly Prayers for Peace/State creation/Independence Celebrations</t>
  </si>
  <si>
    <t>Design and Dev. of Layout residential/commercial/industrial (7 Old LGs)</t>
  </si>
  <si>
    <t>Waste Management</t>
  </si>
  <si>
    <t>Planning, Research and Statistics</t>
  </si>
  <si>
    <t>Domestication of National Gender Policy</t>
  </si>
  <si>
    <t>Establishment of Women Data Bank in the State</t>
  </si>
  <si>
    <t>Trade Fair Exhibitions</t>
  </si>
  <si>
    <t>National Council on Women Affairs</t>
  </si>
  <si>
    <t>IPSAS:- Implementation Programme</t>
  </si>
  <si>
    <t>Computerization/Upgrading Budget Operation</t>
  </si>
  <si>
    <t>External Electrical &amp; Mechanical Works</t>
  </si>
  <si>
    <t>Sustainable Development Goals(SDGs) Abuja(IR)</t>
  </si>
  <si>
    <t>Construction of High Court Judges Residences</t>
  </si>
  <si>
    <t>Renovation of Hon. Grand Khadi’s Residence</t>
  </si>
  <si>
    <t>Purchase of Office equip.</t>
  </si>
  <si>
    <t xml:space="preserve">Purchase &amp; Installation of Generators </t>
  </si>
  <si>
    <t>Furnishing of Staff Offices (Assembly Complex)</t>
  </si>
  <si>
    <t>MINISTRY/DEPARTMENT/AGENCY</t>
  </si>
  <si>
    <t>Secretary to the State Government’s Salary</t>
  </si>
  <si>
    <t>Secretary to the State Government’s Allowances</t>
  </si>
  <si>
    <t>2No. Special Advisers’ Salaries</t>
  </si>
  <si>
    <t>2No. Special Advisers’ Allowances</t>
  </si>
  <si>
    <t>2No. Permanent Secretaries’ Salaries</t>
  </si>
  <si>
    <t>2No. Perm. Secretaries’ Allowances</t>
  </si>
  <si>
    <t>Special Adviser’s Allowances</t>
  </si>
  <si>
    <t>Commissioner’s Salary</t>
  </si>
  <si>
    <t>Commissioner’s Allowances</t>
  </si>
  <si>
    <t>Permanent Secretary’s Allowances</t>
  </si>
  <si>
    <t>Accountant General’s Salary</t>
  </si>
  <si>
    <t>Accountant General’s Allowances</t>
  </si>
  <si>
    <t>Students’ Allowances</t>
  </si>
  <si>
    <t>Chairman’s Salary</t>
  </si>
  <si>
    <t>5No. Permanent Members’ Salaries</t>
  </si>
  <si>
    <t>Chairman’s &amp; Permanent Members’ Allowances</t>
  </si>
  <si>
    <t xml:space="preserve"> KATSINA STATE HOUSE OF ASSEMBLY - 011200300100</t>
  </si>
  <si>
    <t xml:space="preserve">                KATSINA STATE TELEVISION AUTHORITY (KTTV) - 012300300100</t>
  </si>
  <si>
    <t xml:space="preserve">             KATSINA STATE RADIO - 012300400100</t>
  </si>
  <si>
    <t>LOCAL GOVERNMENT SERVICE COMMISSION - 014700100200</t>
  </si>
  <si>
    <t>051700800100</t>
  </si>
  <si>
    <t>MISCELLANEOUS EXPENSES - GENERAL</t>
  </si>
  <si>
    <t>RURAL ELECTRIFICATION BOARD - 023100300100</t>
  </si>
  <si>
    <t>023100300100</t>
  </si>
  <si>
    <t>MINISTRY OF RESOURCE DEVELOPMENT - 023305100100</t>
  </si>
  <si>
    <t>MINISTRY OF WORKS (ROADS) 023400100100</t>
  </si>
  <si>
    <t>OFFICE OF THE SURVEYOR-GENERAL - 023400200100</t>
  </si>
  <si>
    <t xml:space="preserve"> KATSINA STATE URBAN &amp; REGIONAL PLANNING BOARD (KURPB) 025305600100</t>
  </si>
  <si>
    <t>025305600100</t>
  </si>
  <si>
    <t>HIGH COURT OF JUSTICE -032605100100</t>
  </si>
  <si>
    <t>SHARIA COURT OF APPEAL 032605300100</t>
  </si>
  <si>
    <t>MINISTRY OF EDUCATION  - 051700100100</t>
  </si>
  <si>
    <t>051700100200</t>
  </si>
  <si>
    <t>HASSAN USMAN KATSINA POLYTECHNIC - 051701800100</t>
  </si>
  <si>
    <t>051701800100</t>
  </si>
  <si>
    <t>051701900100</t>
  </si>
  <si>
    <t>051702100100</t>
  </si>
  <si>
    <t>MINISTRY OF ENVIRONMENT - 053500100100</t>
  </si>
  <si>
    <t>STATES ENVIRONMENTAL PROTECTION AGENCY (SEPA) - 053501600100</t>
  </si>
  <si>
    <t>053501600100</t>
  </si>
  <si>
    <t>TOTAL R/EXP</t>
  </si>
  <si>
    <t>SEMA</t>
  </si>
  <si>
    <t>Katsina State Schorlarship Board</t>
  </si>
  <si>
    <t>NO. OF STAFF 2020</t>
  </si>
  <si>
    <t>Construction &amp; Upgrading of Internet Café</t>
  </si>
  <si>
    <t>Seminar Rooms</t>
  </si>
  <si>
    <t>Laboratory Equipment</t>
  </si>
  <si>
    <t>2NO. 50KW AM Transmitter</t>
  </si>
  <si>
    <t>Purchase of 2no 350kva Mikano Sound Proof Generator For Radio HQ and D/ma</t>
  </si>
  <si>
    <t>Renovation and Furnishing of Radio HQ</t>
  </si>
  <si>
    <t xml:space="preserve">Payment of NBC License Fees 2013-2020) </t>
  </si>
  <si>
    <t>Rolex Perforation Machine/Kord Over Hall</t>
  </si>
  <si>
    <t>Perfect Binding Machine</t>
  </si>
  <si>
    <t>Numbering Machine</t>
  </si>
  <si>
    <t>Construction of Archival Library</t>
  </si>
  <si>
    <t>Hosting of National Council of Culture and Orientation</t>
  </si>
  <si>
    <t>UPKEEP OF HE's GUEST HOUSE</t>
  </si>
  <si>
    <t>MAINTENANCE/JANITORIAL SERVICES AT GHKT</t>
  </si>
  <si>
    <t>FEEDING AND UPKEEP</t>
  </si>
  <si>
    <t>POLITICAL ACTIVITIES</t>
  </si>
  <si>
    <t>SENSITISATION EXERCISE</t>
  </si>
  <si>
    <t>MAINTENANCE OF STATE FOOTBALL TEAM</t>
  </si>
  <si>
    <t>UPKEEP/RUNNING COST OF MUHAMMADU DIKKO STADIUM</t>
  </si>
  <si>
    <t>UPKEPING OF SOCIAL DEVELOPMENT TRAINING CENTERS</t>
  </si>
  <si>
    <t>HOSTING OF NATIONAL AND LOCAL COMPETITIONS</t>
  </si>
  <si>
    <t>SPORTS AWARD</t>
  </si>
  <si>
    <t>REMAND HOME (RUNNING COST)</t>
  </si>
  <si>
    <t>ISLAMIC EDUCATION BUREAU</t>
  </si>
  <si>
    <t>Monotoring of Mining Activities</t>
  </si>
  <si>
    <t>Provision of Minerals Buying &amp; selling centres</t>
  </si>
  <si>
    <t>Procurement of ICT Equipment</t>
  </si>
  <si>
    <t>MAINTENANCE OF RADIO EQUIPMENT</t>
  </si>
  <si>
    <t>UP-KEEP OF GUEST HOUSES</t>
  </si>
  <si>
    <t>ENTERTAIMENT &amp; HOSPITALITY</t>
  </si>
  <si>
    <t>CONFERENCES AND SEMINARS</t>
  </si>
  <si>
    <t>Renovation of Courts</t>
  </si>
  <si>
    <t>E Library</t>
  </si>
  <si>
    <t>General Office Renovation</t>
  </si>
  <si>
    <t>Fixed Asset Register for MDA`s/ Updating of F/Asset</t>
  </si>
  <si>
    <t>Media &amp; Publicity</t>
  </si>
  <si>
    <t>Procurement &amp; Storage of Grains</t>
  </si>
  <si>
    <t>Completion of Tomato Cottage at Kokami</t>
  </si>
  <si>
    <t>Farm Land Registration Project</t>
  </si>
  <si>
    <t>Cooperative Recertification Project</t>
  </si>
  <si>
    <t>Establishment of &amp; Development of Farm Cluster &amp; Settlemet</t>
  </si>
  <si>
    <t>National Cooperative Trade Fair &amp; Agric Shows</t>
  </si>
  <si>
    <t>Intervention In Cooperative Affairs</t>
  </si>
  <si>
    <t>Sensitization &amp; Group Dev. Of Cooperatives</t>
  </si>
  <si>
    <t>Market Development and Shopping Mall</t>
  </si>
  <si>
    <t>E-Law Library</t>
  </si>
  <si>
    <t>SUBEB</t>
  </si>
  <si>
    <t>Take off Grant Fiscal Responsibilty Commission</t>
  </si>
  <si>
    <t>Take off Grant Bureau of Public Procurement</t>
  </si>
  <si>
    <t>Implementation of Standard Weight &amp; Measures</t>
  </si>
  <si>
    <t>Proposed Estimates 2022</t>
  </si>
  <si>
    <t>N2B Loan Recovery Tour across the State</t>
  </si>
  <si>
    <t>Save One Million Lives (SOML) PforR (ER)</t>
  </si>
  <si>
    <t>Basic Health Care Provision Funds FGN (1% of FGN St.All)</t>
  </si>
  <si>
    <t>KTSG Counterpart (BHCPF) 100m One-Off</t>
  </si>
  <si>
    <t>UNICEF Polio Eradication Programme</t>
  </si>
  <si>
    <t>Nutrition Programme Intervention (Procurement of RUTF) UNICEF</t>
  </si>
  <si>
    <t>KTSG Counterpart Fund</t>
  </si>
  <si>
    <t>KATSACA – HIV/AIDS (Global fund)</t>
  </si>
  <si>
    <t>PEPFAR</t>
  </si>
  <si>
    <t>Presidential Comprehensive Response Plan on HIV/AIDs</t>
  </si>
  <si>
    <t>Drugs Revolving Funds</t>
  </si>
  <si>
    <t>Dev. and Construction of Katsina State Teaching Hospital (IDB)</t>
  </si>
  <si>
    <t>Communicable Disease Control</t>
  </si>
  <si>
    <t>Mobile Hosp. Outreach and Screening Programme</t>
  </si>
  <si>
    <t>Special Baby Care Unit, EPU, INFEC DISEA HOSP &amp; Rehab Center (IDB)</t>
  </si>
  <si>
    <t>SPHCDA (Renovation of PHCs) (IDB)</t>
  </si>
  <si>
    <t>Constr. And Rehab. Of Colleges of Basic Midwifery &amp; Basic Nursing</t>
  </si>
  <si>
    <t>ECOLOGICAL FUNDS PROJECTS</t>
  </si>
  <si>
    <t>Purchase of 3No. Mobile Toilet</t>
  </si>
  <si>
    <t>Purchase Of Sanitation Working Materials</t>
  </si>
  <si>
    <t>Construction of Model Commercial Shops</t>
  </si>
  <si>
    <t>Renovation of Zonal Offices</t>
  </si>
  <si>
    <t xml:space="preserve">20% of 1% - Administrative Charges </t>
  </si>
  <si>
    <t>AMINISTRATIVE SECTOR</t>
  </si>
  <si>
    <t>10% of 1% - Operational Costs</t>
  </si>
  <si>
    <t>ADMINISTRATIVE SECTOR</t>
  </si>
  <si>
    <t>Facility Management for General Hospitals State Wide</t>
  </si>
  <si>
    <t>Security Services for General Hospitals State Wide</t>
  </si>
  <si>
    <t>Purchase of Uniform and Dressing Materials</t>
  </si>
  <si>
    <t>Registration and Licensing of Newly Qualified Staff</t>
  </si>
  <si>
    <t>Procurement of Diesel for Hospitals</t>
  </si>
  <si>
    <t>Rural Water Supply and Sanitation Agency (RUWASSA)</t>
  </si>
  <si>
    <t>ECONOMIC SECTOR:</t>
  </si>
  <si>
    <t>Upgrading of Katsina Youth Centre/NYSC Camp</t>
  </si>
  <si>
    <t>Youth Empowerment Program (Youth Action Plan)</t>
  </si>
  <si>
    <t>Support &amp; Assistance to Clubs/Associations</t>
  </si>
  <si>
    <t>Renewable Energy Projects Development and Energy Efficiently Program</t>
  </si>
  <si>
    <t>Digital Mapping of Electricity Network State Wide</t>
  </si>
  <si>
    <t>Purchase of  tools/Equipment for 10No BATCs</t>
  </si>
  <si>
    <t>Maintenance/Rehabilitation of Schools</t>
  </si>
  <si>
    <t>DEPARTMENT OF MARKET DEVELOPMENT: 022205300100</t>
  </si>
  <si>
    <t>DEPARTMENT OF POWER AND ENERGY: 023100100100</t>
  </si>
  <si>
    <t>Safety Certificate Reg. fees- (Petrol Station Fees)</t>
  </si>
  <si>
    <t>Soil and Concrete Testing Charges</t>
  </si>
  <si>
    <t>Rent of Shops: MPWC Filin Samji</t>
  </si>
  <si>
    <t>Rent of Shops: FSP Daura Bakery</t>
  </si>
  <si>
    <t>Rent of Shops: Kofar Durbi (31No.)</t>
  </si>
  <si>
    <t>Refund from Local Governments Council</t>
  </si>
  <si>
    <t>Stamp Duty: Other Documents</t>
  </si>
  <si>
    <t>Withholding Tax on Rent</t>
  </si>
  <si>
    <t>Withholding Tax on Bank Interest</t>
  </si>
  <si>
    <t>Typing Test</t>
  </si>
  <si>
    <t>Vetting Fees: Contract Documents</t>
  </si>
  <si>
    <t>DEPARTMENT OF YOUTH DEVELOPMENT</t>
  </si>
  <si>
    <t>Renewal of Private Nursery/Primary Schools</t>
  </si>
  <si>
    <t>Sales of Application Forms</t>
  </si>
  <si>
    <t>Sales of  Nomination forms</t>
  </si>
  <si>
    <t xml:space="preserve">Mining Extractive fees </t>
  </si>
  <si>
    <t>Proceeds From Sales of ox-cultivators  (KTARDA)</t>
  </si>
  <si>
    <t>Tube well Wash bore Program (KTARDA)</t>
  </si>
  <si>
    <t>Laterite Collection  (Sales of Forest, Produce/Charges)</t>
  </si>
  <si>
    <t xml:space="preserve">State Indigene Certificate Fees </t>
  </si>
  <si>
    <t>Sales of High Way Code (VIO’s Office)</t>
  </si>
  <si>
    <t>MINISTRY OF FINANCE (AGs OFFICE)</t>
  </si>
  <si>
    <t>MINISTRY OF COMMERCE</t>
  </si>
  <si>
    <t xml:space="preserve">Loan Repayment General </t>
  </si>
  <si>
    <t>Repayments: Recoveries from Misappropriated Funds</t>
  </si>
  <si>
    <t>Mast: Right of Way</t>
  </si>
  <si>
    <t>Proceeds From Sales Fertilizer</t>
  </si>
  <si>
    <t>Other FAAC Allocation</t>
  </si>
  <si>
    <t>Federal Government Intervention</t>
  </si>
  <si>
    <t>Earning from Kankia Metal Works services</t>
  </si>
  <si>
    <t>Earning from New Katsina Motel</t>
  </si>
  <si>
    <t>Earning from Operations MFBs across the State</t>
  </si>
  <si>
    <t>Earning from Animal Traction Programme KTARDA</t>
  </si>
  <si>
    <t>Registration of Community Schools</t>
  </si>
  <si>
    <t>Application Form-State Reformatory Centre</t>
  </si>
  <si>
    <t>Processing Fees FSP</t>
  </si>
  <si>
    <t>Earning from Hall Hire (Multi-purpose Women Centre)</t>
  </si>
  <si>
    <t>Earning from Sales of Firewood</t>
  </si>
  <si>
    <t>Sales of Agricultural Improved Seed (KTARDA)</t>
  </si>
  <si>
    <t>Earning from Hiring of Public Address Van</t>
  </si>
  <si>
    <t>Earning from Rent of NYSC Hall</t>
  </si>
  <si>
    <t>DEPARTMENT OF EMPOWERMENT AND SOCIAL INTERVENTION - 011100700100</t>
  </si>
  <si>
    <t>TRAVEL &amp; TRANSPORT - GENERAL</t>
  </si>
  <si>
    <t>POSTAGES AND COURIER SERVICES</t>
  </si>
  <si>
    <t>KTTV</t>
  </si>
  <si>
    <t>ADMIN SECTOR</t>
  </si>
  <si>
    <t>OTHER MAINTENANCE SERVICES:</t>
  </si>
  <si>
    <t>OFFICE OF THE AUDITOR GENERAL FOR THE STATE - 014000100100</t>
  </si>
  <si>
    <t>MAINTENANCE OF EARTH DAMS AT STOCK-ROUTES</t>
  </si>
  <si>
    <t>CONSULTING &amp; PROFESSIONAL SERVICES</t>
  </si>
  <si>
    <t>LINKAGES WITH RESERACH INSTITUTIONS</t>
  </si>
  <si>
    <t>MEDICAL EXPENSES</t>
  </si>
  <si>
    <t>DEPARTMENT OF EMPLOYMENT PROMOTION - 022700500100</t>
  </si>
  <si>
    <t>MAINTENANCE OF OFFICE COMPLEX</t>
  </si>
  <si>
    <t xml:space="preserve">MINISTRY OF WORKS, HOUSING AND TRANSPORT - 02340010100 </t>
  </si>
  <si>
    <t>ELECTRIC CONSUMMABLES</t>
  </si>
  <si>
    <t>MONITORING &amp; COUNSELING</t>
  </si>
  <si>
    <t>VICTIMS RECOVERY</t>
  </si>
  <si>
    <t>UPKEEP &amp; RUNNING COSTS OF REFORMATORY CENTRES</t>
  </si>
  <si>
    <t>NAPTEP,NDLEA,NADDA &amp; INTERNATIONAL AGENCIES</t>
  </si>
  <si>
    <t>MINISTRY OF SPORTS AND SOCIAL DEVELOPMENT- 051300100100</t>
  </si>
  <si>
    <t>UP-KEEP &amp; R/COST OF MULTI-PURPOSE YOUTH CENTRE</t>
  </si>
  <si>
    <t>NATIONAL YOUTH AWARD SCHEME</t>
  </si>
  <si>
    <t>GRANT TO STATE YOUTH COUNCIL</t>
  </si>
  <si>
    <t>OPERATIONAL COSTS AGRICULTURAL TRAINING CENTRES</t>
  </si>
  <si>
    <t>DEPARTMENT OF LEGISLATIVE MATTERS - 011200500100</t>
  </si>
  <si>
    <t>MAGAZINES AND PRIODICALS</t>
  </si>
  <si>
    <t>DRUGS AND MEDICAL SUPPLY</t>
  </si>
  <si>
    <t>EMERGENCY OUTBREAK CONTROL</t>
  </si>
  <si>
    <t>JOINT TASK FORCE OPERATION</t>
  </si>
  <si>
    <t>ADMINISTRATIVE CODE -   011100700100 DEPARTMENT OF EMPOWERMENT AND SOCIAL INTERVENTION</t>
  </si>
  <si>
    <t>Security Allowance</t>
  </si>
  <si>
    <t xml:space="preserve">TOTAL </t>
  </si>
  <si>
    <t>2No. Part-Time Members' Salaries</t>
  </si>
  <si>
    <t>Commissioner's Allowance</t>
  </si>
  <si>
    <t>Permanent Secretary Salary</t>
  </si>
  <si>
    <t>Permanent Secretary Allowance</t>
  </si>
  <si>
    <t>Salary to Parastatals</t>
  </si>
  <si>
    <t>ADMINISTRATIVE CODE -   011113200100  -  DEPARTMENT OF INTER-GOVERMENTAL AND DEVELOPMENT PARTNERS</t>
  </si>
  <si>
    <t xml:space="preserve">SUB-TOTAL </t>
  </si>
  <si>
    <t>ADMINISTRATIVE CODE -   011118300100 DEPARTMENT OF BANKING AND FINANCE</t>
  </si>
  <si>
    <t>Speaker's Salary</t>
  </si>
  <si>
    <t>Speaker's Allowance</t>
  </si>
  <si>
    <t>Deputy Speaker’s Salary</t>
  </si>
  <si>
    <t>Deputy Speaker’s Allowances</t>
  </si>
  <si>
    <t>Majority’s/Minority’s Salaries</t>
  </si>
  <si>
    <t>Majority’s/Minority’s Allowances</t>
  </si>
  <si>
    <t>Chief of Staff’s Salary</t>
  </si>
  <si>
    <t>Chief of Staff’s Allowance</t>
  </si>
  <si>
    <t>30No.Members’ Salaries</t>
  </si>
  <si>
    <t>30No.Members’ Allowances</t>
  </si>
  <si>
    <t>Clerk’s Salary</t>
  </si>
  <si>
    <t>Clerk’s Allowances</t>
  </si>
  <si>
    <t>Deputy Clerk’s Salary</t>
  </si>
  <si>
    <t>Deputy Clerk’s Allowances</t>
  </si>
  <si>
    <t>ADMINISTRATIVE CODE -   012300100100  -  MINISTRY OF INFORMATION, CULTURE &amp; HOME AFFAIRS</t>
  </si>
  <si>
    <t>Katsina State Radio Service</t>
  </si>
  <si>
    <t>Katsina State Library Board</t>
  </si>
  <si>
    <t xml:space="preserve">Government Printing </t>
  </si>
  <si>
    <t>History &amp; Culture Bureau</t>
  </si>
  <si>
    <t>Head of Service’s Salary</t>
  </si>
  <si>
    <t>Head of Service’s Allowances</t>
  </si>
  <si>
    <t>ADMINISTRATIVE CODE -   014000100100 OFFICE OF THE AUDITOR GENERAL FOR THE STATE</t>
  </si>
  <si>
    <t>ADMINISTRATIVE CODE -   014000100200 OFFICE OF THE AUDITOR GENERAL FOR LOCAL GOVT</t>
  </si>
  <si>
    <t xml:space="preserve"> 10t </t>
  </si>
  <si>
    <t>4No.Permanent Commissioners’ Salaries</t>
  </si>
  <si>
    <t>Chairman’s &amp; Commissioners’ Allowances</t>
  </si>
  <si>
    <t xml:space="preserve"> - </t>
  </si>
  <si>
    <t>6No.Permanent Commissioners’ Salaries</t>
  </si>
  <si>
    <t>ADMINISTRATIVE CODE -   022000300100  -  MINISTRY OF BUDGET &amp; ECONOMIC PLANNING</t>
  </si>
  <si>
    <t>ADMINISTRATIVE  CODE -   022205300100  -  DEPARTMENT OF MARKET DEVELOPMENT</t>
  </si>
  <si>
    <t>ADMINISTRATIVE CODE -  022700500100 - DEPARTMENT OF EMPLOYMENT PROMOTION</t>
  </si>
  <si>
    <t>ADMINISTRATIVE CODE -  022800100100  -  MINISTRY OF SCIENCE, TECHNOLOGY &amp; INNOVATION</t>
  </si>
  <si>
    <t>Permanent Secretary’s Salaries</t>
  </si>
  <si>
    <t>Commissioner’s Allowance</t>
  </si>
  <si>
    <t>Surveyor General’s  Salary</t>
  </si>
  <si>
    <t>Surveyor General’s Allowance</t>
  </si>
  <si>
    <t>SALARY to KURPB</t>
  </si>
  <si>
    <t>4No. Ex-Officio Members’ Salaries</t>
  </si>
  <si>
    <t>Members’ Allowances</t>
  </si>
  <si>
    <t>Commissioner’s/Attorney-General’s Salary</t>
  </si>
  <si>
    <t>Commissioner’s/Attorney-General’s Allowances</t>
  </si>
  <si>
    <t>Permanent Secretary’s/Solicitor’s-General’s Salary</t>
  </si>
  <si>
    <t>Permanent Secretary’s/Solicitor’s Allowances</t>
  </si>
  <si>
    <t>ADMINISTRATIVE CODE -   051300100100  -  MINISTRY OF SPORTS AND SOCIAL DEVELOPMENT</t>
  </si>
  <si>
    <t>TOTAL  FOR MIN OF SPORTS</t>
  </si>
  <si>
    <t>Part time/Casual workers Salary</t>
  </si>
  <si>
    <t>College of Nursing &amp; Midwives</t>
  </si>
  <si>
    <t>ADMINISTRATIVE CODE -   053900100100  -  MINISTRY FOR RURAL DEVELOPMENT</t>
  </si>
  <si>
    <t>BATC Students Allowance</t>
  </si>
  <si>
    <t>BATC P/T Teachers Allowance</t>
  </si>
  <si>
    <t>Agric Students Allowance</t>
  </si>
  <si>
    <t>Casual Staff</t>
  </si>
  <si>
    <t>SALARY TO RURAL ELECTRIFICATION BOARD</t>
  </si>
  <si>
    <t>ADMINISTRATIVE CODE - DEPARTMENT OF HUMAN CAPITAL DEVELOPMENT</t>
  </si>
  <si>
    <t>Rural Poultry, Fisheries and Bee-Keepers Appraisal Survey</t>
  </si>
  <si>
    <t>Support for Monitoring, Evaluation and Coordination of KTSG Special Intervention Programmes</t>
  </si>
  <si>
    <t>Micro Credit Facilities to Empower the Less Privileged Revolving Scheme (361 Wards)</t>
  </si>
  <si>
    <t>Clearance and valuation of 34 LGAs Fish Ponds, Fish Mkts and 3No. Fisheries Training Schools in the State and Construction of 1st Phase of EDC Training Cenre</t>
  </si>
  <si>
    <t>Purchase of 44 number Day Long Motorcycles for Desk Officers and Extension Workers</t>
  </si>
  <si>
    <t>Counterpart Support for the rehab of repentant bandits/militant and resettlement of embattled Fulanis (Farmers &amp; Victims of Animal Rustling) in the State</t>
  </si>
  <si>
    <t>Construction of Emergency Mgt Centres at Daura &amp; Funtua Zones</t>
  </si>
  <si>
    <t>Construction &amp; Rehabilitation of IDP Resettlement Houses</t>
  </si>
  <si>
    <t xml:space="preserve">State Micro Finance Banks Activities </t>
  </si>
  <si>
    <t>Investment in other ventures/options, public private partnership</t>
  </si>
  <si>
    <t>Purchase of IT Equipment for Katsina Amana MFB</t>
  </si>
  <si>
    <t>Financial Commitments for Governors’ Forum</t>
  </si>
  <si>
    <t>Annual dues and Secretarial Expenses (NSGF)</t>
  </si>
  <si>
    <t>Amnesty and Rehabilitation</t>
  </si>
  <si>
    <t>Contribution into Security Escrow A/C</t>
  </si>
  <si>
    <t>Renovation of HQs Office Katsina</t>
  </si>
  <si>
    <t>Completion of Shops at Kafe Shopping Mall</t>
  </si>
  <si>
    <t xml:space="preserve">Upgrading of Legislative Chamber </t>
  </si>
  <si>
    <t>Renovation of Assembly Complex Phase II</t>
  </si>
  <si>
    <t>Rehab/Renov. of ABJ &amp; KAD G/ Houses, Members’ Chalets &amp; Speaker’s G/House</t>
  </si>
  <si>
    <t>Renovation of Kaduna Guest Houses  - Phase II</t>
  </si>
  <si>
    <t>Purchase of Gym Equipment</t>
  </si>
  <si>
    <t>Purchase of Fire Fighting Equipment</t>
  </si>
  <si>
    <t>Purchase of Office Equipment/Furniture</t>
  </si>
  <si>
    <t>Production of Series TV Documentaries and Archival Materials on Present Administration</t>
  </si>
  <si>
    <t>Improvement of full colour photo studio</t>
  </si>
  <si>
    <t xml:space="preserve">Purchase of Siren, Revolving Light </t>
  </si>
  <si>
    <t>Installation of Intercoms to Ministries, Departments and Parastatals</t>
  </si>
  <si>
    <t>Annual Support -  Katsina State Website</t>
  </si>
  <si>
    <t>Purchase of Computerized Editing Suite</t>
  </si>
  <si>
    <t xml:space="preserve">Purchase of Modern Cameras and Photo Printers </t>
  </si>
  <si>
    <t>Renovation of KTTV Headquarters</t>
  </si>
  <si>
    <t>Construction of Drama Village at KTTV Headquarters</t>
  </si>
  <si>
    <t>Purchase of Digital/Analogue Transmitter and Upgrade to National Platform</t>
  </si>
  <si>
    <t>TX/Studio Parts, studio signal/server upgrade Audio/vision signal Converters</t>
  </si>
  <si>
    <t>10No. Operational Vehicle @N2,500,000 each &amp; 10No. Motorcycle @N2,500,000 each</t>
  </si>
  <si>
    <t>Annual Renewal of NBC License 2009-2020</t>
  </si>
  <si>
    <t>1No Complete Digital Studios</t>
  </si>
  <si>
    <t>Purchase of 4No 10KVA Solar Power for 4No Stations</t>
  </si>
  <si>
    <t>Computer to Plate</t>
  </si>
  <si>
    <t>Polar Cutting</t>
  </si>
  <si>
    <t>Expansion of Admin Block</t>
  </si>
  <si>
    <t>Construction of 2No. Hostel (Male and Female)</t>
  </si>
  <si>
    <t>Construction of 1No. Block 2  Typing Pools</t>
  </si>
  <si>
    <t>Const. of 3No. Block of 250 Seat capacity Lecture theatres</t>
  </si>
  <si>
    <t>Construction of Library, Supply of Equip &amp; Books</t>
  </si>
  <si>
    <t>Establishment of E-Library at Headgquarters</t>
  </si>
  <si>
    <t>Construction/Rehabilitation of LGA Electoral Offices</t>
  </si>
  <si>
    <t>Purchase of Furniture, Plant &amp;Equipment</t>
  </si>
  <si>
    <t>Climate Change Adaptation and Agric-Business Support Programme</t>
  </si>
  <si>
    <t>CBN Anchor Borrowers Programme (PRS)</t>
  </si>
  <si>
    <t>Reclamation of encroached seed farms lands under KTARDA</t>
  </si>
  <si>
    <t>Restoration of Soil Fertility under KTARDA Seed Farms</t>
  </si>
  <si>
    <t xml:space="preserve">Resuscitation of Extension services </t>
  </si>
  <si>
    <t>State Agricultural Show, Trade Fairs  and Exhibitions</t>
  </si>
  <si>
    <t>Women in Agricultural Activities</t>
  </si>
  <si>
    <t>Purchase of tube wells Drilling Equipment</t>
  </si>
  <si>
    <t>Rehab of Conventional Grains Stores/Zonal Produce Offices</t>
  </si>
  <si>
    <t>State Contribution to NAIC on ACGS Trust Fund Loan</t>
  </si>
  <si>
    <t>Special Interv. Project on Agriculture (Precision on Agriculture)</t>
  </si>
  <si>
    <t>Improve/Rehab of Vet clinics, Abattoir and Loading Ramps in Kankara, Mai Aduwa and Jibia</t>
  </si>
  <si>
    <t>Modern  International Livestock Market:- Mai adua, Katsina and Kafur</t>
  </si>
  <si>
    <t>Development of Laboratory Services &amp; Artificial Insemination</t>
  </si>
  <si>
    <t>Fencing of 6No. Zonal Irrigation Offices at Daura, KT, D/Ma, KNK, M/fashi &amp; FTA</t>
  </si>
  <si>
    <t>Procurement of Fertilizer and Handling Charges</t>
  </si>
  <si>
    <t>AGRO Forestry</t>
  </si>
  <si>
    <t>Salary Automation (Upgrading of Computer Software for Salary)</t>
  </si>
  <si>
    <t>Loan to KIPDECO</t>
  </si>
  <si>
    <t>Office Renovation</t>
  </si>
  <si>
    <t>MINISTRY OF COMMERCE, INDUSTRY AND TOURISM- 022200100100</t>
  </si>
  <si>
    <t>Business support centre (SMEDAN)</t>
  </si>
  <si>
    <t>Resuscitation of Moribund Industries</t>
  </si>
  <si>
    <t>Renovation and Upgrading of Motels</t>
  </si>
  <si>
    <t>Furnishing of 7no Divisional Commercial Offices</t>
  </si>
  <si>
    <t>Trade mission/Trade exhibition</t>
  </si>
  <si>
    <t>Provision of Databank</t>
  </si>
  <si>
    <t>Construction &amp; Expansion of KSITM</t>
  </si>
  <si>
    <t>State Wide Intervention on Youth Craft Village Graduates</t>
  </si>
  <si>
    <t>Coordination of Artisanal &amp; Small Scale Mining Activities</t>
  </si>
  <si>
    <t>Resuscitation of 4No. Of Fertilizer Cottage Industries</t>
  </si>
  <si>
    <t>Development  of  Govt. House (Banquet Hall)</t>
  </si>
  <si>
    <t>Development &amp; Maint of State Secretariat Complex</t>
  </si>
  <si>
    <t>Development of Conventional and Alternative Electrical System</t>
  </si>
  <si>
    <t>Equipping of Central Mechanical and Electrical Workshops</t>
  </si>
  <si>
    <t xml:space="preserve">Engineering Equipment </t>
  </si>
  <si>
    <t>Boundary Surveys</t>
  </si>
  <si>
    <t>Lithographic Equipment</t>
  </si>
  <si>
    <t>Computerization of Cadastral &amp; Geodetic Records</t>
  </si>
  <si>
    <t>Emergency Response State Wide</t>
  </si>
  <si>
    <t>Maintenance of Plants &amp; Equipment</t>
  </si>
  <si>
    <t>Annual Abuja Carnival</t>
  </si>
  <si>
    <t>Renovation &amp; Fencing of Open Air Theatre Phase II</t>
  </si>
  <si>
    <t>Annual Maintenance of Katsina Old Training College/Gobarau Minaret</t>
  </si>
  <si>
    <t>Development of Durbi-Takusheyi</t>
  </si>
  <si>
    <t>Documentation of Katsina State History (Retrieval and Seminars)</t>
  </si>
  <si>
    <t>Crafts Development and Exhibition (Traditional Occupation, Centre and Craft Expo)</t>
  </si>
  <si>
    <t>Improvement of Dams &amp; Water Works (Ajiwa)</t>
  </si>
  <si>
    <t>Renovation/Maintenance of Plants and Equipment (State Wide)</t>
  </si>
  <si>
    <t xml:space="preserve">Resettlement Scheme Regional Planning </t>
  </si>
  <si>
    <t>Review and Preparation of  Master Plan, Regional &amp; Urban Regional (UN Habitat)</t>
  </si>
  <si>
    <t>Planning System and Hardware</t>
  </si>
  <si>
    <t>Design and Development of Layout</t>
  </si>
  <si>
    <t>Construction and Maintenance of R/About and City Monument and Recreation Facilities</t>
  </si>
  <si>
    <t xml:space="preserve">Renovation &amp; Furnishing of JSC Secretary’s residence </t>
  </si>
  <si>
    <t>Const &amp; Furnishing of 5No. Commission Members offices at Headquarter</t>
  </si>
  <si>
    <t xml:space="preserve">Special Courts, Tribunal &amp; Commission Expenses </t>
  </si>
  <si>
    <t>Purch. Of Law Books and Journals</t>
  </si>
  <si>
    <t>Practicing Fees</t>
  </si>
  <si>
    <t>Remodeling and Landscaping of Old High Court</t>
  </si>
  <si>
    <t>Renovation of New High Court Complex</t>
  </si>
  <si>
    <t>Renovation of S/Courts Judge's Residence</t>
  </si>
  <si>
    <t>Construction/Renovation of Magistrates &amp; S/Courts</t>
  </si>
  <si>
    <t>Remodeling &amp; Development of CJs Residence</t>
  </si>
  <si>
    <t>Construction of Institutional House for Judiciary</t>
  </si>
  <si>
    <t>Election Tribunal</t>
  </si>
  <si>
    <t>Renovation &amp; Furnishing of Shari’a Commission's HQ</t>
  </si>
  <si>
    <t>Up-Grading of Language Laboratory</t>
  </si>
  <si>
    <t>Up-grading of  College Clinic</t>
  </si>
  <si>
    <t>Student Affairs Complex (Furnishing)</t>
  </si>
  <si>
    <t>Research &amp; Staff Development</t>
  </si>
  <si>
    <t>Renovation of 3 Court Buildings at Funtua, Daura, Dutsin-Ma</t>
  </si>
  <si>
    <t>Renovation &amp; Landscaping of HQ Complex</t>
  </si>
  <si>
    <t>Renovation of Funtua Hon. Kadis Guest House</t>
  </si>
  <si>
    <t>Printing of Record Books &amp; Diaries</t>
  </si>
  <si>
    <t>Installation of IT &amp; Court Automation</t>
  </si>
  <si>
    <t>Purchase of  Generators</t>
  </si>
  <si>
    <t xml:space="preserve">Furniture &amp; Office Equipment </t>
  </si>
  <si>
    <t>Furnishing of New Malumfashi Court complex</t>
  </si>
  <si>
    <t>Contr. &amp; Rehab of 2no Remand Homes at Daura &amp; Funtua</t>
  </si>
  <si>
    <t>Mohd Dikko Stad. Phase I &amp; II Maint. Serv. &amp; Impro.of Facilities to meet requirement for Premier League Games</t>
  </si>
  <si>
    <t>Rehabilitation &amp; Upgrading of Katsina Central Fives Courts</t>
  </si>
  <si>
    <t>Construction of Mosque at Muhammad Dikko Stadium Katsina</t>
  </si>
  <si>
    <t>Purchase of Sports Equipment to all 20 Sports Associations</t>
  </si>
  <si>
    <t>Support to Sport Clubs</t>
  </si>
  <si>
    <t>Purchase of 30 Seater Bus for Katsina State Football Team</t>
  </si>
  <si>
    <t>Imp/Extension of Women skills Acquisition Centres in all LGAs</t>
  </si>
  <si>
    <t>Construction of Hall/Shopping Mall for Women Activities at Family Support Complex Ul-trade Modern Market at Kofar Durbi Katsina</t>
  </si>
  <si>
    <t>Advocacy &amp; Mobilization on reduction on Mortality Rate</t>
  </si>
  <si>
    <t>Women empowerment on groundnuts process</t>
  </si>
  <si>
    <t>Resettlement:  Graduates of  Dr Kees W  Rehab Centre</t>
  </si>
  <si>
    <t>Gender Mainstream Mobilization &amp; Empowerment</t>
  </si>
  <si>
    <t>Support/Subvention to women NGOs &amp; other less privileged  women</t>
  </si>
  <si>
    <t>Expansion &amp; Improvement of School for the Blind, Deaf &amp; Special Education</t>
  </si>
  <si>
    <t>Rehabilitation of Storm Damaged Schools and Hostels</t>
  </si>
  <si>
    <t>Provision of School Text Books/Instructional Materials</t>
  </si>
  <si>
    <t>Katsina Cloud Based Virtual Library for Higher Institutions</t>
  </si>
  <si>
    <t>Construction &amp; Furnishing of Masari NOUN Study Centre</t>
  </si>
  <si>
    <t>International Conference, Seminars  and Workshop</t>
  </si>
  <si>
    <t>Graduate Sponsorship and Foreign Scholarship Scheme</t>
  </si>
  <si>
    <t>Assistance to Tertiary Institutions Students' Association</t>
  </si>
  <si>
    <t>Orphans Vulnerable Children (OVC) Educational &amp; Nutritional Support to 10No. Pupils for each Local Government Area</t>
  </si>
  <si>
    <t>Construction of/Renovation of  Office Complex</t>
  </si>
  <si>
    <t xml:space="preserve">Establishment of e-Library at Malumfashi </t>
  </si>
  <si>
    <t>Renovation of Library HQ &amp; Establishment of e-Library at Katsina State Secretariat Complex</t>
  </si>
  <si>
    <t>Security Cameras (CCTV)</t>
  </si>
  <si>
    <t>Library Furniture (Reading Cubicles for HQ and Branches)</t>
  </si>
  <si>
    <t>New Collection of Books for HQ and Branches</t>
  </si>
  <si>
    <t>Construction of Wall fencing @ Headquarters/gate - 1No. Block of 2 classes with office, store and toilets for continuing Education Centre</t>
  </si>
  <si>
    <t>Training of 100No. Basic Literacy Youths on Artisan Vocational Acquisition towards self-reliance participants from IQE and Post Basic Centres Funtua Zone 30, Daura Zone 30 and Katsina Zone 40No.</t>
  </si>
  <si>
    <t>Expansion of Academic Infrastructure</t>
  </si>
  <si>
    <t>Construction of  Juma’at Mosque (Phase II) Imam and Deputy Imam Houses</t>
  </si>
  <si>
    <t xml:space="preserve">Improvement of Water Supply </t>
  </si>
  <si>
    <t xml:space="preserve">Staff  Development &amp; Training </t>
  </si>
  <si>
    <t>Combine Convocation Ceremony</t>
  </si>
  <si>
    <t>Provision of Library Books - E-Library</t>
  </si>
  <si>
    <t>Provision of Sporting equipment</t>
  </si>
  <si>
    <t>Upgrading of Library Complex &amp; Provision of Library Books</t>
  </si>
  <si>
    <t>Const of Provost House</t>
  </si>
  <si>
    <t>Renovation of College Library</t>
  </si>
  <si>
    <t>Construction of Students Toilets Facilities/Renovation</t>
  </si>
  <si>
    <t>Purchase of 6no Vehicles for Management Staff &amp; 1no Bus</t>
  </si>
  <si>
    <t>Provision of Science Equip &amp; Materials</t>
  </si>
  <si>
    <t>Procurement of Teaching Learning Materials</t>
  </si>
  <si>
    <t>Maint. &amp; Upgrading of College Water Works &amp; Water reticulation system</t>
  </si>
  <si>
    <t>Accreditation Expenses</t>
  </si>
  <si>
    <t>Construction of an Open Workshop at Centre for Renewable Energy</t>
  </si>
  <si>
    <t>Construction of  3No. Additional Theatres</t>
  </si>
  <si>
    <t>Const &amp; Equipping  of 2No Departments of Accounting &amp; Business Admin</t>
  </si>
  <si>
    <t>Construction of Class Rooms</t>
  </si>
  <si>
    <t>Water Supply Service &amp; Distribution</t>
  </si>
  <si>
    <t>I.C.T Institute Computer Lab Equipment</t>
  </si>
  <si>
    <t>Laboratories</t>
  </si>
  <si>
    <t>DEPARTMENT OF MARKET DEVELOPMENT</t>
  </si>
  <si>
    <t>Sales of Fencing Post</t>
  </si>
  <si>
    <t>DEPARTMENT OF BANKING &amp; FINANCE</t>
  </si>
  <si>
    <t>MINISTRY OF SPORTS AND SOCIAL DEVELOPMENT</t>
  </si>
  <si>
    <t>DEPARTMENT LIVESTOCK AND GRAZING RESERVE</t>
  </si>
  <si>
    <t>HISTORY AND CULTURE BUREAU</t>
  </si>
  <si>
    <t>022205300100</t>
  </si>
  <si>
    <t>022700600100</t>
  </si>
  <si>
    <t>025210400100</t>
  </si>
  <si>
    <t>MINISTRY OF SCIENCE, TECHNOLOGY &amp; INNOVATION</t>
  </si>
  <si>
    <t>051701000100</t>
  </si>
  <si>
    <t>DEPARTMENT OF EMPOWERMENT &amp; SOCIAL INTERVENTION</t>
  </si>
  <si>
    <t>012301300100</t>
  </si>
  <si>
    <t>012300400100</t>
  </si>
  <si>
    <t>012300300100</t>
  </si>
  <si>
    <t>BREAKDOWN OF REVENUE BY MDAs</t>
  </si>
  <si>
    <t>SOURCE OF REVENUE</t>
  </si>
  <si>
    <t>IDB Loan</t>
  </si>
  <si>
    <t>IFAD Loan</t>
  </si>
  <si>
    <t>NEWMAP Loan</t>
  </si>
  <si>
    <t>RAMP Loan</t>
  </si>
  <si>
    <t>Veterinary Treatment Fees</t>
  </si>
  <si>
    <t xml:space="preserve">Abattoir Slaughter Fees </t>
  </si>
  <si>
    <t>Livestock Dealers License Fees</t>
  </si>
  <si>
    <t>TOTAL REVENUE BY MDAs</t>
  </si>
  <si>
    <t>MINISTRY OF AGRICULTURE</t>
  </si>
  <si>
    <t>CAPITAL RECEIPTS (AIDS, GRANTS &amp; LOANS)</t>
  </si>
  <si>
    <t>DOMESTIC GRANTS</t>
  </si>
  <si>
    <t>FOREIGN GRANTS</t>
  </si>
  <si>
    <t xml:space="preserve">DOMESTIC LOANS &amp; BORROWING </t>
  </si>
  <si>
    <t>INTERNATIONAL LOANS &amp; BORROWING</t>
  </si>
  <si>
    <t>TRANSFER FROM CRF TO CDF</t>
  </si>
  <si>
    <t>Less: Recurrent Expenditure</t>
  </si>
  <si>
    <t>CAPITAL ACCOUNT</t>
  </si>
  <si>
    <t>Internal Grants</t>
  </si>
  <si>
    <t>External Grants</t>
  </si>
  <si>
    <t>External Loans</t>
  </si>
  <si>
    <t>Recurrent Budget</t>
  </si>
  <si>
    <t>Capital Budget</t>
  </si>
  <si>
    <t>ECONOMIC CODE</t>
  </si>
  <si>
    <t>ADMIN CODE</t>
  </si>
  <si>
    <t>MDAs</t>
  </si>
  <si>
    <t>% CONTRIBUTION</t>
  </si>
  <si>
    <t xml:space="preserve">DEPARTMENT OF BANKING AND FINANCE </t>
  </si>
  <si>
    <t>021501900100</t>
  </si>
  <si>
    <t>DEPARTMENT OF LIVESTOCK &amp; GRAZING RESERVE</t>
  </si>
  <si>
    <t>022000800100</t>
  </si>
  <si>
    <t>DEPARTMENT OF EMPLOYMENT PROMOTION</t>
  </si>
  <si>
    <t>023400400100</t>
  </si>
  <si>
    <t>MINITRY OF LAND &amp; SURVEY</t>
  </si>
  <si>
    <t>MINISTY OF WOMEN AFFAIRS</t>
  </si>
  <si>
    <t xml:space="preserve">GRAND TOTAL OF SUMMARY </t>
  </si>
  <si>
    <t>Personnel Costs</t>
  </si>
  <si>
    <t>2022 PROPOSED ESTIMATES</t>
  </si>
  <si>
    <t>Aids &amp; Grants</t>
  </si>
  <si>
    <t>ADMINISTRATIVE CODE -   011103700200 MINISTRY OF RELIGIOUS AFFAIRS</t>
  </si>
  <si>
    <t>TOTAL 3 YEARS BUDGET</t>
  </si>
  <si>
    <t>Foreign Loans</t>
  </si>
  <si>
    <t>TOTAL FOR KASROMA</t>
  </si>
  <si>
    <t xml:space="preserve">  </t>
  </si>
  <si>
    <t>LOCAL GOVERNMENT STAFF PENSION BOARD</t>
  </si>
  <si>
    <t>INTER GOVT'L &amp; DEVELOPMENT PARTNERS</t>
  </si>
  <si>
    <t>DEPARTMENT OF SKILLS ACQUISITION</t>
  </si>
  <si>
    <t>MINISTRY OF SPORTS &amp; SOCIAL DEVELOPMENT</t>
  </si>
  <si>
    <t>Excess Crude Oil</t>
  </si>
  <si>
    <t>LOCAL TRAVEL &amp; TRANSPORT: CIVIL SERVANTS</t>
  </si>
  <si>
    <t>PUBLICITY &amp; ENLIGHTMENT</t>
  </si>
  <si>
    <t>Renovation of KTARDA HQ</t>
  </si>
  <si>
    <t>Supply of Double Decker beds/mattresses (new male &amp;  female hostels)</t>
  </si>
  <si>
    <t xml:space="preserve">DEPARTMENT OF EMPOWERMENT &amp; SOCIAL INTERVENTION </t>
  </si>
  <si>
    <t>ECONOMIC SECTOR -</t>
  </si>
  <si>
    <t xml:space="preserve">ECONOMIC SECTOR - </t>
  </si>
  <si>
    <t xml:space="preserve">ECONOMIC SECTOR -   </t>
  </si>
  <si>
    <t xml:space="preserve">LAW &amp; JUSTICE SECTOR - </t>
  </si>
  <si>
    <t xml:space="preserve">SOCIAL SECTOR - </t>
  </si>
  <si>
    <t xml:space="preserve">SOCIAL SECTOR </t>
  </si>
  <si>
    <t xml:space="preserve">SOCIAL SECTOR     </t>
  </si>
  <si>
    <t xml:space="preserve">SOCIAL SECTOR      </t>
  </si>
  <si>
    <t>INTERNATIONAL TRAVEL &amp; TRANSPORT: CIVIL SERVANTS</t>
  </si>
  <si>
    <t>ADMINISTRATIVE CODE -  011102000100   -  DEPARTMENT OF YOUTH DEVELOPMENT</t>
  </si>
  <si>
    <t>ADMINISTRATIVE CODE -011210500100- DEPARTMENT OF LEGISLATIVE MATTERS</t>
  </si>
  <si>
    <t>ADMINISTRATIVE CODE -011102100100- DEPARTMENT OF PARTY LIAISON</t>
  </si>
  <si>
    <t>ADMINISTRATIVE CODE -025210400100- DEPARTMENT OF RURAL AND SEMI-URBAN WATER SUPPLY</t>
  </si>
  <si>
    <t>055100300100</t>
  </si>
  <si>
    <t>052111300100</t>
  </si>
  <si>
    <t>ADMINISTRATIVE CODE -052111300100- DEPARTMENT OF DRUGS, NACORTICS &amp; HUMAN TRAFICKING</t>
  </si>
  <si>
    <t>Value Added Tax</t>
  </si>
  <si>
    <t>Excess Crude</t>
  </si>
  <si>
    <t>Other FAC Allocations</t>
  </si>
  <si>
    <t>MINISTRY OF FINANCE (AGs OFFICE) - 022000700100</t>
  </si>
  <si>
    <t>BOARD OF INTERNAL REVENUE -  022000800100</t>
  </si>
  <si>
    <t>MINISTRY OF AGRICULTURE-  021500100100</t>
  </si>
  <si>
    <t>DEPT. OF LIVESTOCK &amp; GRAZING RESERVES -  021501900100</t>
  </si>
  <si>
    <t>MINISTRY OF WORKS -  023400100100</t>
  </si>
  <si>
    <t>DEPARTMENT OF EMPOWERMENT AND SOCIAL INTERVENTION -  011100700100</t>
  </si>
  <si>
    <t>CIVIL SERVICE COMMISSION -  014700100100</t>
  </si>
  <si>
    <t>MINISTRY OF INFORMATION -  012300100100</t>
  </si>
  <si>
    <t>DEPARTMENT OF ESTABLISHMENT &amp; TRAINING -  012500500100</t>
  </si>
  <si>
    <t>MINISTRY OF LANDS &amp; SURVEY -  026000100100</t>
  </si>
  <si>
    <t>HIGH COURT OF JUSTICE -  032605100100</t>
  </si>
  <si>
    <t>SHARIA COURT OF APPEAL -  032605300100</t>
  </si>
  <si>
    <t>MINISTRY OF COMMERCE &amp; INDUSTRY -  022200100100</t>
  </si>
  <si>
    <t xml:space="preserve"> MINISTRY OF EDUCATION-  051700100100</t>
  </si>
  <si>
    <t xml:space="preserve"> MINISTRY OF SPORTS &amp; SOCIAL DEVELOPMENT -  051300100100</t>
  </si>
  <si>
    <t>MINISTRY OF WOMEN AFFAIRS -  051400100100</t>
  </si>
  <si>
    <t>JUDICIAL SERVICE  COMMISSION -  031801100100</t>
  </si>
  <si>
    <t>DEPARTMENT OF YOUTH DEVELOPMENT -  011102000100</t>
  </si>
  <si>
    <t>SUBEB -  051700800100</t>
  </si>
  <si>
    <t xml:space="preserve"> STATE INDEPENDENT. ELECTORAL COMMISSION -  014800100100</t>
  </si>
  <si>
    <t>MINISTRY OF SCIENCE ,TECH. &amp; INNOVATION -  022800100100</t>
  </si>
  <si>
    <t>DEPT. OF INTER-GOVT’L AND DEV. PARTNERS -  011113200100</t>
  </si>
  <si>
    <t xml:space="preserve"> MINISTRY OF RESOURCE DEVELOPMENT -  023305100100</t>
  </si>
  <si>
    <t xml:space="preserve"> DEPARTMENT OF EMPLOYMENT PROMOTION -  022700500100</t>
  </si>
  <si>
    <t>KASROMA -  023400400100</t>
  </si>
  <si>
    <t xml:space="preserve"> DEPARTMENT OF BANKING &amp; FINANCE -  011118300100</t>
  </si>
  <si>
    <t xml:space="preserve"> MINISTRY OF JUSTICE -  032600100100</t>
  </si>
  <si>
    <t xml:space="preserve">DEPARTMENT OF INTER-GOVERNMENTAL </t>
  </si>
  <si>
    <t>DEPARTMENT OF SUSTAINABLE  DEVELOPMENT GOALS (SDG)</t>
  </si>
  <si>
    <t>PERSONNEL COSTS</t>
  </si>
  <si>
    <t>DEPARTMENT OF SKILLS ACQUISITION AND VOCATIONAL TRAINING</t>
  </si>
  <si>
    <t>DEPARTMENT OF DRUGS, NACORTICS &amp; HUMAN TRAFICKING</t>
  </si>
  <si>
    <t>DEPARTMENT OF RURAL AND SEMI-URBAN WATER SUPPLY</t>
  </si>
  <si>
    <t>BUSINESS DEVELOPMENT SERVICES</t>
  </si>
  <si>
    <t>CONTRIBUTION TO STATE ASSEMBLY SERVICE COMMISSION</t>
  </si>
  <si>
    <t>HONOURARIUM TO PRESS</t>
  </si>
  <si>
    <t>MAINT. OF HUMAN RESOURCES MGT SYSTEM(DATA BASE)</t>
  </si>
  <si>
    <t>ANNUAL AUDIT WORKING PAPERS EXPENSES</t>
  </si>
  <si>
    <t>AUDIT ANNUAL REPORT</t>
  </si>
  <si>
    <t>CONTRIBUTION TO KTARDA</t>
  </si>
  <si>
    <t>ECONOMIC SECTOR: MINISTRY OF AGRICULTURE AND NATURAL RESOURCES - 021500100100</t>
  </si>
  <si>
    <t xml:space="preserve">TAKE OFF GRANT TO BUREAU OF STATISTICS </t>
  </si>
  <si>
    <t>ECONOMIC SECTOR: MINISTRY OF BUDGET AND ECONOMIC PLANNING -  022000300100</t>
  </si>
  <si>
    <t>CONTRIBUTION TO BUSINESS SUPPORT CENTRE</t>
  </si>
  <si>
    <t>ECONOMIC SECTOR: DEPARTMENT OF MARKET DEVELOPMENT -  022205300100</t>
  </si>
  <si>
    <t>ECONOMIC SECTOR - DEPARTMENT OF EMPLOYMENT PROMOTION - 022700500100</t>
  </si>
  <si>
    <t>ECONOMIC SECTOR - MINISTRY OF SCIENCE, TECHNOLOGY AND INNOVATION - 022800100100</t>
  </si>
  <si>
    <t>MAINTENANCE OF OFFICE BUILDING</t>
  </si>
  <si>
    <t xml:space="preserve">MAINTENANCE OF OFFICE BUILDING </t>
  </si>
  <si>
    <t>CONTRIBUTION TO HASSAN USMAN KATSINA POLYTECHNIC</t>
  </si>
  <si>
    <t>CONTRIBUTION TO ISA KAITA COLLEGE OF EDUCATION D/MA</t>
  </si>
  <si>
    <t>CONTRIBUTION TO KATSINA STATE SCHOLARSHIP BOARD</t>
  </si>
  <si>
    <t>KATSINA STATE</t>
  </si>
  <si>
    <t>MINISTRY OF BUDGET AND ECONOMIC PLANNING</t>
  </si>
  <si>
    <t>SAIDU BARDA HOUSE (OLD GOVERNMENT HOUSE)</t>
  </si>
  <si>
    <t>KATSINA</t>
  </si>
  <si>
    <t>S/N</t>
  </si>
  <si>
    <t>CONTRIBUTION TO NIGERIAN LEGION GRANT</t>
  </si>
  <si>
    <t>Consolidated Revenue Fund Charges</t>
  </si>
  <si>
    <t>BUDGET SIZE</t>
  </si>
  <si>
    <t>MINISTRY OF FINANCE</t>
  </si>
  <si>
    <t>MINISTRY FOR RURAL DEVELOPMENT</t>
  </si>
  <si>
    <t>DEPARTMENT OF PARTY LIAISON</t>
  </si>
  <si>
    <t>SUMMARY OF TOTAL EXPENDITURE  BY SECTOR 2021</t>
  </si>
  <si>
    <t xml:space="preserve">APPROVED ESTIMATE 2020 </t>
  </si>
  <si>
    <t>NO. OF STAFF 2021</t>
  </si>
  <si>
    <t>Permanent Secretary's Salary</t>
  </si>
  <si>
    <t>Permanent Secretary's Allowance</t>
  </si>
  <si>
    <t>Permanent Secretary's Allowances</t>
  </si>
  <si>
    <t>Auditor General's Salary</t>
  </si>
  <si>
    <t>Auditor General's Allowance</t>
  </si>
  <si>
    <t>Permanent Commissioner's Salary</t>
  </si>
  <si>
    <t>Chairman/Permanent Commissioner's Allowance</t>
  </si>
  <si>
    <t>Chairman's Salary</t>
  </si>
  <si>
    <t>TOTAL  FOR DEP</t>
  </si>
  <si>
    <t>Salary for Institute of Technology and Management</t>
  </si>
  <si>
    <t>Salary for Science and Technical Education Board</t>
  </si>
  <si>
    <t>TOTAL  FOR MINISTRY OF RESOURCE DEV.</t>
  </si>
  <si>
    <t>TOTAL FOR DYD</t>
  </si>
  <si>
    <t>TOTAL FOR SCA</t>
  </si>
  <si>
    <t>TOTAL FOR HCJ</t>
  </si>
  <si>
    <t>ACTUAL AS AT AUG 2020</t>
  </si>
  <si>
    <t>Construction/Rehabilitation of Rural Feeder Roads in 34No.LGAs</t>
  </si>
  <si>
    <t>PURCHASE OF APPLICATION AND ADMISSION FORMS</t>
  </si>
  <si>
    <t>PRINTING OF NON-SECURITY DOCUMENTS</t>
  </si>
  <si>
    <t>OTHER CONSULTANCY SERVICES</t>
  </si>
  <si>
    <t>LOCAL GRANT/CONTRIBUTION</t>
  </si>
  <si>
    <t>OTHER MAITENANCE SERVICES</t>
  </si>
  <si>
    <t>SECURITY SEERVICE</t>
  </si>
  <si>
    <t>SECURITY &amp; STRATEGIC CONTACT</t>
  </si>
  <si>
    <t xml:space="preserve">SECURITY SERVICES </t>
  </si>
  <si>
    <t>SECURITY VOTE</t>
  </si>
  <si>
    <t>MINISTRY OF SPECIAL SERVICES - 011104400100</t>
  </si>
  <si>
    <t>LOGISTICS AND DONATIONS</t>
  </si>
  <si>
    <t>DEPARTMENT OF INTER-GOVERNMENTAL AND DEVELOPMENT PARTNERS - 011113200100</t>
  </si>
  <si>
    <t>WATER SUPPLY CHARGES</t>
  </si>
  <si>
    <t>DEPARTMENT OF BANKING &amp; FINANCE - 011118300100</t>
  </si>
  <si>
    <t>TOTAL FOR HOUSE OF ASSEMBLY</t>
  </si>
  <si>
    <t>DEPARTMENT OF POLITICAL AFFAIRS - 012300100300</t>
  </si>
  <si>
    <t xml:space="preserve">ADMINISTRATIVE SECTOR -       </t>
  </si>
  <si>
    <t>DEPARTMENT OF HUMAN CAPITAL DEVELOPMENT - 012500500200</t>
  </si>
  <si>
    <t>UPKEEP OF COLLEGE OF ADMINISTRATION FTA</t>
  </si>
  <si>
    <t>GAMES AT COLLEGE OF ADMINISTRATION FTA</t>
  </si>
  <si>
    <t>CONVOCATION AT COLLEGE OF ADMIN</t>
  </si>
  <si>
    <t>LABOUR ACTIVITES</t>
  </si>
  <si>
    <t xml:space="preserve">ADMIN SECTOR: </t>
  </si>
  <si>
    <t>ZONAL OFFICES RUNNING COSTS</t>
  </si>
  <si>
    <t>MONITORING AND INSPECTION</t>
  </si>
  <si>
    <t>PLANT OPERATIONS</t>
  </si>
  <si>
    <t>PROJECT MONITORING</t>
  </si>
  <si>
    <t xml:space="preserve">2020 APPROVED REVISED ESTIMATES </t>
  </si>
  <si>
    <t>DEPARTMENT OF YOUTH DEVELOPMENT- 051300200100</t>
  </si>
  <si>
    <t>DEPARTMENT OF YOUTH DEVELOPMENT: 051300200100</t>
  </si>
  <si>
    <t>ARMED FORCES REMEMBERANCE WEEK CELEBRATION</t>
  </si>
  <si>
    <t xml:space="preserve">  STATE EMERGENCY MANAGEMENT AGENCY (SEMA) - 053505300100</t>
  </si>
  <si>
    <t xml:space="preserve"> MINISTRY OF RELIGIOUS AFFAIRS - 011103700100</t>
  </si>
  <si>
    <t>ADMINISTRATIVE SECTOR: GOVERNMENT HOUSE- 011100100100</t>
  </si>
  <si>
    <t>HEAD OF CIVIL SERVICE OF THE STATE (HOCSS) - 012500100100</t>
  </si>
  <si>
    <t>CONTRIBUTION TO BODY OF BENCHERS</t>
  </si>
  <si>
    <t>GRANT TO INDUSTRIAL COURT</t>
  </si>
  <si>
    <t xml:space="preserve">LAW &amp; JUSTICE SECTOR </t>
  </si>
  <si>
    <t>HIGH COURT JUSTICE - 032605100100</t>
  </si>
  <si>
    <t>SHARIA COURT OF APPEAL - 032605300100</t>
  </si>
  <si>
    <t>DEPARTMENT OF DRUGS, NARCOTICS &amp; HUMAN TRAFFICKING - 052111300100</t>
  </si>
  <si>
    <t>PROVISION OF MATERIALS FOR REHABILITATION CENTRES</t>
  </si>
  <si>
    <t>CHILDREN HOME RUNNING COSTS</t>
  </si>
  <si>
    <t>NEWSPAPERS, MAGAZINES &amp; PERIODICALS</t>
  </si>
  <si>
    <t>AUDIT CONSULTING</t>
  </si>
  <si>
    <t>MONITORING EXERCISE</t>
  </si>
  <si>
    <t>CONSTRIBUTION TO COMMUNITIES/NGOs</t>
  </si>
  <si>
    <t>ORDERLIES/ESCORTS/ADC</t>
  </si>
  <si>
    <t>COMMITTEES AND COMMISSION</t>
  </si>
  <si>
    <t>PURCHASED OF BOOKS</t>
  </si>
  <si>
    <t>DIRECTORATE OF ESTABLISHMENT, PENSION &amp; TRAINING</t>
  </si>
  <si>
    <t>ADMINISTRATIVE CODE -   012500500100  -  DIRECTORATE OF ESTABLISHMENT, PENSION &amp; TRAINING</t>
  </si>
  <si>
    <t>DIRECTORATE OF ESTABLISHMENT, PENSION &amp; TRAINING - 012500500100</t>
  </si>
  <si>
    <t>ECONOMIC SECTOR:  021511500100</t>
  </si>
  <si>
    <t>ADMINISTRATIVE CODE -   021511500100  -  DEPARTMENT LIVESTOCK AND GRAZING RESERVE</t>
  </si>
  <si>
    <t>PRODUCTION OF FINAL ACCOUNT</t>
  </si>
  <si>
    <t>COMMITTEE EXPENSES</t>
  </si>
  <si>
    <t>GRANT TO COMMUNITY</t>
  </si>
  <si>
    <t>MEDICAL TREATMENT OVERSEAS</t>
  </si>
  <si>
    <t>PASSAGES</t>
  </si>
  <si>
    <t>SETTLEMENT OF KEDCO BILLS</t>
  </si>
  <si>
    <t>YOUTH VANGUARD ALLOWANCE</t>
  </si>
  <si>
    <t xml:space="preserve">NATIONAL COUNCIL OF COMMERCE, INDUSTRIES AND TOURISMS </t>
  </si>
  <si>
    <t>MAINTENANCE OF MONUMENT</t>
  </si>
  <si>
    <t>PRINTING OF REGISTRATION FORMS</t>
  </si>
  <si>
    <t>CONTRIBUTION TO NLC &amp; TUC</t>
  </si>
  <si>
    <t>EXTENSION &amp; SERVICES MATERIALS</t>
  </si>
  <si>
    <t>LAB CONSUMMABLES</t>
  </si>
  <si>
    <t>ECONOMIC SECTOR - MINISTRY OF LANDS - 022600100100</t>
  </si>
  <si>
    <t>INTERNET CHARGES</t>
  </si>
  <si>
    <t>RENT TRIBUNAL RUNNING COSTS</t>
  </si>
  <si>
    <t>MAINTENANCE OF EYE CENTRE</t>
  </si>
  <si>
    <t>MINISTRY OF WOMEN AFFAIRS - 051400100100</t>
  </si>
  <si>
    <t>MAINTENANCE OF FSP</t>
  </si>
  <si>
    <t>UPKEEP OF MULTI-PURPOSE CENTRE</t>
  </si>
  <si>
    <t>ADMIN CODE -022700600100- DEPARTMENT OF SKILLS ACQUISITION AND VOCATIONAL TRAINING</t>
  </si>
  <si>
    <t>KYES WORKING MATERIALS</t>
  </si>
  <si>
    <t>DEPARTMENT OF POWER AND ENERGY - 023100100100</t>
  </si>
  <si>
    <t>ADMINISTRATIVE CODE - 023100100100-DEPARTMENT OF POWER &amp; ENERGY</t>
  </si>
  <si>
    <t>DEPARTMENT OF GIRL CHILD EDUCATION AND CHILD DEVELOPMENT - 051400100200</t>
  </si>
  <si>
    <t>CHILD WELFARE PROGRAMME</t>
  </si>
  <si>
    <t>GUIDANCE &amp; COUNSELING</t>
  </si>
  <si>
    <t>EXAMS SUBSIDY</t>
  </si>
  <si>
    <t>STUDENT EXCHANGE UNIFORMS</t>
  </si>
  <si>
    <t>UPKEEP OF FARMS &amp; LIVESTOCKS SCHOOLS</t>
  </si>
  <si>
    <t>MINOR MAINTENANCE OF SCHOOLS</t>
  </si>
  <si>
    <t>STUDENT EXCHANGE TRAVELLING EXPENSES</t>
  </si>
  <si>
    <t>MAINTENANCE OF COMPUTER CENTRES</t>
  </si>
  <si>
    <t>CONTRIBUTION TO YUSUF BALA USMAN COLLEGE, DAURA</t>
  </si>
  <si>
    <t>REVISED 2020</t>
  </si>
  <si>
    <t>SSA's RUNNING COSTS</t>
  </si>
  <si>
    <t>KATSINA STATE AGRICULTURAL AND RURAL DEVELOPMENT AUTHORITY (KTARDA) - 021511400100</t>
  </si>
  <si>
    <t>KATSINA FARMERS SUPPLY COMPANY - FASCOKT - 021511000100</t>
  </si>
  <si>
    <t>DEPARTMENT OF LIVESTOCK AND GRAZING RESERVE</t>
  </si>
  <si>
    <t xml:space="preserve"> VETERINARY DEPARTMENT - 021511500100</t>
  </si>
  <si>
    <t>KATSINA STATE HOUSING AUTHORITY 025301000100</t>
  </si>
  <si>
    <t>Mass Housing Project</t>
  </si>
  <si>
    <t>Katsina Zone Roads Maintenance</t>
  </si>
  <si>
    <t>Daura Zone Roads Maintenance</t>
  </si>
  <si>
    <t>Funtua Zone Roads Maintenance</t>
  </si>
  <si>
    <t>HISTORY AND CULTURE BUREAU - 012301500100</t>
  </si>
  <si>
    <t>MINISTRY OF EDUCATION  - 051700100100…. CONTINUED</t>
  </si>
  <si>
    <t>LIBRARY BOARD - 051700800100</t>
  </si>
  <si>
    <t>ISA KAITA COLLEGE OF EDUCATION, DUTSINMA - 051701900100</t>
  </si>
  <si>
    <t xml:space="preserve"> MINISTRY OF SCIENCE, TECHNOLOGY AND INNOVATION - 022800100100</t>
  </si>
  <si>
    <t>Purchase of Tools &amp; Equip for Youth Craft Village</t>
  </si>
  <si>
    <t xml:space="preserve">Improvement of College of Health Sciences </t>
  </si>
  <si>
    <t>Infectious Disease Fund</t>
  </si>
  <si>
    <t>Free Medical Care for the Elderly and Disabled Patients</t>
  </si>
  <si>
    <t>Rehab &amp; Expansion of Katsina Eye Centre (IDB)</t>
  </si>
  <si>
    <t>MINISTRY OF INFORMATION, CULTURE &amp; HOME AFFAIRS - 012300100100</t>
  </si>
  <si>
    <t>DEPARTMENT OF RURAL AND SEMI URBAN WATER SUPPLY: 025210400100</t>
  </si>
  <si>
    <t xml:space="preserve">26No.LGAs Contribution to Rural Water Supply &amp; Sanitation Intervention Projects (IR) </t>
  </si>
  <si>
    <t>Matching Grant for Partnership for Expanded Water Supply, Sanitation and Hygiene (PEWASH) Projects</t>
  </si>
  <si>
    <t xml:space="preserve">8No. LGAs Counterpart Fund for Partnership for Expanded Water Supply, Sanitation and Hygiene (PEWASH) Projects (IR) </t>
  </si>
  <si>
    <t>Partnership for Expanded Water Supply, Sanitation and Hygiene (PEWASH) Projects FGN (IR)</t>
  </si>
  <si>
    <t>MINISTRY OF LANDS - 022600100100</t>
  </si>
  <si>
    <t>Social Development Package</t>
  </si>
  <si>
    <t>MINISTRY FOR RURAL DEVELOPMENT - 051900100200</t>
  </si>
  <si>
    <t>DEPARTMENT OF GIRL CHILD EDUCATION &amp; CHILD DEVELOPMENT 051400100200</t>
  </si>
  <si>
    <t>DEPARTMENT OF COMMUNITY DEVELOPMENT:- 055100300100</t>
  </si>
  <si>
    <t>OFFICE OF AUDITOR GENERAL FOR LOCAL GOVERNMENT: 014000100200</t>
  </si>
  <si>
    <t>70% of 1% - Training Fund</t>
  </si>
  <si>
    <t>OFFICE OF THE SECRETARY TO THE GOVERNMENT OF THE STATE (SGS) - 011101300100</t>
  </si>
  <si>
    <t xml:space="preserve">         DEPARTMENT OF INTER-GOVERNMENTAL AND DEVELOPMENT PARTNERS - 011113200100</t>
  </si>
  <si>
    <t>Repairs of Deputy Governor's Lodge, Abuja</t>
  </si>
  <si>
    <t xml:space="preserve">Repiars and Renovation of Governor's Lodge at Abuja </t>
  </si>
  <si>
    <t>Maintenance of Governor's/Deputy Governor's Lodge at Kaduna</t>
  </si>
  <si>
    <t>DEPARTMENT OF SKILLS ACQUISITION AND VOCATIONAL TRAINING: 051400200100</t>
  </si>
  <si>
    <t>PUBLIC DEBT CHARGES</t>
  </si>
  <si>
    <t>Islamic Education Bureau</t>
  </si>
  <si>
    <t>011103700100</t>
  </si>
  <si>
    <t>011103700300</t>
  </si>
  <si>
    <t>011200500100</t>
  </si>
  <si>
    <t>011101000100</t>
  </si>
  <si>
    <t>012300100300</t>
  </si>
  <si>
    <t>012301500100</t>
  </si>
  <si>
    <t>012500500200</t>
  </si>
  <si>
    <t>021511500100</t>
  </si>
  <si>
    <t>021511000100</t>
  </si>
  <si>
    <t>021511400100</t>
  </si>
  <si>
    <t>022200100200</t>
  </si>
  <si>
    <t>022800700100</t>
  </si>
  <si>
    <t>023100100100</t>
  </si>
  <si>
    <t>025210300100</t>
  </si>
  <si>
    <t>025301000100</t>
  </si>
  <si>
    <t>022600100100</t>
  </si>
  <si>
    <t>032605400100</t>
  </si>
  <si>
    <t>Drugs Supply Management Agency</t>
  </si>
  <si>
    <t>051300200100</t>
  </si>
  <si>
    <t>051900100200</t>
  </si>
  <si>
    <t>051400100200</t>
  </si>
  <si>
    <t>051400200100</t>
  </si>
  <si>
    <t>051700300100</t>
  </si>
  <si>
    <t>051702900100</t>
  </si>
  <si>
    <t>051705300100</t>
  </si>
  <si>
    <t>051701700100</t>
  </si>
  <si>
    <t>051705600100</t>
  </si>
  <si>
    <t>052100200100</t>
  </si>
  <si>
    <t>052100300100</t>
  </si>
  <si>
    <t>052110200100</t>
  </si>
  <si>
    <t>052110400100</t>
  </si>
  <si>
    <t>052110600100</t>
  </si>
  <si>
    <t>052111300200</t>
  </si>
  <si>
    <t>053505300100</t>
  </si>
  <si>
    <t>Approved Revised Estimates 2020</t>
  </si>
  <si>
    <t>Actual  (AS AT AUG) 2020</t>
  </si>
  <si>
    <t>Proposed Estimates 2023</t>
  </si>
  <si>
    <t>DEPARTMENT OF SKILLS ACQUISITION AND VOCATIONAL TRAINING - 051400200100</t>
  </si>
  <si>
    <t>2023 PROPOSED ESTIMATES</t>
  </si>
  <si>
    <t>Administrative Sector</t>
  </si>
  <si>
    <t>Value Added Tax (VAT)</t>
  </si>
  <si>
    <t>Excess Crude Oil Sales</t>
  </si>
  <si>
    <t xml:space="preserve"> DEPT. OF SKILLS ACQUISITION &amp; VOCATIONAL TRAINING -  051400200100</t>
  </si>
  <si>
    <t>MINISTRY OF BUDGET AND ECONOMIC PLANNING - 022000300100</t>
  </si>
  <si>
    <t>TOTAL FOR GOVERNMENT HOUSE</t>
  </si>
  <si>
    <t>TOTAL DEPUTY GOVERNOR'S OFFICE</t>
  </si>
  <si>
    <t>TOTAL FOR MIN. OF RELIGIOUS AFFAIRS</t>
  </si>
  <si>
    <t>MINISTRY OF RELIGIOUS AFFAIRS - 011103700100</t>
  </si>
  <si>
    <t>TOTAL FOR MIN. OF SPECIAL SERVICES</t>
  </si>
  <si>
    <t>TOTAL FOR DEPT. OF INTER-GOVTL. &amp; DEV. P</t>
  </si>
  <si>
    <t>TOTAL DEPT. OF BANKING &amp; FINANCE</t>
  </si>
  <si>
    <t>TOTAL FOR MIN. OF INFORMATION, C&amp; H.A</t>
  </si>
  <si>
    <t>TOTAL FOR DEPT. OF POLITICAL AFFAIRS</t>
  </si>
  <si>
    <t>TOTAL FOR THE HEAD OF CIVIL SERVICE</t>
  </si>
  <si>
    <t>TOTAL FOR STATE AUDITOR-GENERAL</t>
  </si>
  <si>
    <t>TOTAL FOR AUDITOR-GEN. FOR LOCAL GOVT.</t>
  </si>
  <si>
    <t>TOTAL FOR CIVIL SERVICE COMMISSION</t>
  </si>
  <si>
    <t>TOTAL FOR LOCAL GOVT. SERVICE COMMISSION</t>
  </si>
  <si>
    <t>TOTAL FOR S.I.E.C</t>
  </si>
  <si>
    <t>TOTAL FOR DEPT. OF PARTY LIAISON</t>
  </si>
  <si>
    <t>TOTAL FOR DEPT. OF LEGISLATIVE MATTERS</t>
  </si>
  <si>
    <t>TOTAL FOR SDGS</t>
  </si>
  <si>
    <t>TOTAL FOR MIN. OF AGRICULTURE</t>
  </si>
  <si>
    <t>TOTAL FOR MIN. OF BUDGET &amp; ECON. PLANNING</t>
  </si>
  <si>
    <t>TOTAL FOR OFFICE OF THE ACCOUNTANT-GENERAL</t>
  </si>
  <si>
    <t>MINISTRY OF COMMERCE, INDUSTRY &amp; TOURISM  - 022200100100</t>
  </si>
  <si>
    <t>TOTAL MIN. OF COMMERCE, INDUSTRY &amp; TOURISM</t>
  </si>
  <si>
    <t>TOTAL FOR DEPT. OF MARKET DEVELOPMENT</t>
  </si>
  <si>
    <t>TOTAL FOR DEPT. OF LABOUR &amp; PRODUCTIVITY</t>
  </si>
  <si>
    <t>TOTAL FOR DEPT. OF EMPLOYMENT PROMOTION</t>
  </si>
  <si>
    <t>TOTAL FOR MIN. OF SCIENCE, TECH &amp; INNOVATION</t>
  </si>
  <si>
    <t>TOTAL FOR MIN. OF RESOURCE DEVELOPMENT</t>
  </si>
  <si>
    <t>TOTAL FOR MIN. OF WORKS</t>
  </si>
  <si>
    <t>TOTAL FOR OFFICE OF THE SURVEYOR-GENERAL</t>
  </si>
  <si>
    <t>TOTAL FOR MIN. OF LANDS</t>
  </si>
  <si>
    <t>TOTAL FOR JSC</t>
  </si>
  <si>
    <t>TOTAL FOR MIN. OF JUSTICE</t>
  </si>
  <si>
    <t>TOTAL FOR HIGH COURT OF JUSTICE</t>
  </si>
  <si>
    <t>TOTAL FOR SHARIA COURT OF APPEAL</t>
  </si>
  <si>
    <t>TOTAL FOR DEPT. OF DRUGS, NARCO. &amp; HUMAN TRAFFICKING</t>
  </si>
  <si>
    <t>TOTAL FOR MIN. OF SPORTS &amp; SOCIAL DEVELOPMENT</t>
  </si>
  <si>
    <t>TOTAL FOR DEPT. OF YOUTH DEVELOPMENT</t>
  </si>
  <si>
    <t>TOTAL FOR MIN. OF WOMEN AFFAIRS</t>
  </si>
  <si>
    <t>TOTAL FOR DEPT. OF POWER &amp; ENERGY</t>
  </si>
  <si>
    <t>TOTAL FOR DEPT. OF GIRL CHILD EDU. &amp; CHILD DEV.</t>
  </si>
  <si>
    <t>TOTAL FOR MINISTRY OF EDUCATION</t>
  </si>
  <si>
    <t>TOTAL FOR DEPT. OF HIGHER EDUCATION</t>
  </si>
  <si>
    <t>TOTAL FOR MINISTRY OF HEALTH</t>
  </si>
  <si>
    <t>TOTAL FOR MIN. OF ENVIRONMENT</t>
  </si>
  <si>
    <t>TOTAL FOR MIN. FOR RURAL DEVELOPMENT</t>
  </si>
  <si>
    <t>TOTAL FOR MINISTRY FOR LOCAL GOVT. &amp; C.A</t>
  </si>
  <si>
    <t>TOTAL FOR DEPT. OF COMMUNITY DEVELOPMENT</t>
  </si>
  <si>
    <t xml:space="preserve">022200100100                           </t>
  </si>
  <si>
    <t xml:space="preserve">023400100100                                                                                                                                                                                                                                                            </t>
  </si>
  <si>
    <t>LAW AND JUSTUCE SECTOR</t>
  </si>
  <si>
    <t>SUB-TOTAL FOR LAW &amp; JUSTICE SECTOR</t>
  </si>
  <si>
    <t>SUB-TOTAL FOR ECONOMIC SECTOR</t>
  </si>
  <si>
    <t xml:space="preserve">GOVERNMENT HOUSE </t>
  </si>
  <si>
    <t xml:space="preserve">DEPUTY GOVERNOR’S OFFICE </t>
  </si>
  <si>
    <t>DEPARTMENT OF INTER-GOVERNMENTAL AND DEVELOPMENT PARTNERS</t>
  </si>
  <si>
    <t>DEPARTMENT OF  EMPOWERMENT AND SOCIAL INTERVENTION</t>
  </si>
  <si>
    <t>SUSTAINABLE DEVELOPMENT GOALS (SDGS)</t>
  </si>
  <si>
    <t>OFFICE OF THE SECRETARY TO THE GOVERNMENT OF THE STATE (SGS)</t>
  </si>
  <si>
    <t xml:space="preserve">PILGRIMS WELFARE BOARD </t>
  </si>
  <si>
    <t xml:space="preserve">MINISTRY OF SPECIAL SERVICES </t>
  </si>
  <si>
    <t>DEPARTMENT OF BANKING AND FINANCE</t>
  </si>
  <si>
    <t>KATSINA STATE HOUSE OF ASSEMBLY</t>
  </si>
  <si>
    <t>DEPARTMENT OF LEGISLATIVE  MATTERS</t>
  </si>
  <si>
    <t>MINISTRY OF INFORMATION, CULTURE AND HOME AFFAIRS</t>
  </si>
  <si>
    <t>KATSINA STATE TELEVISION AUTHORITY (KTTV)</t>
  </si>
  <si>
    <t>KATSINA STATE RADIO</t>
  </si>
  <si>
    <t>GOVERNMENT PRINTING PRESS</t>
  </si>
  <si>
    <t>OFFICE OF THE HEAD OF CIVIL SERVICE OF THE STATE (HOCSS)</t>
  </si>
  <si>
    <t>DEPARTMENT OF HUMAN CAPITAL DEVELOPMENT</t>
  </si>
  <si>
    <t>OFFICE OF THE AUDITOR-GENERAL FOR THE STATE</t>
  </si>
  <si>
    <t xml:space="preserve">OFFICE OF THE AUDITOR-GENERAL FOR LOCAL GOVERNMENT </t>
  </si>
  <si>
    <t xml:space="preserve">CIVIL SERVICE COMMISSION </t>
  </si>
  <si>
    <t xml:space="preserve">LOCAL GOVERNMENT SERVICE COMMISSION </t>
  </si>
  <si>
    <t>FARMERS SUPPLY COMPANY (FASCOKT)</t>
  </si>
  <si>
    <t>OFFICE OF THE ACCOUNTANT-GENERAL</t>
  </si>
  <si>
    <t>MINISTRY OF COMMERCE, INDUSTRY AND TOURISM</t>
  </si>
  <si>
    <t>INVESTMENT PROMOTION AGENCY</t>
  </si>
  <si>
    <t>OFFICE OF THE SURVEYOR-GENERAL</t>
  </si>
  <si>
    <t>DEPARTMENT OF LABOUR AND PRODUCTIVITY</t>
  </si>
  <si>
    <t>MINISTRY OF SCIENCE, TECHNOLOGY AND INNOVATION</t>
  </si>
  <si>
    <t>DEPARTMENT OF POWER AND ENERGY</t>
  </si>
  <si>
    <t>RURAL ELECTRIFICATION BOARD (REB)</t>
  </si>
  <si>
    <t xml:space="preserve">MINISTRY OF RESOURCE DEVELOPMENT  </t>
  </si>
  <si>
    <t>MINISTRY OF WORKS, HOUSING AND TRANSPORT</t>
  </si>
  <si>
    <t>HOUSING AUTHORITY</t>
  </si>
  <si>
    <t xml:space="preserve">RURAL WATER SUPPLY AND SANITATION AGENCY (RUWASSA) </t>
  </si>
  <si>
    <t>STATE EMERGENCY MANAGEMENT AGENCY (SEMA)</t>
  </si>
  <si>
    <t>DEPARTMENT OF GIRL CHILD EDUCATION AND CHILD DEVELOPMENT</t>
  </si>
  <si>
    <t>STATE UNIVERSAL BASIC EDUCATION BOARD (SUBEB)</t>
  </si>
  <si>
    <t xml:space="preserve">KATSINA STATE LIBRARY BOARD </t>
  </si>
  <si>
    <t>AGENCY FOR MASS EDUCATION</t>
  </si>
  <si>
    <t>SCIENCE AND TECHNICAL EDUCATION BOARD (STEB)</t>
  </si>
  <si>
    <t xml:space="preserve">DEPARTMENT OF HIGHER EDUCATION </t>
  </si>
  <si>
    <t>YUSUFU BALA USMAN COLLEGE, DAURA</t>
  </si>
  <si>
    <t xml:space="preserve">HASSAN USMAN KATSINA POLYTECHNIC </t>
  </si>
  <si>
    <t>ISA KAITA COLLEGE OF EDUCATION DUTSIN-MA</t>
  </si>
  <si>
    <t>KATSINA STATE SCHOLARSHIP BOARD (KTSSB)</t>
  </si>
  <si>
    <t xml:space="preserve">MINISTRY OF HEALTH </t>
  </si>
  <si>
    <t>CONTRIBUTORY HEALTH CARE DEVELOPMENT AGENCY</t>
  </si>
  <si>
    <t>STATE PRIMARY HEALTH CARE DEVELOPMENT AGENCY (SPHCDA)</t>
  </si>
  <si>
    <t>COLLEGE OF NURSING AND MIDWIFERY</t>
  </si>
  <si>
    <t>COLLEGE OF HEALTH SCIENCES</t>
  </si>
  <si>
    <t>DRUGS SUPPLY MANAGEMENT AGENCY</t>
  </si>
  <si>
    <t>HEALTH SERVICES MANAGEMENT BOARD (HSMB)</t>
  </si>
  <si>
    <t>DEPARTMENT OF  DRUGS, NARCOTICS AND HUMAN TRAFFICKING</t>
  </si>
  <si>
    <t>STATE ENVIRONMENTAL PROTECTION AND SANITATION AGENCY (SEPA)</t>
  </si>
  <si>
    <t xml:space="preserve">MINISTRY FOR LOCAL GOVERNMENT AND CHIEFTAINCY AFFAIRS </t>
  </si>
  <si>
    <t>SUB-TOTAL FOR ADMIN SECTOR</t>
  </si>
  <si>
    <t>DEPUTY GOVERNOR'S OFFICE - 011100100200</t>
  </si>
  <si>
    <t xml:space="preserve">ADMINISTRATIVE SECTOR: </t>
  </si>
  <si>
    <t>OFFICE OF THE SECRETARY TO GOVERNMENT OF THE STATE (SGS) - 011101300100</t>
  </si>
  <si>
    <t>KATSINA STATE INSTITUTE OF TECHNOLOGY AND MANAGEMENT</t>
  </si>
  <si>
    <t>KATSINA STATE ROAD MAINTENANCE MANAGEMENT AGENCY</t>
  </si>
  <si>
    <t>STATE ENVIRONMENTAL PROTECTION AND SANITATION AGENCY</t>
  </si>
  <si>
    <t>STATE PRIMARY HEALTH CARE DEVELOPMENT AGENCY</t>
  </si>
  <si>
    <t xml:space="preserve">SCIENCE AND TECHNICAL EDUCATION BOARD </t>
  </si>
  <si>
    <t>STATE UNIVERSAL BASIC EDUCATION BOARD</t>
  </si>
  <si>
    <t>RURAL WATER SUPPLY AND SANITATION AGENCY</t>
  </si>
  <si>
    <t>KATSINA STATE URBAN AND REGIONAL PLANNING BOARD</t>
  </si>
  <si>
    <t>AGRICULTURAL AND RURAL DEVELOPMENT AUTHORITY</t>
  </si>
  <si>
    <t>FARMERS SUPPLY COMPANY</t>
  </si>
  <si>
    <t>OFFICE OF THE HEAD OF CIVIL SERVICE OF THE STATE</t>
  </si>
  <si>
    <t>KATSINA STATE TELEVISION AUTHORITY</t>
  </si>
  <si>
    <t>OFFICE OF THE SECRETARY TO THE GOVERNMENT OF THE STATE</t>
  </si>
  <si>
    <t>SUSTAINABLE DEVELOPMENT GOALS</t>
  </si>
  <si>
    <t>MINISTRY OF SPECIAL SERVICES</t>
  </si>
  <si>
    <t>DEPARTMENT OF LEGISLATIVE MATTERS</t>
  </si>
  <si>
    <t>DEPARTMENT OF PARTY LIAISON - 012300100200</t>
  </si>
  <si>
    <t xml:space="preserve"> DEPARTMENT OF LIVESTOCK AND GRAZING RESERVE - 021511500100</t>
  </si>
  <si>
    <t>CONTRIBUTION TO SEMA (TRANSFERRED TO MIN OF SPORTS)</t>
  </si>
  <si>
    <t>GOVERNMENT PRINTING DEPARTMENT - 012301300100</t>
  </si>
  <si>
    <t>OFFICE OF THE HEAD OF CIVIL SERVICE OF THE STATE (OHOCSS) - 012500100100</t>
  </si>
  <si>
    <t>OFFICE OF THE AUDITOR-GENERAL FOR THE STATE - 014000100100</t>
  </si>
  <si>
    <t>DIRECTORATE OF ESTABLISHMENT, PENSION AND TRAINING</t>
  </si>
  <si>
    <t>OFFICE OF THE AUDITOR GENERAL FOR THE STATE</t>
  </si>
  <si>
    <t>OFFICE OF THE AUDITOR GENERAL FOR LOCAL GOVERNMENT</t>
  </si>
  <si>
    <t>SHARI'A COMMISSION</t>
  </si>
  <si>
    <t>MINISTRY OF WORKS, HOUSING &amp; TRANSPORT (GENERAL) - 023400100100</t>
  </si>
  <si>
    <t>KATSINA STATE ROADS MAINTENANCE AGENCY (KASROMA) - 023400400100</t>
  </si>
  <si>
    <t>AGENCY FOR MASS EDUCATION - 051701000100</t>
  </si>
  <si>
    <t>DR. YUSUFU BALA USMAN COLLEGE, DAURA -  051701700100</t>
  </si>
  <si>
    <t>STATE HOUSING AUTHORITY</t>
  </si>
  <si>
    <t>KATSINA STATE SCHOLARSHIP BOARD</t>
  </si>
  <si>
    <t xml:space="preserve">   </t>
  </si>
  <si>
    <t>Purchase of Photographic Materials</t>
  </si>
  <si>
    <t>Purchase of Video Tape Films</t>
  </si>
  <si>
    <t>Safety Certificate Renewal fees- (Petrol Station Fees) 853No.</t>
  </si>
  <si>
    <t>Liability on Safety Certificate Renewal fees- (Petrol Station Fees)</t>
  </si>
  <si>
    <t>APPROVED 2020</t>
  </si>
  <si>
    <t>Printing of Receipts for MDAs &amp; LGAs</t>
  </si>
  <si>
    <t>Other Printing Works</t>
  </si>
  <si>
    <t>GOVERNMENT PRINTING DEPARTMENT</t>
  </si>
  <si>
    <t>RECURRENT BUDGET, 2021</t>
  </si>
  <si>
    <t xml:space="preserve">ECONOMIC SECTOR </t>
  </si>
  <si>
    <t>LOCAL TRAVEL &amp; TRASPORT: OTHERS</t>
  </si>
  <si>
    <t>UTILITIES -GENERAL</t>
  </si>
  <si>
    <t>LOCAL TRAINING</t>
  </si>
  <si>
    <t>KATSINA STATE RADIO - 012300400100</t>
  </si>
  <si>
    <t>ADMINISTRATIVE CODE - KATSINA STATE RADIO - 012300400100</t>
  </si>
  <si>
    <t>APPROVED  ESTIMATE 2020</t>
  </si>
  <si>
    <t>NIL</t>
  </si>
  <si>
    <t>General Manager's Salary</t>
  </si>
  <si>
    <t>General Manager's Allowance</t>
  </si>
  <si>
    <t>KATSINA STATE TELEVISION AUTHORITY (KTTV) - 012300300100</t>
  </si>
  <si>
    <t>ADMINISTRATIVE CODE - KATSINA STATE TELEVISION AUTHORITY (KTTV) - 012300300100</t>
  </si>
  <si>
    <t>General Manager’s Salary/Allowances</t>
  </si>
  <si>
    <t>TOTAL FOR KTTV</t>
  </si>
  <si>
    <t>PURCHASE OF FUEL AND LUBRICANTS</t>
  </si>
  <si>
    <t>CASUAL WAGES</t>
  </si>
  <si>
    <t>BOARD MEMBERS ALLOWANCES</t>
  </si>
  <si>
    <t>ACTUAL AUG 2020</t>
  </si>
  <si>
    <t>Hiring of Cultural Troupe</t>
  </si>
  <si>
    <t>Hiring of Theatre</t>
  </si>
  <si>
    <t>Inter Local Government Drama Competition</t>
  </si>
  <si>
    <t>Craft Exhibition</t>
  </si>
  <si>
    <t>Knitting Material</t>
  </si>
  <si>
    <t>Registration of Traditonal  Film Producers</t>
  </si>
  <si>
    <t>Registration of Traditional Healers</t>
  </si>
  <si>
    <t>Sales of Publications</t>
  </si>
  <si>
    <t xml:space="preserve">Sundries </t>
  </si>
  <si>
    <t>Total</t>
  </si>
  <si>
    <t>REHAB CENTRES UP KEEP</t>
  </si>
  <si>
    <t>SPORTING ACTIVITIES (Sport Council)</t>
  </si>
  <si>
    <t>PLAYERS TRAINING AND DEVENT ALLOWANCE</t>
  </si>
  <si>
    <t>Add Facilities at Reformatory Centre /Const.of Computer Trg W/shop, Katsina (TRANSFER TO DEPT OF DRUG)</t>
  </si>
  <si>
    <t>Rahab. Upgra. Of M/fashi &amp; Fta Township Stad. &amp; Compl. Of Abondon Fed. Proj. at the Stadium</t>
  </si>
  <si>
    <t xml:space="preserve">ADMINISTRATIVE SECTOR </t>
  </si>
  <si>
    <t>PURCHASE OF NEWSPAPER</t>
  </si>
  <si>
    <t>PRINTING AND STATIONARIES</t>
  </si>
  <si>
    <t>VEHICLES MAINTENANCE</t>
  </si>
  <si>
    <t>PURCHASE OF FUEL AND LUBRICANT</t>
  </si>
  <si>
    <t>BANK CHARGES</t>
  </si>
  <si>
    <t>STATE EMERGENCY MANAGEMENT AGENCY (SEMA) - 05305300100</t>
  </si>
  <si>
    <t>MAINTENANCE OF IDPs</t>
  </si>
  <si>
    <t>Katsina United Salary/Allowance</t>
  </si>
  <si>
    <t>TOTAL FOR SGS OFFICE</t>
  </si>
  <si>
    <t>ROUTINE MULTI-PURPOSE ASSESSMENT TOUR OF 34 LOCAL GOVERNMENT AREAS IN THE STATE</t>
  </si>
  <si>
    <t>Rehabilitation of Sharia Law Commission</t>
  </si>
  <si>
    <t>Purchase of Chairman and Secretary's Vehicles</t>
  </si>
  <si>
    <t>RECURRENT OVERHEAD ESTIMATES, 2021</t>
  </si>
  <si>
    <t>PILGRIMS WELFARE BOARD - 011103700300</t>
  </si>
  <si>
    <t xml:space="preserve">PURCHASE OF FUEL </t>
  </si>
  <si>
    <t>ADMINISTRATIVE CODE -   011103700300  -  PILGRIMS WELFARE BOARD</t>
  </si>
  <si>
    <t>Executive Director’s Salary &amp; Allowance</t>
  </si>
  <si>
    <t>TOTAL PILGRIMS WELFARE BOARD</t>
  </si>
  <si>
    <t>ISLAMIC EDUCATION BUREAU - 011103700200</t>
  </si>
  <si>
    <t>TEACHING MATERIALS</t>
  </si>
  <si>
    <t>BOARD MEMBERS ALLOWANCE</t>
  </si>
  <si>
    <t>ASSISTANCE &amp; DONATION</t>
  </si>
  <si>
    <t>TOTAL FOR ISLAMIC EDUCATION BUREAU</t>
  </si>
  <si>
    <t>STATUTORY PENSON</t>
  </si>
  <si>
    <t>STATUTORY GRATUITY</t>
  </si>
  <si>
    <t>Severance Furniture Allowance</t>
  </si>
  <si>
    <t>STATUTORY PENSION</t>
  </si>
  <si>
    <t>CONTRIBUTION TO NYSC</t>
  </si>
  <si>
    <t>CONTRIBUTION TO WATER BOARD (PSP)</t>
  </si>
  <si>
    <t>1% CONTRIBUTION TO MANAGEMENT STATE CONTRIBUTORY HEALTHCARE SCHEME</t>
  </si>
  <si>
    <t>TOTAL FOR DEPT. OF HUMAN CAPITAL DEVT.</t>
  </si>
  <si>
    <t xml:space="preserve">                     -</t>
  </si>
  <si>
    <t>Equipping of Situation Room</t>
  </si>
  <si>
    <t>ELECTIONS OBSERVATION EXPENSES</t>
  </si>
  <si>
    <t>Interest on Deposit</t>
  </si>
  <si>
    <t>LOCAL GOVERNMENT STAFF PENSION BORD:  011103500200</t>
  </si>
  <si>
    <t>LOCAL GOVERNMENT STAFF PENSION BOARD- 011103500200</t>
  </si>
  <si>
    <t>TOTAL FOR LOCAL GOVT. STAFF PENSION BOARD</t>
  </si>
  <si>
    <t>Executive Secretary</t>
  </si>
  <si>
    <t>Purchase of Power Tools</t>
  </si>
  <si>
    <t>RURAL ELECTRIFICATION BOARD (REB) - 023100300100</t>
  </si>
  <si>
    <t>ACTUAL AS AT SEPT. 2020</t>
  </si>
  <si>
    <t>Electrification Project at Katsina Senatorial Zone</t>
  </si>
  <si>
    <t>Electrification Project at Daura Senatorial Zone</t>
  </si>
  <si>
    <t>Electrification Project at Funtua Senatorial Zone</t>
  </si>
  <si>
    <t>Rural Electrification Projects in 34No. Local Governments</t>
  </si>
  <si>
    <t>OFFICE OF THE SURVEYOR-GENERAL OF THE STATE - 023400200100</t>
  </si>
  <si>
    <t>STATE ENVIROMENTAL PROTECTION &amp; SANITATION AGENCY (SEPA) - 053501600100</t>
  </si>
  <si>
    <t>ACTUAL AS AT AUG. 2020</t>
  </si>
  <si>
    <t>HOUSE TO HOUSE REFUSE COLLECTION</t>
  </si>
  <si>
    <t>COMPOST MANURE</t>
  </si>
  <si>
    <t>VIP LATRINE</t>
  </si>
  <si>
    <t>FUMIGATION SERVICES</t>
  </si>
  <si>
    <t>SEPTIC EMPTIER SERVICE</t>
  </si>
  <si>
    <t>RENT ON COMMERCIAL SHEDS</t>
  </si>
  <si>
    <t>RENT ON DUMP SITE</t>
  </si>
  <si>
    <t>VEHICLE HIRING</t>
  </si>
  <si>
    <t>ADMINISTRATIVE CODE - STATE ENVIROMENTAL PROTECTION &amp; SANITATION AGENCY (SEPA) - 053501600100</t>
  </si>
  <si>
    <t>CASUAL STAFF</t>
  </si>
  <si>
    <t>Executive Director’s Salary</t>
  </si>
  <si>
    <t>Executive Director’s Allowance</t>
  </si>
  <si>
    <t>ECONOMIC SECTOR - STATE URBAN AND REGIONAL PLANNING BOARD (URPB) -  025305600100</t>
  </si>
  <si>
    <t>TOTAL FOR URPB</t>
  </si>
  <si>
    <t>KATSINA STATE URBAN &amp; REGIONAL PLANNING BOARD (KURPB)  - 025305600100</t>
  </si>
  <si>
    <t>Properties Rental and Rates</t>
  </si>
  <si>
    <t>nil</t>
  </si>
  <si>
    <t>Planning Permission Fees</t>
  </si>
  <si>
    <t>Agency Fees and Environment Impact assesment</t>
  </si>
  <si>
    <t>Nil</t>
  </si>
  <si>
    <t>BOARD MEMBERS EXPENSES</t>
  </si>
  <si>
    <t>TOTAL FOR DEPT. OF SKILLS ACQUISITION &amp; VOC. TRAINING</t>
  </si>
  <si>
    <t>Sales of AGRIC Schools form</t>
  </si>
  <si>
    <t>Rehabilitation of BATC Kankara</t>
  </si>
  <si>
    <t>Rehabilitation of Agric School Tashar Nagulle</t>
  </si>
  <si>
    <t>Upgrading of BATC Kankia</t>
  </si>
  <si>
    <t>Rehabilitation of BATC Batsari</t>
  </si>
  <si>
    <t>Rehabilitation of Agric School G/Kwakwa</t>
  </si>
  <si>
    <t>Purchase of Tools, Equip &amp; Chemicals for 5No Agric Schools</t>
  </si>
  <si>
    <t>Construction of laboratory (2) proto- type lab</t>
  </si>
  <si>
    <t>Development of galaxy backbone and Software dev. &amp; Deployment (IR)</t>
  </si>
  <si>
    <t>Devt. of appropriate tech for research &amp; devt. (collabor with FMDAs &amp; Devt. Partners)</t>
  </si>
  <si>
    <t xml:space="preserve">Website Development (Collaboration with Development Partners) </t>
  </si>
  <si>
    <t>E-government projects</t>
  </si>
  <si>
    <t>Resettlement of Graduates of Youth Craft Village Katsina</t>
  </si>
  <si>
    <t>Development of Science, Technical &amp; Vocational Curriculums (FMoE, FMoS&amp;T,NBTE&amp;Other Partners)</t>
  </si>
  <si>
    <t>GSM CHARGES</t>
  </si>
  <si>
    <t>LIBRARY BOOKS &amp; PERIODICALS</t>
  </si>
  <si>
    <t>UPKEEP/RUNNING COSTS OF YOUTH CRAFT CENTRE</t>
  </si>
  <si>
    <t>SCIENCE BASE TEACHERS SCHEME</t>
  </si>
  <si>
    <t>TRAINING &amp; STAFF DEVELOPMENT</t>
  </si>
  <si>
    <t>WORKSHOPS, CONFERENCES &amp; SEMINERS</t>
  </si>
  <si>
    <t>COORDINATING CONSULTANT/ RESOURCE PERSONS/ INSTRUCTORS ALLOWANCES</t>
  </si>
  <si>
    <t>Admission form fees @ N500 for 2,000No.</t>
  </si>
  <si>
    <t>Purchase of IT  Equipment</t>
  </si>
  <si>
    <t>Purchase of of Sport Equipment</t>
  </si>
  <si>
    <t>Improvement/Upgrading of IT Laboratories and workshops</t>
  </si>
  <si>
    <t>Maintenance/upgrading of classes and lecture theatres</t>
  </si>
  <si>
    <t>Construction of additonal Students hostels (Males and females)</t>
  </si>
  <si>
    <t xml:space="preserve">Construction of additional staff offices </t>
  </si>
  <si>
    <t>Expansion and maintenance of Institute buildings and staff quarters</t>
  </si>
  <si>
    <t>Expansion of staff Quarters (Senior and Junior) Phase I</t>
  </si>
  <si>
    <t>Expansion of water supply scheme</t>
  </si>
  <si>
    <t>Parks, Gardens and beautification</t>
  </si>
  <si>
    <t>Supply of beds and mattress (Students Hostel)</t>
  </si>
  <si>
    <t>Procurement of water tanker</t>
  </si>
  <si>
    <t>Provision of office furniture and equipment</t>
  </si>
  <si>
    <t>Procurement of library books and equipment</t>
  </si>
  <si>
    <t>Research and staff developmennt/collaboration with TETFUND, PTDF etc</t>
  </si>
  <si>
    <t>Accreditation process with NBTE, NUC and other regulatory bodies</t>
  </si>
  <si>
    <t>Development and enhencement of affliation programmes</t>
  </si>
  <si>
    <t xml:space="preserve">Library E- Learning and other resources </t>
  </si>
  <si>
    <t xml:space="preserve">KATSINA STATE INSTITUTE OF TECHNOLOGY AND MANAGEMENT (KTSITM):- 022800700100 </t>
  </si>
  <si>
    <t>INTERNATIONAL  TRAVEL &amp; TRANSPORT: TRAINING</t>
  </si>
  <si>
    <t>UTILITIES -  GENERAL</t>
  </si>
  <si>
    <t>TELEPHONE CHARGES - RECHARGE CARDS</t>
  </si>
  <si>
    <t>SOFTWARE CHARGES/ LICENCE RENEWAL</t>
  </si>
  <si>
    <t>NEWSPAPERS/MAGAZINES &amp; PERODICALS</t>
  </si>
  <si>
    <t>DRUGS, MEDICAL LABORATORY &amp; MEDICAL SUPPLIES</t>
  </si>
  <si>
    <t>UNIFORMS AND OTHER CLOTHING</t>
  </si>
  <si>
    <t>MAINTENANCE OF OFFICE, COMPUTER AND ICT EQUIPMENTS</t>
  </si>
  <si>
    <t>IT CONSULTING</t>
  </si>
  <si>
    <t>MOTOR VEHICLE FUEL COST</t>
  </si>
  <si>
    <t>FINANCIAL CHARGES GENERAL</t>
  </si>
  <si>
    <t>SUPPORT TO NYSC/CONTRACT STAFF/PART TIME LECTURERS</t>
  </si>
  <si>
    <t>EXTERNAL MODERATORS/EXAMINATION EXPENSES</t>
  </si>
  <si>
    <t>SIWES/PROJECT SUP &amp; EDUCATIONAL VISIT</t>
  </si>
  <si>
    <t>DEPARTMENTAL RESEARCH</t>
  </si>
  <si>
    <t>ACCREDITATION EXPENSES</t>
  </si>
  <si>
    <t>CONTRACTORS REGISTRATION FEES</t>
  </si>
  <si>
    <t>TUITION FEES FOR NON-INDIGENES</t>
  </si>
  <si>
    <t>GAMES FEES</t>
  </si>
  <si>
    <t>REGISTRATION FEES</t>
  </si>
  <si>
    <t>EXAMINATION FEES</t>
  </si>
  <si>
    <t>PRACTICAL FEES</t>
  </si>
  <si>
    <t>SIWES/TRAINING PRACTICE</t>
  </si>
  <si>
    <t>LIBRARY REGISTRTION</t>
  </si>
  <si>
    <t>CLINIC REGISTRATION</t>
  </si>
  <si>
    <t>INFORMATION HANDBOOK</t>
  </si>
  <si>
    <t>IC T  FEES</t>
  </si>
  <si>
    <t>LABORATORY FEES</t>
  </si>
  <si>
    <t>PORTAL / ELECTRONICS FEES</t>
  </si>
  <si>
    <t>GSP FEES</t>
  </si>
  <si>
    <t>ACCEPTANCE FEES</t>
  </si>
  <si>
    <t>FACULTY / DEPARTMENTAL FEES</t>
  </si>
  <si>
    <t>VERIFICATION OF CREDENTIALS</t>
  </si>
  <si>
    <t>NON REFUNDABLE CAUTION FEES</t>
  </si>
  <si>
    <t>ORIENTATION FEES</t>
  </si>
  <si>
    <t>TISHIP</t>
  </si>
  <si>
    <t>FINES/PENALTIES-LATE REGISTRATION</t>
  </si>
  <si>
    <t>FINES/PENALTIES-LOSS OF ID CARD/OTHER INCOME</t>
  </si>
  <si>
    <t>SALES OF ID CARDS</t>
  </si>
  <si>
    <t>SALES OF STORES/SCRAPS/UNSERVICEABLE ITEMS</t>
  </si>
  <si>
    <t>SALES OF FORMS/SCREENING FEES</t>
  </si>
  <si>
    <t>EARNING FROM CONSULTANCY SERVICES</t>
  </si>
  <si>
    <t>RENT ON STAFF QUARTERS</t>
  </si>
  <si>
    <t>INTEREST ON DEPOSITS</t>
  </si>
  <si>
    <t>CONTEDISS</t>
  </si>
  <si>
    <t>ACTUAL 2020</t>
  </si>
  <si>
    <t>RECTOR’s Salary</t>
  </si>
  <si>
    <t>RECTOR’s Allowance</t>
  </si>
  <si>
    <t>KATSINA STATE INSTITUTE OF TECHNOLOGY AND MANAGEMENT (KTSITM)</t>
  </si>
  <si>
    <t>Const &amp; Upgrad of Labs, Exam hall &amp; Lib</t>
  </si>
  <si>
    <t>Construction &amp; Rehabilitation of senior &amp; junior staff quarters (Phase I)</t>
  </si>
  <si>
    <t>Construction &amp; Rehabilitation of boreholes &amp; procurement of water tankers</t>
  </si>
  <si>
    <t>Supply of sports &amp; games equipment</t>
  </si>
  <si>
    <t>Provision of fire fighting equip for schools/colleges</t>
  </si>
  <si>
    <t>Supply of Science &amp; Technical Labs Equipment</t>
  </si>
  <si>
    <t>Povision &amp; upgarding of garment making, home economics &amp; Catering equipment</t>
  </si>
  <si>
    <t>School farm (Animal Husbandary, Poultry facilities &amp; equipment)</t>
  </si>
  <si>
    <t>Maintenance of Technical machines &amp; equipment</t>
  </si>
  <si>
    <t>Training &amp; Capacity building</t>
  </si>
  <si>
    <t>Production of School Furniture &amp; beds</t>
  </si>
  <si>
    <t>STEB STUDENTS FEEDING</t>
  </si>
  <si>
    <t>UNIFORM &amp; PROTECTIVE CLOTHES</t>
  </si>
  <si>
    <t>PRINTING</t>
  </si>
  <si>
    <t>SCHOOLS RUNNING COSTS</t>
  </si>
  <si>
    <t>BOARDS ENTRANCE EXAM</t>
  </si>
  <si>
    <t>NBTE,NECO &amp; WAEC ACCREDITATION, REACCREDITATION</t>
  </si>
  <si>
    <t>RENTED QUARTERS (SCHOOLS)</t>
  </si>
  <si>
    <t>ADMINISTRATIVE CODE - 051705300100 - SCIENCE AND TECHNICAL EDUCATION BOARD (STEB)</t>
  </si>
  <si>
    <t>Executive Secretary's Salary &amp; Allowances</t>
  </si>
  <si>
    <t>CONT</t>
  </si>
  <si>
    <t>Provost's Salary/Allowance</t>
  </si>
  <si>
    <t>ISA KAITA COLLEGE OF EDUCATION, DUTSIN-MA - 051701900100</t>
  </si>
  <si>
    <t>Convocation Expenses</t>
  </si>
  <si>
    <t>MAGAZINES AND PERIODICALS</t>
  </si>
  <si>
    <t>ACTUAL 2020 up to August</t>
  </si>
  <si>
    <t>PROVOST's Salary</t>
  </si>
  <si>
    <t>PROVOST's Allowances</t>
  </si>
  <si>
    <t>DR. YUSUFU BALA USMAN COLLEGE, DAURA - - 051701700100</t>
  </si>
  <si>
    <t>ISA KAITA COLLEGE OF EDUCATION, DUTSINMA:- 051701900100</t>
  </si>
  <si>
    <t xml:space="preserve">HONOURARIUM </t>
  </si>
  <si>
    <t>ADMINISTRATIVE CODE -  051701800100 - HASSAN USMAN KATSINA POLYTECHNIC,</t>
  </si>
  <si>
    <t>KATSINA STATE SCHOLARSHIP BOARD (KTSSB):- 051705600100</t>
  </si>
  <si>
    <t xml:space="preserve">KATSINA STATE SCHOLARSHIP BOARD (KTSSB):-  051705600100 </t>
  </si>
  <si>
    <t>PROPOSED ESTIMATES 2021</t>
  </si>
  <si>
    <t>UTILITIES- GENERAL</t>
  </si>
  <si>
    <t>SOFTWARE RENEWAL CHARGES</t>
  </si>
  <si>
    <t>MATERIALS AND SUPPLIES - GENERAL</t>
  </si>
  <si>
    <t>OFFICE STATIONARIES/COMPUTER CONSUMABLES</t>
  </si>
  <si>
    <t>MAITENANCE OF M/VEHICLE/TRANSPORT EQUIPMENT</t>
  </si>
  <si>
    <t>MAITENANCE OF OFFICE BUILDING</t>
  </si>
  <si>
    <t>MAITENANCE OF PLANTS/GENERATORS</t>
  </si>
  <si>
    <t>MAITENANCE OF OFFICE FURNITURE ND FITTINGS</t>
  </si>
  <si>
    <t xml:space="preserve">OTHER MAINTENANCE SERVICES </t>
  </si>
  <si>
    <t>FUEL /LUBRICANTS - GENERAL</t>
  </si>
  <si>
    <t>PLANTS GENERATOR FUEL COST</t>
  </si>
  <si>
    <t xml:space="preserve">MAINTENANCE OF BUDGET SOFTWARE </t>
  </si>
  <si>
    <t xml:space="preserve">PRINTING OF BUDGET ESTIMATES </t>
  </si>
  <si>
    <t>UNICEF Nutrition Intervention Program (Policy Coordination) ER</t>
  </si>
  <si>
    <t xml:space="preserve">State Counterpart  on UNICEF Nutrition Intervention Program (Policy Coordination) </t>
  </si>
  <si>
    <t>CONTRIBUTION TO AUDIT SERVICE COMMISSION</t>
  </si>
  <si>
    <t>TV SUBSCRIPTION CHARGE</t>
  </si>
  <si>
    <t>CONTRIBUTION TO FORESTRY</t>
  </si>
  <si>
    <t>ROBE ALLOWANCE</t>
  </si>
  <si>
    <t>JOINT TAX FORCE OPERATION</t>
  </si>
  <si>
    <t>FUND FOR INTELLIGENT SOURCING</t>
  </si>
  <si>
    <t>CONTACT ON DIASPORA AFFAIRS/MATTERS</t>
  </si>
  <si>
    <t>PROFESSIONAL AUDIT TRAINING</t>
  </si>
  <si>
    <t>UPKEEP AND RUNNING COST OF SDTC KTN</t>
  </si>
  <si>
    <t xml:space="preserve">             -</t>
  </si>
  <si>
    <t xml:space="preserve">                  -</t>
  </si>
  <si>
    <t>STAFF TRAINING AND DEVELOPMENT</t>
  </si>
  <si>
    <t>CONFERENCES/WORKSHOP</t>
  </si>
  <si>
    <t>INTERSTATE VISIT</t>
  </si>
  <si>
    <t>ZONAL TOURISM MEETING</t>
  </si>
  <si>
    <t>MAINTENANCE OF WEBSITE AND INTRENET SERVICES</t>
  </si>
  <si>
    <t>MAINTENANCE OF OFFICE EQUIPMENT</t>
  </si>
  <si>
    <t xml:space="preserve">ACTIVITIES OF AMANA MFB </t>
  </si>
  <si>
    <t>STATE UNIVERSAL BASIC EDUCATION BOARD (SUBEB) - 051700300100</t>
  </si>
  <si>
    <t>Primary Schools Intervention Projects (UBEC, Abuja) (IR)</t>
  </si>
  <si>
    <t>State Government Counterpart fund on UBEC Primary Schools Intervention Project</t>
  </si>
  <si>
    <t>UNICEF Intervention on Primary Schools Activities (ER)</t>
  </si>
  <si>
    <t>KTSG Contribution to UNICEF Intervention on Primary Schools Activities</t>
  </si>
  <si>
    <t>Camera (ENG) Electronic Newsgathering</t>
  </si>
  <si>
    <t>5NO Computer Editing Machine @N950000 each</t>
  </si>
  <si>
    <t>Office Furniture and Fittings</t>
  </si>
  <si>
    <t>KATSINA STATE LIBRARY BOARD  - 051700800100</t>
  </si>
  <si>
    <t>LEARNING / INSTRUCTION MATERIALS</t>
  </si>
  <si>
    <t>Executive Directorr’s Allowance</t>
  </si>
  <si>
    <t>ADMINISTRATIVE CODE - 012301500100 - HISTORY &amp; CULTURE BUREAU</t>
  </si>
  <si>
    <t xml:space="preserve">ADMIN SECTOR </t>
  </si>
  <si>
    <t>OFFICE STATIONERIES &amp; COMPUTER CONSUMABLES</t>
  </si>
  <si>
    <t>MAINTENANCE OF VEHICLE/TRANSPORT EQUIP</t>
  </si>
  <si>
    <t>ENTERTAINMENT AND HOSPITALITY</t>
  </si>
  <si>
    <t>WELFARE</t>
  </si>
  <si>
    <t>ADMINISTRATIVE CODE - 012301500100</t>
  </si>
  <si>
    <t>.</t>
  </si>
  <si>
    <t xml:space="preserve">SOCIAL SECTOR- </t>
  </si>
  <si>
    <t>MINISTRY OF SPORTS AND SOCIAL DEVELOPMENT - 051300100100</t>
  </si>
  <si>
    <t>INFRACTURACTURE GENERAL</t>
  </si>
  <si>
    <t>State Reform Centre: Working materials for Training, KT,FTA, &amp; DRA.  (TRANSFER TO DEPT OF DRUGS)</t>
  </si>
  <si>
    <t>Wall fencing of Rehabilitation Centres in Bakori, Musawa and Zango</t>
  </si>
  <si>
    <t>ADMINISTRATIVE CODE -STATE EMERGENCY MANAGEMENT AGENCY (SEMA) - 05305300100</t>
  </si>
  <si>
    <t>1.316,600</t>
  </si>
  <si>
    <t>Executive Secretary's Salary</t>
  </si>
  <si>
    <t>Executive Secretary's Allowance</t>
  </si>
  <si>
    <t>PERMANENT MEMBERS ALLOWANCES</t>
  </si>
  <si>
    <t>State Counterpart for SDGs Projects</t>
  </si>
  <si>
    <t xml:space="preserve">BASELINE SURVEY AND SUPPORT STAFF </t>
  </si>
  <si>
    <t>Special Assistant Allowance &amp; Salary</t>
  </si>
  <si>
    <t>Community and Social Development Agency (CSDA)</t>
  </si>
  <si>
    <t>International Development Agency (ER)</t>
  </si>
  <si>
    <t>ADMINISTRATIVE CODE -   011104400100  -  MINISTRY OF SPECIAL SERVICES</t>
  </si>
  <si>
    <t>PILGRIMS WELFARE BOARD</t>
  </si>
  <si>
    <t xml:space="preserve">ISLAMIC EDUCATION BUREAU </t>
  </si>
  <si>
    <t>Purchase of Official/ Other Vehicles</t>
  </si>
  <si>
    <t>Severance Gratuity Political Office Holders</t>
  </si>
  <si>
    <t>Pension for Political Officer Hold</t>
  </si>
  <si>
    <t>ADMIN SECTOR: STATE INDEPENDENT ELECTORAL COMMISSION (SIEC)- 014800100100</t>
  </si>
  <si>
    <t>STATE INDEPENDENT ELECTORAL COMMISSION (SIEC)</t>
  </si>
  <si>
    <t>KATSINA STATE URBAN AND REGIONAL PLANNING BOARD (KURPB): 025305600100</t>
  </si>
  <si>
    <t>TOTAL  FOR URPB</t>
  </si>
  <si>
    <t>General Manager's Salary/Allowance</t>
  </si>
  <si>
    <t>LAND TITLE &amp; REGISTRATION EXPENSES</t>
  </si>
  <si>
    <t>Computerization of Land Management and Administration</t>
  </si>
  <si>
    <t>TRANSPORT /TRAVELING</t>
  </si>
  <si>
    <t>European Union Grant to Drought &amp; Desertification Projects (Green Green Wall) (ER)</t>
  </si>
  <si>
    <t>State Counterpart Fund to Ecological Projects (NEWMAP)</t>
  </si>
  <si>
    <t>Construction of Rural Access and Agricultural Marketing Projects (World Bank) RAAMP (ER)</t>
  </si>
  <si>
    <t>State Counterpart Fund to Ecological Projects  (Green Green Wall) (ER)</t>
  </si>
  <si>
    <t>Matching Grant for Rural Access and Agricultural Marketing Projects</t>
  </si>
  <si>
    <t>Expansion of Commissioner's Office</t>
  </si>
  <si>
    <t xml:space="preserve">Constructon of Computer Room &amp; Drainage </t>
  </si>
  <si>
    <t>ADMINISTRATIVE CODE -   055100100100  -  MINISTRY FOR LOCAL GOVERNMENT &amp; CHIEFTAINCY AFFAIRS</t>
  </si>
  <si>
    <t>MINISTRY FOR LOCAL GOVERNMENT &amp; CHIEFTAINCY AFFAIRS - 055100100100</t>
  </si>
  <si>
    <t xml:space="preserve">LOCAL TRAVEL&amp; TRANSPORT </t>
  </si>
  <si>
    <t>UTLITIES</t>
  </si>
  <si>
    <t>OFFICE STATIONERIES/COMPUTER CONSUMABLES</t>
  </si>
  <si>
    <t>MAINTENANCE OF VEHICLES/TRANSPORT EQUIP</t>
  </si>
  <si>
    <t>ADMIN. CODE -052111300100- DEPARTMENT OF DRUGS, NACORTICS &amp; HUMAN TRAFICKING</t>
  </si>
  <si>
    <t>CAPITAL EXPENDITURE</t>
  </si>
  <si>
    <t>RENOVATION &amp; UPGRADING OF KATSINA REFORMATORY CENTER</t>
  </si>
  <si>
    <t>RENOVATION &amp; UPGRADING OF DAURA REFORMATORY CENTER</t>
  </si>
  <si>
    <t>RENOVATION &amp; UPGRADING OF FUNTUA REFORMATORY CENTER</t>
  </si>
  <si>
    <t>PURCHASE OF HILUX &amp; BUS</t>
  </si>
  <si>
    <t xml:space="preserve">PROVISION OF MODERN CAMERAS &amp; 4Nos. VEDIO PROJECTORS &amp; ACCESSORIES </t>
  </si>
  <si>
    <t>APPROVED REVISED ESTIMATES 2020</t>
  </si>
  <si>
    <t>ADMINISTRATIVE CODE - UMARU MUSA YAR'ADUA UNIVERSITY, KATSINA - (UMYUK) - 051702100100</t>
  </si>
  <si>
    <t>SAL. GL CONTISS</t>
  </si>
  <si>
    <t>SAL. GL CONUASS</t>
  </si>
  <si>
    <t>TOTAL GL. (CONTISS ) 01-06</t>
  </si>
  <si>
    <t>TOTAL GL. (CONTISS) 07-12</t>
  </si>
  <si>
    <t>TOTAL  GL. (CONTISS ) 13-15</t>
  </si>
  <si>
    <t>TOTAL (SOCIAL BENEFITS)</t>
  </si>
  <si>
    <t>TOTAL GL. (CONTISS &amp; CONUASS)</t>
  </si>
  <si>
    <t>VICE CHANCELLOR’s Salary</t>
  </si>
  <si>
    <t>VICE CHANCELLOR’s Allowance</t>
  </si>
  <si>
    <t>BURSAR’s Salary</t>
  </si>
  <si>
    <t>REGISTRAR’s Salary</t>
  </si>
  <si>
    <t>LIBRARIAN’s Salary</t>
  </si>
  <si>
    <t>OTHER PRINCIPAL OFFICER's Allowance</t>
  </si>
  <si>
    <t>ADMINISTRATIVE CODE - 051702100100</t>
  </si>
  <si>
    <t xml:space="preserve">UMARU MUSA YAR'ADUA UNIVERSITY, KATSINA - (UMYUK) </t>
  </si>
  <si>
    <t>UMARU MUSA YAR'ADUA UNIVERSITY, KATSINA - (UMYUK) - 051702100100</t>
  </si>
  <si>
    <t>REPAIRS AND MAINTENANCE OF GENERATING PLANT</t>
  </si>
  <si>
    <t>REPAIRS AND MAINTENANCE OF BUILDINGS</t>
  </si>
  <si>
    <t>REPAIRS OF ELECTRICITY</t>
  </si>
  <si>
    <t>MAINTENANCE OF COMPUTER INSTALLATION</t>
  </si>
  <si>
    <t>DIRECT TEACHING &amp; LABORATORY COST</t>
  </si>
  <si>
    <t>ADMINISTRATIVE CODE -  051701800100 -</t>
  </si>
  <si>
    <t xml:space="preserve"> HASSAN USMAN KATSINA POLYTECHNIC</t>
  </si>
  <si>
    <t>TOTAL FOR SCHOLARSHIP BOARD</t>
  </si>
  <si>
    <t>TOTAL FOR HUK POLY</t>
  </si>
  <si>
    <t>TOTAL FOR UMYU</t>
  </si>
  <si>
    <t>DR. YUSUFU BALA USMAN COLLEGE, DAURA:- 051701700100</t>
  </si>
  <si>
    <t>EXECUTIVE SECRETARY'S SALARY/ ALLOWANCE</t>
  </si>
  <si>
    <t>PROVOSTS SALARY Allowance</t>
  </si>
  <si>
    <t>ADMINISTRATIVE CODE -   051700100100  MINISTRY OF EDUCATION</t>
  </si>
  <si>
    <t>QUALITY ASSURANCE/MONITORING &amp; INSPECTION</t>
  </si>
  <si>
    <t>TOTAL FOR MIP</t>
  </si>
  <si>
    <t>Construction and Expansion of Schools</t>
  </si>
  <si>
    <t>Completion of Sabon-Layi Day Sec. Sch. Musawa LG/Gora JSS. M/fashi</t>
  </si>
  <si>
    <t>Reconstruction of UBEC Rural Boarding Schools (D/Safe, Shema &amp; Rimaye)</t>
  </si>
  <si>
    <t>Construction of 3No. Mathematical Labs at 3No. MIP Schools (BINDAWA, MANI &amp; FASKARI)</t>
  </si>
  <si>
    <t>SSCE/WAEC/NECO/NBAIS Exams Fees</t>
  </si>
  <si>
    <t>Schools Census (UNICEF)  (ER)</t>
  </si>
  <si>
    <t>Global Partnership on Education (GPE 2) Project (World Bank) (ER)</t>
  </si>
  <si>
    <t>State Contribution on Global Partnership on Education (GPE 2) Projects</t>
  </si>
  <si>
    <t>State Contribution on AGILE Projects</t>
  </si>
  <si>
    <t>PRINTING NON-SECURITY DOCUMENT</t>
  </si>
  <si>
    <t>SCIENCE OLYMPIAD &amp; MATH QUEEN EXPENSES</t>
  </si>
  <si>
    <t>TOTAL FOR TEACHER'S SERVICE BOARD</t>
  </si>
  <si>
    <t>TEACHERS SERVICE BOARD - 051705400100</t>
  </si>
  <si>
    <t>TRAVEL &amp; TRANSPORT - OTHERS</t>
  </si>
  <si>
    <t>RECURRENT EXPENDITURE 2021</t>
  </si>
  <si>
    <t xml:space="preserve">RECURRENT EXPENDITURE 2021 </t>
  </si>
  <si>
    <t>S-Power Allowances</t>
  </si>
  <si>
    <t>TOTAL FOR STEB</t>
  </si>
  <si>
    <t>TOTAL FOR TSB</t>
  </si>
  <si>
    <t>1.247,870</t>
  </si>
  <si>
    <t>4.180,365</t>
  </si>
  <si>
    <t>Justice for All:- DFID Programmes (ER)</t>
  </si>
  <si>
    <t>Digitalisation of Courts &amp; Vitual Court Process</t>
  </si>
  <si>
    <t>Completion &amp; Equiping of Clinic</t>
  </si>
  <si>
    <t>Multi Door court/ Establishment of CCDC at 8-Locations</t>
  </si>
  <si>
    <t>Const of Khadi’s Guest House at  Katsina</t>
  </si>
  <si>
    <t>Completion of RIMI Chest Clinic</t>
  </si>
  <si>
    <t>Construction of 1 Ophthalmology Center &amp; Equipment @ GARSH</t>
  </si>
  <si>
    <t>Accelerating Nutrition  Result in Nig. (ANRIN)  (ER)</t>
  </si>
  <si>
    <t xml:space="preserve">KTSG Counter fund  for Accelerating Nutrition  Result in Nig. (ANRIN) </t>
  </si>
  <si>
    <t>State Contributory HealthCare Management Agency</t>
  </si>
  <si>
    <t>Accreditation Expenses with Professional Bodies</t>
  </si>
  <si>
    <t>PRIMARY HEALTH CARE DEVELOPMENT AGENCY - 052100300100</t>
  </si>
  <si>
    <t>RENOVATION OF 9 NO  CHCs:</t>
  </si>
  <si>
    <t>CHC KUSADA</t>
  </si>
  <si>
    <t>DUTSI</t>
  </si>
  <si>
    <t>MAI'ADUA</t>
  </si>
  <si>
    <t>DANJA</t>
  </si>
  <si>
    <t>KAFUR</t>
  </si>
  <si>
    <t>JIKAMSHI</t>
  </si>
  <si>
    <t>JIBIA</t>
  </si>
  <si>
    <t>SAFANA</t>
  </si>
  <si>
    <t>CHARANCHI</t>
  </si>
  <si>
    <t>CONSTRUCTION OF NEW CHCs AND SATELLITE STORES CHC KETARE</t>
  </si>
  <si>
    <t>CONSTRUCTION OF NEW OFFICE BLOCK @ SPHCA</t>
  </si>
  <si>
    <t>LANDSCAPING AT SPHCA HQ</t>
  </si>
  <si>
    <t xml:space="preserve">UPGRADE OF THE 9No. LABORATORIES  </t>
  </si>
  <si>
    <t>LOCAL GOVT. CONTRIBUTION FOR FREE MEDICARE SCHEME @N3.6m PER LGA (IR)</t>
  </si>
  <si>
    <t>POLIO (KTSG) COUNTERPART FUND</t>
  </si>
  <si>
    <t>KATSINA STATE AGENCY FOR THE CONTROL OF AIDS - 052100300100</t>
  </si>
  <si>
    <t>PRODUCTION AND AIRING OF JINGLES</t>
  </si>
  <si>
    <t>PRODUCTION AND PRINTING OF IEC MATERIALS</t>
  </si>
  <si>
    <t>PROCUREMENT OF HIV TEST KITS</t>
  </si>
  <si>
    <t>PROCUREMENT OF HIV TESTING CONSUMABLES</t>
  </si>
  <si>
    <t>PROCUREMENT OF ANTIRETROVIRALS</t>
  </si>
  <si>
    <t>PROCUREMENT OF LABORATORY REAGENTS</t>
  </si>
  <si>
    <t>PROCUREMENT OF HIV VIRAL LOAD MACHINE/ INSTALLATION AND MAINTAINANCE FOR 1 YEAR</t>
  </si>
  <si>
    <t>PROCUREMENT OF P24 MACHINE AND P24 TEST KITS</t>
  </si>
  <si>
    <t>PRODUCTION OF HARMONISED DATA CAPTURING TOOLS</t>
  </si>
  <si>
    <t>US President EMERGENCY PLAN FOR AIDS RELIEF (PEPFAR) ER</t>
  </si>
  <si>
    <t>RECURRENT OVERHEAD COSTS 2021</t>
  </si>
  <si>
    <t>TOTAL FOR HSMB</t>
  </si>
  <si>
    <t>TOTAL FOR SPHCDA</t>
  </si>
  <si>
    <t>052100200100 - CONTRIBUTORY HEALTH CARE DEVELOPMENT AGENCY</t>
  </si>
  <si>
    <t xml:space="preserve">LOCAL TRAINING /SEMINAR &amp; CONFERENCE </t>
  </si>
  <si>
    <t>KATSINA STATE AGENCY FOR THE CONTROL OF AIDS  - 052100300100</t>
  </si>
  <si>
    <t>SEMINAR AND CONFERENCE</t>
  </si>
  <si>
    <t>MAPPING OF MARPs SITES ACROSS THE THREE SENATORIAL ZONES OF THE STATE</t>
  </si>
  <si>
    <t>SUPPORT TO PLWHA (people living with HIV/AIDS) FOOD SUPPORT TO 29 SUPPORT GROUPS @ 5,654,451 PER SENATORIAL ZONE</t>
  </si>
  <si>
    <t>MILK PROVISION TO CHILDREN OF MOTHERS WITH HIV/AIDS</t>
  </si>
  <si>
    <t>MONTHLY OUTREACH SERVICE ON HCT/HIV PREVENTION MESSAGES TO THE MOST AT RISK POPULATIONS (MARPs) SITES ACROSS THE STATE</t>
  </si>
  <si>
    <t>SUBVENTION TO 361 HCT/PMTCT SITES @ 1000/MONTH</t>
  </si>
  <si>
    <t>QUARTERLY SUPERVISORY VISIT TO SERVICE DELIVERY POINTS</t>
  </si>
  <si>
    <t>QUARTERLY M&amp;E MEETING WITH 361 PMTCT FP FROM 361 SDPs</t>
  </si>
  <si>
    <t>MONTHLY M&amp;E MEETING WITH 34 LACA M&amp;E</t>
  </si>
  <si>
    <t>TRAINING ON HCT/PMTCT PROTOCOL FOR 361 HEALTH CARE WORKERS ACROSS THE STATE</t>
  </si>
  <si>
    <t>SERVICING AND REPAIRS OF HEAMATOLOGY AND CHEMISTRY MACHINES</t>
  </si>
  <si>
    <t>ENGAGEMENT OF 34 MENTOR MOTHER TO ENSURE LINKAGE TO CARE OF HIV POSITIVE PREGNANT MOTHER FOR COMPREHENSIVE CARE</t>
  </si>
  <si>
    <t>TOTAL FOR KATSACA</t>
  </si>
  <si>
    <t>MINISTRY OF HEALTH (COLLEGE OF NURSING AND MIDWIFERY- 052110400100</t>
  </si>
  <si>
    <t>COUNCIL &amp; COMMITTEE EXPENSES</t>
  </si>
  <si>
    <t>ALLOWANCES FOR  CASUAL STAFF, CORPS MEMBER &amp; LOCUM STAFF</t>
  </si>
  <si>
    <t>UTILITIES SERVICE</t>
  </si>
  <si>
    <t>STATIONARIES AND MINOR EXPENSES</t>
  </si>
  <si>
    <t>ADMINISTRATION OF EXAMINATION</t>
  </si>
  <si>
    <t>PRINTING AND PUBLICATION</t>
  </si>
  <si>
    <t>PROVISION OF JOURNALS MAGAZINE &amp; NEWSPAPER</t>
  </si>
  <si>
    <t>PURCHASE OF UNIFORMS</t>
  </si>
  <si>
    <t>MAINTENANCE OF VEHICLES AND GEN. SET.</t>
  </si>
  <si>
    <t>TRAINING AND STAFF DEVELOPMENTS</t>
  </si>
  <si>
    <t>ADVERTISEMENT</t>
  </si>
  <si>
    <t>ENTERTAIMENT AND HOSPITALITY</t>
  </si>
  <si>
    <t>STAFF AND STUDENT WELFARE</t>
  </si>
  <si>
    <t>TOTAL FOR COLLEGE OF NURSING</t>
  </si>
  <si>
    <t>COLLEGE OF HEALTH SCIENCES - 052110600100</t>
  </si>
  <si>
    <t>UTILITY SERVICES</t>
  </si>
  <si>
    <t>INTERNET SUBSCRIBTION/SERVICES</t>
  </si>
  <si>
    <t>PRINTING AND PUBLICATIONS</t>
  </si>
  <si>
    <t>ADMISSION, INDUCTIONS AND GRADUATION EXPENSES</t>
  </si>
  <si>
    <t>GUIDANCE AND COUNSELING SERVICES</t>
  </si>
  <si>
    <t>TOTAL FOR COLLEGE OF HEALTH SCIENCE</t>
  </si>
  <si>
    <t>PHCDA(MSS Allowance) 300No.xn20,000x12months</t>
  </si>
  <si>
    <t>DEPARTMENTAL AND HEALTHCARE FACILITIES IMPREST</t>
  </si>
  <si>
    <t>Constr. Of Yandaki-Gafiya-Girka-Abdallawa-Yandaki Rd</t>
  </si>
  <si>
    <t>CONTRIBUTION TO KATSROTA</t>
  </si>
  <si>
    <t xml:space="preserve">RECURRENT OVERHEAD COSTS 2021 </t>
  </si>
  <si>
    <t xml:space="preserve">ECONOMIC SECTOR -        </t>
  </si>
  <si>
    <t>FIRST AID MATERIALS</t>
  </si>
  <si>
    <t xml:space="preserve">MAINTENANCE OF 5NO. HYDRO METROLOGICAL STATIONS </t>
  </si>
  <si>
    <t>Construction of Danja Dams</t>
  </si>
  <si>
    <t>Maintenance of Dams</t>
  </si>
  <si>
    <t>Malumfashi Water Supply Scheme</t>
  </si>
  <si>
    <t>Kankara Water Supply Scheme</t>
  </si>
  <si>
    <t>Improvement of Ajiwa Dam phase 2</t>
  </si>
  <si>
    <t>Completion of Zobe Regional Water Supply</t>
  </si>
  <si>
    <t>Expansion/Rehabilitation of Distribution Systems in Katsina &amp; Dutsinma</t>
  </si>
  <si>
    <t xml:space="preserve">WASH Action Plan FGN Counterpart (IR) </t>
  </si>
  <si>
    <t>WASH Action Plan KTSG Counterpart Fund</t>
  </si>
  <si>
    <t>DEPARTMENT OF RURAL AND SEMI-URBAN WATER SUPPLY - 025210400100</t>
  </si>
  <si>
    <t>Const. of New and Rehab /Upgrading of existing schemes (44No. Schemes)</t>
  </si>
  <si>
    <t xml:space="preserve">Water Project  Muduru </t>
  </si>
  <si>
    <t xml:space="preserve">Water Project Maska </t>
  </si>
  <si>
    <t>Water Project kaita</t>
  </si>
  <si>
    <t xml:space="preserve">Rehabilitation &amp; Upgrading of  Musawa Semi-Urban Water </t>
  </si>
  <si>
    <t>Rehabilitation &amp; Upgrading of  Baure Semi-Urban Water Supply</t>
  </si>
  <si>
    <t xml:space="preserve">Construction of mechanical windmill powered borehole </t>
  </si>
  <si>
    <t xml:space="preserve">Purchase of Diesel for township support scheme </t>
  </si>
  <si>
    <t>Rehabilitation Of Kugado-Samaru-Mani Town Water Scheme</t>
  </si>
  <si>
    <t>Up-grading/Expansion of DanMusa  Water supply</t>
  </si>
  <si>
    <t>Up-grading/Expansion of yantumaki Water supply</t>
  </si>
  <si>
    <t xml:space="preserve">                                          -   </t>
  </si>
  <si>
    <t>RURAL WATER SUPPLY AND SANITATION AGENCY (RUWASSA) - ADMIN. CODE -  025210300100</t>
  </si>
  <si>
    <t>Provision for New Staff Recruitment</t>
  </si>
  <si>
    <t>Provision for Audit Commission</t>
  </si>
  <si>
    <t>Renovation of Head Office</t>
  </si>
  <si>
    <t>MAINTENANCE OF FERTILIZER COTTAGE INDUSTRIES</t>
  </si>
  <si>
    <t>Katsina Mining Exploration Company (KEMCO) Take-Off Grant</t>
  </si>
  <si>
    <t>Mineral Development &amp; Utilization</t>
  </si>
  <si>
    <t>Compliance with Regulatory Authorities (FIRS,CAC,COMEG,NMGS,NMCO)</t>
  </si>
  <si>
    <t>_</t>
  </si>
  <si>
    <t>Renovation, Equipping &amp; Furnishing of Girls Skill Acquisition Centre in (Baure, Funtua &amp; Katsina)</t>
  </si>
  <si>
    <t xml:space="preserve">Renovation of Orphanage Home at Funtua &amp; Daura </t>
  </si>
  <si>
    <t>Estab. of data Bank (MIS) for Almajiri &amp; Girl Street Hawkers</t>
  </si>
  <si>
    <t>Female Teacher Trainee Special Scholarship Scheme (FTTSS) 1003 student (2021)</t>
  </si>
  <si>
    <t xml:space="preserve">Second Coat of 2020 Executed Projects of Single Coat Surface Dressed Roads </t>
  </si>
  <si>
    <t>Intervention for Routine Maintenance of Roads for Three Senatorial Zones</t>
  </si>
  <si>
    <t>Intervention on Collapsed Bridges Statewide</t>
  </si>
  <si>
    <t>Provision &amp; Upgrading of Street lights State wide</t>
  </si>
  <si>
    <t>Procurement of Plants &amp; Equipment</t>
  </si>
  <si>
    <t>Establishment of 15 Business support Clinics</t>
  </si>
  <si>
    <t>Assistance to Community Devt Project (Matching Grant)</t>
  </si>
  <si>
    <t>Community  Matching Grant  (IR) 40%</t>
  </si>
  <si>
    <t>Assistance to Community Devt. Project (LGA Matching Grant) 20% (IR)</t>
  </si>
  <si>
    <t>PLANT/GENERATOR FUEL AND MAINTENANCE</t>
  </si>
  <si>
    <t>Maintainance of Shopping mall</t>
  </si>
  <si>
    <t>Support Empowerment to SME's</t>
  </si>
  <si>
    <t>Procurement of Agro-Chemicals</t>
  </si>
  <si>
    <t>IFAD / CBARDP (ER)</t>
  </si>
  <si>
    <t xml:space="preserve">Rehabilitation of Irrigation Schemes </t>
  </si>
  <si>
    <t>Expansion &amp; Rehabilitation of Sulma Dam</t>
  </si>
  <si>
    <t xml:space="preserve">Expansion of  Matazu Irrigation Dam </t>
  </si>
  <si>
    <t>Completion of the Rehabilitation of Daberam Dam</t>
  </si>
  <si>
    <t>Rehabilitation/Upgrading of Dan-Aunai Irrigation Dam in Dutsi LGA</t>
  </si>
  <si>
    <t>Rehab of 7No. Zonal Offices</t>
  </si>
  <si>
    <t xml:space="preserve">Shelter belt &amp; Woodlot Development </t>
  </si>
  <si>
    <t>KTSG Fadama III</t>
  </si>
  <si>
    <t>Fadama CARES Program (ER)</t>
  </si>
  <si>
    <t>PAASP (ER)</t>
  </si>
  <si>
    <t>Local Governments Contribution on Fadama GUYs Programme (LG) IR</t>
  </si>
  <si>
    <t>State Counterpart to Fadama GUYs Programme</t>
  </si>
  <si>
    <t>Agro-Processing, Productivity Enhancement and Livehood Improvement Support (APPEALS) (World Bank) ER</t>
  </si>
  <si>
    <t>State Counterpart on APPEALS project</t>
  </si>
  <si>
    <t>Agricultural Chemicals &amp; Spraying Equipment for Control of Outbreak</t>
  </si>
  <si>
    <t>RUNNING COST OF PLANT</t>
  </si>
  <si>
    <t>RUNNING COST - TENDER BOARD</t>
  </si>
  <si>
    <t>ANNUAL NACOFED &amp; FAAC EXPENSES</t>
  </si>
  <si>
    <t>TOTAL FOR MIN. OF FINANCE</t>
  </si>
  <si>
    <t xml:space="preserve">Infectious Disease Control </t>
  </si>
  <si>
    <t>Development &amp; Management of Grazing Reserve @ Runka (10 Ranges Covering 120,000Ha) (L-PRESS PROJECT) ER</t>
  </si>
  <si>
    <t>State Counterpart fund for L-PRESS PROJECT</t>
  </si>
  <si>
    <t>Support for Pastoralist Resettlement Scheme (ER) Grant</t>
  </si>
  <si>
    <t>Cattle Husbandry Extension Program (Beef Improvement Program at Kabomo and Dannakola)</t>
  </si>
  <si>
    <t>Goat Husbandry Extension Program (Breed Improvement Program at Dutsinma)</t>
  </si>
  <si>
    <t>Dairy Improvement Programme at Runka Diary Scheme</t>
  </si>
  <si>
    <t>Executive Secretary’s Allowance</t>
  </si>
  <si>
    <t>4no. Permanent Members Allowance</t>
  </si>
  <si>
    <t>UP KEEP OF READING ROOM &amp; 34 AREA OFFICES</t>
  </si>
  <si>
    <t>UP KEEP OF WOMEN CENTRE</t>
  </si>
  <si>
    <t>SCIENCE AND TECHNICAL EDUCATION BOARD (STEB)- 051705300100</t>
  </si>
  <si>
    <t>Building of Head Office Complex</t>
  </si>
  <si>
    <t>ICT Development</t>
  </si>
  <si>
    <t>Call Center Development</t>
  </si>
  <si>
    <t>Furnishing of Office complex</t>
  </si>
  <si>
    <t>Purchase of 361No desktop Laptop and android</t>
  </si>
  <si>
    <t>Printing Expenses</t>
  </si>
  <si>
    <t>Construction of additional beds capacity student hostels at School  of Nursing KT &amp; Midwifery MLF</t>
  </si>
  <si>
    <t>Provision of security Light  in the School Premises</t>
  </si>
  <si>
    <t>Furnishing of Student Common Room</t>
  </si>
  <si>
    <t>Construction of Walk Ways Within the School Premises</t>
  </si>
  <si>
    <t>Renovation and Furnishing of Student Common Room</t>
  </si>
  <si>
    <t xml:space="preserve">Renovation of 4no.Staff Quarters </t>
  </si>
  <si>
    <t>Construction and Furnishing of Admin Block</t>
  </si>
  <si>
    <t>Construction and Furnishing of 2 Blocks of 4no. Classroom</t>
  </si>
  <si>
    <t>Construction and Furnishing of Library</t>
  </si>
  <si>
    <t>Construction and Furnishing of Laboratory</t>
  </si>
  <si>
    <t>Construction and Furnishing of 4no. Senior Staff Quarters</t>
  </si>
  <si>
    <t xml:space="preserve">Wallfencing of School Premises with Barb Wire </t>
  </si>
  <si>
    <t>Construction and Furnishing of 3no. Of 150 bed Capacity Female Hostel</t>
  </si>
  <si>
    <t>Construction and Furnishing of Auditorium</t>
  </si>
  <si>
    <t xml:space="preserve">Wall Fencing of School Premises with Barb Wire </t>
  </si>
  <si>
    <t>Expansion of Functional Internet</t>
  </si>
  <si>
    <t>Procurement of Laboratory Equipment</t>
  </si>
  <si>
    <t>Procurement of Pillows, Mattresses and Beds 100 no.</t>
  </si>
  <si>
    <t>Procurement of Library Books</t>
  </si>
  <si>
    <t xml:space="preserve">Procurement Laboratory equipment to 6No Basic Science Laboratories </t>
  </si>
  <si>
    <t>Procurement of 10 No. Phantom Heads</t>
  </si>
  <si>
    <t>Procurement of Digital Auto Clave Machine 2 unit</t>
  </si>
  <si>
    <t>Procurement of 6No. Dental Chair</t>
  </si>
  <si>
    <t>Procurement of Clinical Equipment to 2 No. Clinics</t>
  </si>
  <si>
    <t>Procurement of Library Equipment to 2No. Library</t>
  </si>
  <si>
    <t xml:space="preserve">Procurement of Entrepreneurship Centre Equipment to 2No Entreprenuer Centre </t>
  </si>
  <si>
    <t>Procurement of Environmental Health Laboratory Equipment</t>
  </si>
  <si>
    <t>Procurement of  Laboratory Equipment to Medical Lab Dept</t>
  </si>
  <si>
    <t>Procurement of Audio Visual Room Equipment</t>
  </si>
  <si>
    <t>Procurement of Environmental Health Meseum Equipment</t>
  </si>
  <si>
    <t>Construction of 2No Blocks of 2No Classrooms at SHT Daura</t>
  </si>
  <si>
    <t>Extension of wall fance/Barb wire (SHT Kankia)</t>
  </si>
  <si>
    <t>Extension of wall fance/Barb wire (SHT Daura)</t>
  </si>
  <si>
    <t>Renovation/Rehabilitation of classrooms at SHT Daura</t>
  </si>
  <si>
    <t>Renovation/Rehabilitation of Admin Block  at SHT Daura</t>
  </si>
  <si>
    <t>Completion of Admin Block at SHT Kankia</t>
  </si>
  <si>
    <t>Renovation/Rehabilitation of Hostels at SHT Daura</t>
  </si>
  <si>
    <t>Construction of 3No. Basic Science Laboratory at SHT Daura</t>
  </si>
  <si>
    <t>Completion of 3 No. Basic Science Laboratory at SHT Kankia</t>
  </si>
  <si>
    <t>Construction of Caving room at SHT Daura</t>
  </si>
  <si>
    <t>Renovation of Staff quarters at SHT Daura</t>
  </si>
  <si>
    <t>Construction/ Renovation of Library at SHT Daura</t>
  </si>
  <si>
    <t xml:space="preserve">Completion of Library at SHT Kankia </t>
  </si>
  <si>
    <t>Construction of Phantom Head room at SHT Daura</t>
  </si>
  <si>
    <t>Renovation of Dental Lab, at SHT Daura</t>
  </si>
  <si>
    <t>Construction of Enterpreneurship Centre at the 2No. Schools</t>
  </si>
  <si>
    <t>Construction of Environmental Health Laboratory at SHT Kankia</t>
  </si>
  <si>
    <t>Construction of addittional Hostel at SHT Kankia</t>
  </si>
  <si>
    <t>Construction of Audio Visual room at the 2No. Schools</t>
  </si>
  <si>
    <t>Construction of Environmental Health Meseum room at SHT Kankia</t>
  </si>
  <si>
    <t>Water distribution at the 2No. Schools</t>
  </si>
  <si>
    <t>Construction of Drainages and Access Road at the 2No. Schools</t>
  </si>
  <si>
    <t>Land Scaping of the 2No. Schools</t>
  </si>
  <si>
    <t>Provision of sitting Facilities to classes &amp; Auditorium</t>
  </si>
  <si>
    <t>Regulatory Bodies accreditation Fees (IGR)</t>
  </si>
  <si>
    <t>Hosting of Regulatory Bodies accreditation Team</t>
  </si>
  <si>
    <t xml:space="preserve">Provision of Security Service to the 2No Schools </t>
  </si>
  <si>
    <t>DRUGS SUPPLY MANAGEMENT AGENCY - 052111300200</t>
  </si>
  <si>
    <t>DRUGS REVOLVING FUND</t>
  </si>
  <si>
    <t>STATE UNIVERSAL BASIC EDUCATION BOARD (SUBEB)- 051700300100</t>
  </si>
  <si>
    <t>Repairs of Vandalization and Commissioning of Yankara Semi-Urban Water Project</t>
  </si>
  <si>
    <t>Rehabilitation &amp; Upgrading of  Bindawa Semi-Urban Water Project</t>
  </si>
  <si>
    <t>Renovation and Completion of Mosque and Islamiyya Schools</t>
  </si>
  <si>
    <t>OTHER MAINTENANCE SERVICES FROM SELF SUSTAIN IGR</t>
  </si>
  <si>
    <t xml:space="preserve">Pay - As - You Earn (PAYE) </t>
  </si>
  <si>
    <t>Tax on Company Dividends</t>
  </si>
  <si>
    <t>Development Levy Tax</t>
  </si>
  <si>
    <t>Cattle Tax</t>
  </si>
  <si>
    <t>Driving  Licenses</t>
  </si>
  <si>
    <t>Motor Vehicle Dealership Licenses/Agency@N12,500.00</t>
  </si>
  <si>
    <t>Annual Renewal of Motor Vehicle Dealership Licenses/Agency @N5,000.00</t>
  </si>
  <si>
    <t>Tricycle Dealership Licenses/Agency @N3,750.00</t>
  </si>
  <si>
    <t>Annual Renewal ofTri-Cycle Dealership Licenses/Agency @N2,000.00</t>
  </si>
  <si>
    <t>Motor Cycle Dealership Licenses/Agency @N3,750.00</t>
  </si>
  <si>
    <t>Annual Renewal of Motor Cycle Dealership Licenses/Agency@N2,000.00</t>
  </si>
  <si>
    <t>Hides &amp; Skin Licenses Fees</t>
  </si>
  <si>
    <t>Hides &amp; Skin Licenses Annual Renewal</t>
  </si>
  <si>
    <t>Registration of Private Health Training Institutions @N300,000.00</t>
  </si>
  <si>
    <t>Application Forms Fees @ N1,000.00</t>
  </si>
  <si>
    <t>KATSINA STATE BUREAU OF PUBLIC PROCUREMENT</t>
  </si>
  <si>
    <t>Contract Award Fee (1.5%)</t>
  </si>
  <si>
    <t>Registration Fee</t>
  </si>
  <si>
    <t>Renewal of Registration fee</t>
  </si>
  <si>
    <t>Processing Fee</t>
  </si>
  <si>
    <t>Produce Inspection Fees</t>
  </si>
  <si>
    <t>Registration of Cooperative Societies @N3,000.00</t>
  </si>
  <si>
    <t>Renewal of Cooperatives Societies @N1,000.00</t>
  </si>
  <si>
    <t>Farmland Registration Project fees</t>
  </si>
  <si>
    <t>Special Trade Test fees</t>
  </si>
  <si>
    <t>Driving Schools Certificate fees @N100,000.00</t>
  </si>
  <si>
    <t>Annual Renewal of Driving Schools Certificate fees @N50,000.00</t>
  </si>
  <si>
    <t>Technical Visual Inspection Charges</t>
  </si>
  <si>
    <t>Preparation &amp; Execution of certificate of Occupancy(LTR)</t>
  </si>
  <si>
    <t>Registration of Documents &amp; Searches fees</t>
  </si>
  <si>
    <t>10, 000,000</t>
  </si>
  <si>
    <t>Revocation &amp; Issuance of Fresh Certificate of Occupancy</t>
  </si>
  <si>
    <t>Assignment fees</t>
  </si>
  <si>
    <t>Rent Tribunal Application Fees</t>
  </si>
  <si>
    <t>200, 000</t>
  </si>
  <si>
    <t>Others(Contract Award Fees &amp; Other Monies from LGCs &amp; MDAs)</t>
  </si>
  <si>
    <t>CCDRC Fees</t>
  </si>
  <si>
    <t>Oaths/Declaration fee @ N500.00</t>
  </si>
  <si>
    <t>Appeal and Stay fees @500.00</t>
  </si>
  <si>
    <t>Appeals to Court of Appeal @N5,000.00</t>
  </si>
  <si>
    <t>Registration of Private Schools (Urban)</t>
  </si>
  <si>
    <t>Registration of Private Schools (Rural)</t>
  </si>
  <si>
    <t xml:space="preserve">Upgrading Fees From JSS to SSS </t>
  </si>
  <si>
    <t>Annual Registration (Renewal) of Private Schools (Urban)</t>
  </si>
  <si>
    <t>Annual Registration (Renewal) of Private Schools (Rural)</t>
  </si>
  <si>
    <t>Annual Renewal of Community Schools (Urban)</t>
  </si>
  <si>
    <t>Annual Renewal of Community Schools (Rural)</t>
  </si>
  <si>
    <t>CBT Centres Registration Fees (JAMB)</t>
  </si>
  <si>
    <t>Application Form FSP @ N500.00</t>
  </si>
  <si>
    <t>Employment Form Fees  @N2,000.00</t>
  </si>
  <si>
    <t>Registration of Youth Clubs @N5,000.00</t>
  </si>
  <si>
    <t>Annual Renewal of Youth Club Registration @N2,000.00</t>
  </si>
  <si>
    <t xml:space="preserve">Mapping </t>
  </si>
  <si>
    <t xml:space="preserve">Mining Mineral utilization fee </t>
  </si>
  <si>
    <t>Animal Trade fees</t>
  </si>
  <si>
    <t>Poultry Trade fees</t>
  </si>
  <si>
    <t>Hides &amp; Skin fees</t>
  </si>
  <si>
    <t>Abattoir fees</t>
  </si>
  <si>
    <t>Cattle Vaccination Fees</t>
  </si>
  <si>
    <t>Registration fees</t>
  </si>
  <si>
    <t>Registration of Audit Firms @N20,000.00</t>
  </si>
  <si>
    <t>Annual Renewal of Audit firms @N10,000.00</t>
  </si>
  <si>
    <t>Application form Fees for Social Devt. Training Centre @N3,000.00</t>
  </si>
  <si>
    <t>Tuition Fees @ N13,300.00</t>
  </si>
  <si>
    <t>Registration of Community Development Associations @N3,000.00</t>
  </si>
  <si>
    <t>Motor Vehicle Registration Book Sales</t>
  </si>
  <si>
    <t>Proceeds from Songhai Initiative Product (FUNTUA)</t>
  </si>
  <si>
    <t>Sale of Irrigation Machineries</t>
  </si>
  <si>
    <t>SALES OF APPLICATION FORMS @ N1,000.00</t>
  </si>
  <si>
    <t xml:space="preserve">Sales of Private/Community Schools Registration Form </t>
  </si>
  <si>
    <t>Sale of APER forms</t>
  </si>
  <si>
    <t>Sales of Admissions Form @ N1,000.00</t>
  </si>
  <si>
    <t>Hiring of Aquaculture Facilities (Fish Ponds)</t>
  </si>
  <si>
    <t>Rent/ Lease of Katsina House Abuja</t>
  </si>
  <si>
    <t>Rent/ Lease of Shops at Kafe Mall Abuja @1m per shop (32No)</t>
  </si>
  <si>
    <t>Rent/ Lease of Houses in Kaduna (8No.)</t>
  </si>
  <si>
    <t xml:space="preserve">Rent:- Canteen </t>
  </si>
  <si>
    <t>Irrigation Land Charges @N3,000.00/Ha</t>
  </si>
  <si>
    <t>Irrigation Cess @N500.00</t>
  </si>
  <si>
    <t>Irrigation Water Charges @N3,500.00/Ha</t>
  </si>
  <si>
    <t>Canteen Rent Fees</t>
  </si>
  <si>
    <t>Rent of Grains Silos @N1,000,000.00/Annum</t>
  </si>
  <si>
    <t>Songhai Land Lease (Funtua)</t>
  </si>
  <si>
    <t>Lease of Katsina Modern Shopping Mall</t>
  </si>
  <si>
    <t>Lease of Katsina Modern Market (Dubai)</t>
  </si>
  <si>
    <t>Leasing of Poultry Houses</t>
  </si>
  <si>
    <t>Refund:Over payment/unclaim  (Salary/Pension/Gratuity)</t>
  </si>
  <si>
    <t>Vetting/CSR Fees</t>
  </si>
  <si>
    <t xml:space="preserve">Sales of Jaiz Shares </t>
  </si>
  <si>
    <t>Sales of Shares (Others)</t>
  </si>
  <si>
    <t>2.5% of consolidated salary of MDAs</t>
  </si>
  <si>
    <t>2.5% of consolidated salary of LGAs staff</t>
  </si>
  <si>
    <t>2.5% of consolidated salary of SUBEB staff</t>
  </si>
  <si>
    <t>1% contribution (equity) from the consolidated revenue fund</t>
  </si>
  <si>
    <t>361No. Of Government Healthcare facilities registration into the scheme @N10,000.00 and 139No. of private @N10,000.00</t>
  </si>
  <si>
    <t>16,000 Projected enrollee change of ID card @ N500.00</t>
  </si>
  <si>
    <t>15%  Basic Salary for Organized Private Sector Employees</t>
  </si>
  <si>
    <t>PTF/Covid 19</t>
  </si>
  <si>
    <t>PILGRIMS WELFARE BOARD - ADMIN CODE: 011103700300</t>
  </si>
  <si>
    <t>ADMIN CHARGES</t>
  </si>
  <si>
    <t>INTEREST ON DEPOSIT</t>
  </si>
  <si>
    <t xml:space="preserve">Penalty on Renewal (50%) </t>
  </si>
  <si>
    <t>KATSINA FARMERS SUPPLY COMPANY (FASCOKT) - 021511000100</t>
  </si>
  <si>
    <t>Sales of Improved Seeds</t>
  </si>
  <si>
    <t>Sales of Agro-Chemicals</t>
  </si>
  <si>
    <t>Earning from the Sales/Marketing of Agric Implements &amp; Sundry Equip</t>
  </si>
  <si>
    <t>KTARDA - 021511400100</t>
  </si>
  <si>
    <t>MINISTRY OF HEALTH - ADMIN CODE: 052100100100</t>
  </si>
  <si>
    <t>Pharmacies &amp; Patient Licenses: Registration</t>
  </si>
  <si>
    <t>Pharmacies &amp; Patient Licenses: Annual Renewal</t>
  </si>
  <si>
    <t>LABORATRY REVOLVING FUNDS SCHEME</t>
  </si>
  <si>
    <t>DRUGS REVOLVING FUNDS SCHEME</t>
  </si>
  <si>
    <t>COLLEGE OF NURSING AND MIDWIFERY- 052110400100</t>
  </si>
  <si>
    <t>Sales of Admission Forms @N2,500.00</t>
  </si>
  <si>
    <t xml:space="preserve">Central Registration fees </t>
  </si>
  <si>
    <t>Tuition Fees (Non- Indigene)</t>
  </si>
  <si>
    <t>Hostel Fees @N600.00</t>
  </si>
  <si>
    <t xml:space="preserve">Examination Fees </t>
  </si>
  <si>
    <t>Use of Auditorium</t>
  </si>
  <si>
    <t>Caution Fees</t>
  </si>
  <si>
    <t>Practical/Lab Fees</t>
  </si>
  <si>
    <t>Issue of Testimonials STR fees @N3,000.00</t>
  </si>
  <si>
    <t>Procedure Manual</t>
  </si>
  <si>
    <t>Internet Subscription</t>
  </si>
  <si>
    <t>Student HandBook</t>
  </si>
  <si>
    <t xml:space="preserve">I.C.T </t>
  </si>
  <si>
    <t>Examination Card</t>
  </si>
  <si>
    <t>Curriculum fees</t>
  </si>
  <si>
    <t>Sales of Admission forms @N2,500.00</t>
  </si>
  <si>
    <t>Central Registration Fees @N5,000.00</t>
  </si>
  <si>
    <t>Hostel Fees @N2,500.00</t>
  </si>
  <si>
    <t>Tuition Fee (Non-Indigene)</t>
  </si>
  <si>
    <t>Games Fee @N200.00</t>
  </si>
  <si>
    <t>Identification Cards Fee @N500.00</t>
  </si>
  <si>
    <t>Clubs and Societies Fee @N600.00</t>
  </si>
  <si>
    <t>Examination Fee @N5,000.00</t>
  </si>
  <si>
    <t xml:space="preserve">Rent of College Properties </t>
  </si>
  <si>
    <t>Caution Fee @N500.00</t>
  </si>
  <si>
    <t>Student Handbook Fee @N600.00</t>
  </si>
  <si>
    <t>Library Registration Fee @N500.00</t>
  </si>
  <si>
    <t>Practical/Laboratory Fee @N500.00</t>
  </si>
  <si>
    <t>Issuance of Testimonial/ Result @N500.00</t>
  </si>
  <si>
    <t>Proceeds from Consultancy Service Unit</t>
  </si>
  <si>
    <t>Registration Fee @N50,000.00</t>
  </si>
  <si>
    <t>Annual Renewal Fee @N20,000.00</t>
  </si>
  <si>
    <t>DEPARTMENT OF DRUGS, NACORTICS &amp; HUMAN TRAFICKING -052111300100</t>
  </si>
  <si>
    <t>HOUSING AUTHORITY- 025301000100</t>
  </si>
  <si>
    <t>PROCESSING FEES AT F.M.C 185 HOUSE</t>
  </si>
  <si>
    <t>PLOT FEES @N25,650.00, 114 No. AT DAURA</t>
  </si>
  <si>
    <t>FMC ESTATE ALLOCATION FEES</t>
  </si>
  <si>
    <t>Registration of Associations</t>
  </si>
  <si>
    <t>Registration fees (Training Schools) @N10,000.00</t>
  </si>
  <si>
    <t>KTTV ADMINISTRATIVE CODE  - 012300300100</t>
  </si>
  <si>
    <t>LOCAL ADVERT</t>
  </si>
  <si>
    <t>AGENCY ADVERT</t>
  </si>
  <si>
    <t>COMMERCIAL ADVERT</t>
  </si>
  <si>
    <t xml:space="preserve">HISTORY &amp; CULTURE BUREAU - 012301500100 </t>
  </si>
  <si>
    <t>OFFICE OF AUDITOR GENERAL FOR LG - 014000100200</t>
  </si>
  <si>
    <t>OFFICE OF THE AUDITOR GENERAL FOR STATE  - 014000100100</t>
  </si>
  <si>
    <t>Reversionary interest</t>
  </si>
  <si>
    <t>Non-refundable deposit on Cert. of Occupancy</t>
  </si>
  <si>
    <t>Land development levy</t>
  </si>
  <si>
    <t>Sales of consent form</t>
  </si>
  <si>
    <t>WATER BOARD REVENUE</t>
  </si>
  <si>
    <t xml:space="preserve">  DEPARTMENT OF MARKET DEVELOPMENT - 022205300100</t>
  </si>
  <si>
    <t>Sales of forms Admissions  @N2,000.00</t>
  </si>
  <si>
    <t>Students Registration  @N8,100.00</t>
  </si>
  <si>
    <t>Students Part time program</t>
  </si>
  <si>
    <t>Rent of College property</t>
  </si>
  <si>
    <t>Miscellaneous Receipts</t>
  </si>
  <si>
    <t xml:space="preserve">Demonstration School fees </t>
  </si>
  <si>
    <t>Interest on Accounts</t>
  </si>
  <si>
    <t xml:space="preserve">Late registration fees </t>
  </si>
  <si>
    <t>Undergraduate Program</t>
  </si>
  <si>
    <t>Sales of Agric related products</t>
  </si>
  <si>
    <t>Screening and Jamb Reg.  Fees</t>
  </si>
  <si>
    <t>Consultancy Services Fee</t>
  </si>
  <si>
    <t xml:space="preserve">YUSUFU BALA USMAN COLLEGE, DAURA - 051701700100 </t>
  </si>
  <si>
    <t>Sales of Admission forms</t>
  </si>
  <si>
    <t>Lodging Fees</t>
  </si>
  <si>
    <t>Examination Fees</t>
  </si>
  <si>
    <t>Clinic registration</t>
  </si>
  <si>
    <t>Library Registration</t>
  </si>
  <si>
    <t>Student Handbook</t>
  </si>
  <si>
    <t>Nigerian Verification Educational System/ Teaching Practice</t>
  </si>
  <si>
    <t xml:space="preserve">HASSAN USMAN KATSINA POLYTECHNIC - 051701800100 </t>
  </si>
  <si>
    <t>Exaination Fees</t>
  </si>
  <si>
    <t>Staff School Revenue</t>
  </si>
  <si>
    <t>Identification Card Fees</t>
  </si>
  <si>
    <t>Practical Fees</t>
  </si>
  <si>
    <t>SIWES</t>
  </si>
  <si>
    <t>Clinic Registration</t>
  </si>
  <si>
    <t>Information Handbook</t>
  </si>
  <si>
    <t>Matriculation Fees</t>
  </si>
  <si>
    <t>I.C.T. Levy</t>
  </si>
  <si>
    <t>Proceeds from Bus Service</t>
  </si>
  <si>
    <t>Proceeds from Internet Café</t>
  </si>
  <si>
    <t>Receipts from Consultancy</t>
  </si>
  <si>
    <t>UMARU MUSA YAR'ADUA UNIVERSITY, KATSINA (UMYUK) - 051702100100</t>
  </si>
  <si>
    <t>Tuition</t>
  </si>
  <si>
    <t>Examination fees</t>
  </si>
  <si>
    <t>IT Fees</t>
  </si>
  <si>
    <t>Library fees</t>
  </si>
  <si>
    <t>I.D. Card fees</t>
  </si>
  <si>
    <t>Laboratory fees</t>
  </si>
  <si>
    <t>Orientation fees</t>
  </si>
  <si>
    <t>Hostel/ Accommodation fees</t>
  </si>
  <si>
    <t>Hostel Maintenance</t>
  </si>
  <si>
    <t>Sale of Forms</t>
  </si>
  <si>
    <t>PG Entrance Exam Fees</t>
  </si>
  <si>
    <t>JAMB Mock  Exam Fees</t>
  </si>
  <si>
    <t>JAMB  Regularization  Fees</t>
  </si>
  <si>
    <t>POST UME FEES</t>
  </si>
  <si>
    <t>RECEIPT FROM  A. Gown</t>
  </si>
  <si>
    <t>PG Facilities/UG Utilities</t>
  </si>
  <si>
    <t>PG School Charges</t>
  </si>
  <si>
    <t xml:space="preserve">Acceptance of Admission </t>
  </si>
  <si>
    <t>Faculty/Departmental Charges</t>
  </si>
  <si>
    <t>GSP Courses Fees</t>
  </si>
  <si>
    <t>Portal Fees</t>
  </si>
  <si>
    <t>Late Registration Fees</t>
  </si>
  <si>
    <t>Academic Transcript Fees</t>
  </si>
  <si>
    <t>NYSC Processing Fees</t>
  </si>
  <si>
    <t>Certificate Folder</t>
  </si>
  <si>
    <t>Deferment of Admission</t>
  </si>
  <si>
    <t>ID Card Replacement</t>
  </si>
  <si>
    <t>Field Trip</t>
  </si>
  <si>
    <t>T P &amp; Industrial Supervision</t>
  </si>
  <si>
    <t>Add &amp; Drop Fees</t>
  </si>
  <si>
    <t>Change of Course</t>
  </si>
  <si>
    <t>Inter Faculty Transfer</t>
  </si>
  <si>
    <t>Inter University Transfer</t>
  </si>
  <si>
    <t>Professional Fees</t>
  </si>
  <si>
    <t>Verification of Credentials</t>
  </si>
  <si>
    <t>Development Levy</t>
  </si>
  <si>
    <t>Handbook</t>
  </si>
  <si>
    <t>Alumni Fees</t>
  </si>
  <si>
    <t>PG Oral Viva Fees</t>
  </si>
  <si>
    <t>Bench Fees</t>
  </si>
  <si>
    <t>PG External Examination</t>
  </si>
  <si>
    <t>PG Supervision</t>
  </si>
  <si>
    <t>College Pay Transaction Cost</t>
  </si>
  <si>
    <t>TISHIP Capitation Fees</t>
  </si>
  <si>
    <t xml:space="preserve">Income from Repair of Blueslate </t>
  </si>
  <si>
    <t>Certificate Fees Charges</t>
  </si>
  <si>
    <t>Result Verification Fees</t>
  </si>
  <si>
    <t>Donations and Endowments</t>
  </si>
  <si>
    <t>Rent of Business Premises</t>
  </si>
  <si>
    <t>Registration of Contractors</t>
  </si>
  <si>
    <t>Other Miscellaneous Income</t>
  </si>
  <si>
    <t>Economic Rent</t>
  </si>
  <si>
    <t>Income from XRD Machine</t>
  </si>
  <si>
    <t>Inc. From Microscopy Machine</t>
  </si>
  <si>
    <t>Indeminty Payment</t>
  </si>
  <si>
    <t>Income from Auction</t>
  </si>
  <si>
    <t>Other income from Central Lab.</t>
  </si>
  <si>
    <t>Income from JAMB</t>
  </si>
  <si>
    <t>Income from UMYU  Consult</t>
  </si>
  <si>
    <t>Income from ISSCERER</t>
  </si>
  <si>
    <t>Inc. From Entrepre. Center</t>
  </si>
  <si>
    <t>Dividend Received</t>
  </si>
  <si>
    <t>Interest on Fixed Deposit</t>
  </si>
  <si>
    <t>KATSINA STATE SCHOLARSHIP BOARD (KTSSB) - 051705600100</t>
  </si>
  <si>
    <t>SALES OF APPLICATION FORMS</t>
  </si>
  <si>
    <t>EXTENSION FORM</t>
  </si>
  <si>
    <t>CHANGE OF COURSE/INSTITUTION</t>
  </si>
  <si>
    <t>SPORTS COUNCIL -  053905100100</t>
  </si>
  <si>
    <t xml:space="preserve">Registration of Private Nursery/Primary Schools </t>
  </si>
  <si>
    <t>Sales of Employment forms</t>
  </si>
  <si>
    <t>Contractor Registration Fees</t>
  </si>
  <si>
    <t>OFFICE OF SURVEYOR GENERAL -  023400200100</t>
  </si>
  <si>
    <t>SCIENCE AND TECHNICAL EDUCATION BOARD (STEB) - 051705300100</t>
  </si>
  <si>
    <t>SALES OF EMPLOYMENT FORMS @N1,000.00</t>
  </si>
  <si>
    <t>SALES OF SCRACH CARD @N1,000.00</t>
  </si>
  <si>
    <t>TEACHERS SERVICE BOARD (TSB) - 051705400100</t>
  </si>
  <si>
    <t>KATSINA STATE INSTITUTE OF TECHNOLOGY &amp; MANAGEMENT (KTSITM) - 022800700100</t>
  </si>
  <si>
    <t xml:space="preserve">Plant Hire Charges </t>
  </si>
  <si>
    <t>Road Cutting Charges</t>
  </si>
  <si>
    <t xml:space="preserve">Damage of Street Light Poles </t>
  </si>
  <si>
    <t>Crusher Plant</t>
  </si>
  <si>
    <t xml:space="preserve">DEPARTMENT OF COMMUNITY DEVELOPMENT - 055100300100  </t>
  </si>
  <si>
    <t>HISTORY &amp; CULTURE BUREAU</t>
  </si>
  <si>
    <t xml:space="preserve">KATSINA FARMERS SUPPLY COMPANY (FASCOKT) </t>
  </si>
  <si>
    <t>KATSINA STATE INSTITUTE OF TECHNOLOGY &amp; MANAGEMENT (KTSITM)</t>
  </si>
  <si>
    <t>023400100200</t>
  </si>
  <si>
    <t>WATER BOARD</t>
  </si>
  <si>
    <t>KATSINA STATE URBAN &amp; REGIONAL PLANNING BOARD (KURPB)</t>
  </si>
  <si>
    <t>053905100100</t>
  </si>
  <si>
    <t>STATE UNIVERSAL BASIC EDICATION BOARD (SUBEB)</t>
  </si>
  <si>
    <t xml:space="preserve">YUSUFU BALA USMAN COLLEGE, DAURA </t>
  </si>
  <si>
    <t xml:space="preserve">051701800100 </t>
  </si>
  <si>
    <t>HASSAN USMAN KATSINA POLYTECHNIC</t>
  </si>
  <si>
    <t>UMARU MUSA YAR'ADUA UNIVERSITY, KATSINA (UMYUK)</t>
  </si>
  <si>
    <t>ISA KAITA COLLEGE OF EDUCATION, DUTSINMA</t>
  </si>
  <si>
    <t xml:space="preserve">TEACHERS SERVICE BOARD (TSB) </t>
  </si>
  <si>
    <t xml:space="preserve">KATSINA STATE SCHOLARSHIP BOARD (KTSSB) </t>
  </si>
  <si>
    <t xml:space="preserve">PRIMARY HEALTH CARE DEVELOPMENT AGENCY </t>
  </si>
  <si>
    <t>DRUGS AND MEDICAL SUPPLY AGENCY</t>
  </si>
  <si>
    <t xml:space="preserve">STATE ENVIROMENTAL PROTECTION &amp; SANITATION AGENCY (SEPA) </t>
  </si>
  <si>
    <t xml:space="preserve">DEPARTMENT OF COMMUNITY DEVELOPMENT </t>
  </si>
  <si>
    <t>`2020</t>
  </si>
  <si>
    <t>`2021</t>
  </si>
  <si>
    <t>KATSINA STATE BUREAU OF PUBLIC PROCUREMENT: 011101000100</t>
  </si>
  <si>
    <t>SUSTAINABLE DEVELOPMENT GOALS (SDGS): 011101000200</t>
  </si>
  <si>
    <t>011101000200</t>
  </si>
  <si>
    <t>SUSTAINABLE DEVELOPMENT GOALS (SDGs)- 011101000200</t>
  </si>
  <si>
    <t xml:space="preserve">STATE BUREAU OF PUBLIC PROCUREMENT </t>
  </si>
  <si>
    <t>Forex Equilization (FGN PAYE)</t>
  </si>
  <si>
    <t>Forex Equalization</t>
  </si>
  <si>
    <t>Construction &amp; Furnishing of Academic Block (Sch. of Admin &amp; Mgt Studies)</t>
  </si>
  <si>
    <t>Constr. Of Mini lecture theatre</t>
  </si>
  <si>
    <t>Constr. of Arabic Village for Arabic Dept.</t>
  </si>
  <si>
    <t>Constr. of College Wall Premeter Fencing</t>
  </si>
  <si>
    <t>Construction of Convocation Square</t>
  </si>
  <si>
    <t>TOTAL FOR ADMINISTRATIVE SECTOR</t>
  </si>
  <si>
    <t>TOTAL FOR ECONOMIC SECTOR</t>
  </si>
  <si>
    <t>TOTAL FOR LAW &amp; JUSTICE SECTOR</t>
  </si>
  <si>
    <t>TOTAL FOR SOCIAL SECTOR</t>
  </si>
  <si>
    <t>Procurement of 4NO. 100KVA Gen for KATCHMA, DSMA, CHS &amp; CN&amp;M</t>
  </si>
  <si>
    <t>CBN Health Care Intervention Loan</t>
  </si>
  <si>
    <t>Urban Private Clinics Licenses- Annual Renewal (I.PC) @N50,000.00  (51No.)</t>
  </si>
  <si>
    <t>Urban Private Clinics Licenses- Registration (IPC)  @N100,000.00  (5No.)</t>
  </si>
  <si>
    <t>Urban Private Clinics Licenses- Registration (O.P.D.) @N60,000.00  (5No.)</t>
  </si>
  <si>
    <t xml:space="preserve">Urban Private Clinics Licenses- Annual Renewal (O.P.D.) @N30,000.00  (49No.) </t>
  </si>
  <si>
    <t>Upgrading of Private Clinics (OPD to IPC) @N50,000.00 (5NO.)</t>
  </si>
  <si>
    <t>Rural Private Clinics Licenses- Registration @N60,000.00 (3NO.)</t>
  </si>
  <si>
    <t>Rural Private Clinics Licenses- Annual Renewal @N30,000.00  (24No.)</t>
  </si>
  <si>
    <t>Renewal of Private Health Training Institutions @N150,000.00 (15No.)</t>
  </si>
  <si>
    <t xml:space="preserve">               -   </t>
  </si>
  <si>
    <t>Medical Laboratories &amp; Ultra Sound:</t>
  </si>
  <si>
    <t>Research &amp; Devt.: Ethical Review fees:</t>
  </si>
  <si>
    <t>a) Development Partners @N50,000.00 (10 No.)</t>
  </si>
  <si>
    <t>b) Post Graduates @N20,000.00 (20 No.)</t>
  </si>
  <si>
    <t>c) Undergraduates @N3,000.00 (50 No.)</t>
  </si>
  <si>
    <t>d) Independent @N10,000.00 (10No.)</t>
  </si>
  <si>
    <t>Urban Registration (4N0.) @60,000</t>
  </si>
  <si>
    <t>Urban Renewal 30NO. @N3,0000</t>
  </si>
  <si>
    <t xml:space="preserve">Rural Registration (4N0.) </t>
  </si>
  <si>
    <t>Rural Renewal (25NO.) @ N30,000</t>
  </si>
  <si>
    <t>Forex Equalization Fund</t>
  </si>
  <si>
    <t xml:space="preserve">                             -   </t>
  </si>
  <si>
    <t>BOND</t>
  </si>
  <si>
    <t>TOTAL RECEIVABLE FOR THE YEAR</t>
  </si>
  <si>
    <t>Internally Generated Revenue</t>
  </si>
  <si>
    <t>Other Internal Revenue</t>
  </si>
  <si>
    <t>LOCAL  GOVT. SERVICE COMMISSON -  014700100200</t>
  </si>
  <si>
    <t>Recurrent Non-Debt</t>
  </si>
  <si>
    <t>DRAFT</t>
  </si>
  <si>
    <t>APPROPRIATION</t>
  </si>
  <si>
    <t>Internally Generated Revenue (BOIR)</t>
  </si>
  <si>
    <t>Other Internal Revenue (FROM MDAs)</t>
  </si>
  <si>
    <t>Take Off Grant for Contributory Pension Scheme</t>
  </si>
  <si>
    <t>SUMMARY OF CAPITAL EXPENDITURE  BY SECTOR 2021</t>
  </si>
  <si>
    <t>Take off grant for Faculty of Agriculture</t>
  </si>
  <si>
    <t xml:space="preserve">Equip &amp; Instruments for Hospitals </t>
  </si>
  <si>
    <t>State Contribution of 2% of Statutory Revenue Allocation for Ecological Projects (State Ecological Law Fund Law 2014 as amended)</t>
  </si>
  <si>
    <t>34 LGAs Contribution of 2% of Statutory Revenue Allocation for Ecological Projects (State Ecological Law Fund Law 2014 as amended)</t>
  </si>
  <si>
    <t>Erosion &amp; Watershed Management Project (World Bank) ER</t>
  </si>
  <si>
    <t>DFID/UNICEF: Rural Water Supply and Sanitation Project  (ER)</t>
  </si>
  <si>
    <t>State Government's Contribution to Rural Water Supply &amp; Sanitation Intervention Projects in 26No.LGAs</t>
  </si>
  <si>
    <t>Covid-19 Citizens Response Cash and Donations in-kind (IR)</t>
  </si>
  <si>
    <t>WORLD BANK/RAVISSE/NCDC COVID-19 SUPPORT GRANT (ER)</t>
  </si>
  <si>
    <t>Noor Dubai Foundation (2019-2023) (ER)</t>
  </si>
  <si>
    <t>STATE GOVERNMENT FREE MEDICARE SCHEME FOR PREGNANT &amp; CHILDREN UNDER 5YRS</t>
  </si>
  <si>
    <t>POLIO (UNICEF) ER</t>
  </si>
  <si>
    <t>CBN INFRASTRUCTURE LOAN OF 9% INTEREST @900 MILLION (2016-2036)</t>
  </si>
  <si>
    <t>FOREIGN DEBT</t>
  </si>
  <si>
    <t>BANK FACILITY</t>
  </si>
  <si>
    <t>CBN BAILOUT FUND OF 11 BILLION GRATUITIES (2016-2038)</t>
  </si>
  <si>
    <t>GLOBAL FUND (ER)</t>
  </si>
  <si>
    <t>FREE MEDICARE DRUGS</t>
  </si>
  <si>
    <t>SFTAS Activities</t>
  </si>
  <si>
    <t>Enterpreneurship, Innovations &amp; Skills Development (Collaboration with CBN&amp;Devt. Partners). IR</t>
  </si>
  <si>
    <t>Establishment of Rape referral Centre, Teenage Girls Sex Commercial worker Reformatory Center</t>
  </si>
  <si>
    <t>Rehabilitation of Agric School  Kafin Soli</t>
  </si>
  <si>
    <t>34 LGAs Matching Grant for Community Development Projects</t>
  </si>
  <si>
    <t>Community Matching Grant @ 40%</t>
  </si>
  <si>
    <t>34 LGAs Constribution to Free Medicare Scheme for Pregnant &amp; Children under 5</t>
  </si>
  <si>
    <t>established liabilities WTH on Contract (LGAs &amp; MDAs)</t>
  </si>
  <si>
    <t>established liabilities on PAYE (MDAs, FI &amp; Fed. MDAs)</t>
  </si>
  <si>
    <t>Direct Assessment (Individual)</t>
  </si>
  <si>
    <t>Direct Assessment (WHT on Contract)</t>
  </si>
  <si>
    <t>Rehab &amp; Expansion of College of Agric Daudawa</t>
  </si>
  <si>
    <t xml:space="preserve">RUNNINING COSTS FOR QUR'ANIC/ARABIC SCHOOLS </t>
  </si>
  <si>
    <t>Contributory Health Care Services</t>
  </si>
  <si>
    <t>025210100200</t>
  </si>
  <si>
    <t xml:space="preserve">WATER BOARD - 025210100200 </t>
  </si>
  <si>
    <t>MEMBERS ALLOWANCES</t>
  </si>
  <si>
    <t>ROBE ALLOWANCES FOR HON. CHAIRMAN AND SECRETARY</t>
  </si>
  <si>
    <t>GRANTS TO SPORTS COUNCIL INCLUDING SELF-SUSTAIN IGR</t>
  </si>
  <si>
    <t>UPKEEP OF V.V.F. SKILLS</t>
  </si>
  <si>
    <t>SPECIAL DAYS: CHILDREN DAY, DAY OF AFRICAN CHILD, INTERNATIONAL DAY OF GIRL CHILD AND UNIVERSAL DAY OF CHILDREN</t>
  </si>
  <si>
    <t>CHILDREN PARK</t>
  </si>
  <si>
    <t>ADOPTION AND FOSTERING ALLOWANCES</t>
  </si>
  <si>
    <t>TOTAL FOR IKCE</t>
  </si>
  <si>
    <t>TOTAL FOR YBU</t>
  </si>
  <si>
    <t>CONSTRUCTION OF STORE AT HQTRS</t>
  </si>
  <si>
    <t>EQUIPMENT &amp; INSTRUMENTS FOR THE 9PHCS</t>
  </si>
  <si>
    <t>BASIC HEALTH CARE PROVISION FUNDS FGN (1% OF FGN ST.ALL) (IR)</t>
  </si>
  <si>
    <t>STATE CONTRIBUTION TO BHCPF (25%)</t>
  </si>
  <si>
    <t>QUALITY ASSURANCE/MONITORING</t>
  </si>
  <si>
    <t>TOTAL FOR DEP&amp;T</t>
  </si>
  <si>
    <t>LOCAL TRAVEL&amp; TRANSPORT (KARIER PROGRAMME)</t>
  </si>
  <si>
    <t>CONTRIBUTION TO FASCOKT INCLUDING SELF-SUSTAIN IGR</t>
  </si>
  <si>
    <t>TOTAL FOR STATE RADIO</t>
  </si>
  <si>
    <t>PRINTING MATERIALS</t>
  </si>
  <si>
    <t>VEHICLE MAINTENANCE</t>
  </si>
  <si>
    <t>PURCHASE OF DIESEL</t>
  </si>
  <si>
    <t>PLANT MAINTENANCE/ SPARE PARTS</t>
  </si>
  <si>
    <t>TOTAL FOR GOVT. PRINTING DEPT.</t>
  </si>
  <si>
    <t>TOTAL FOR HISTORY &amp; CULTURE BUREAU</t>
  </si>
  <si>
    <t>MAINTENANCE OF SEMI-URBAN SCHEMES</t>
  </si>
  <si>
    <t>TOTAL FOR RUWASSA</t>
  </si>
  <si>
    <t>COMMITTEE AND COMMISSION (CARES ACTIVITIES)</t>
  </si>
  <si>
    <t>TAKE OFF FUNDS FOR DEVELOPMENT PLANNING COMMISSION</t>
  </si>
  <si>
    <t>OFFICE OF THE ACCOUNTANT-GENERAL 022000700100</t>
  </si>
  <si>
    <t>2.5% CONTRIBUTION TO SALARIES LOCAL GOVT. STAFF PENSION BOARD</t>
  </si>
  <si>
    <t>10% OF IGR PAYABLE TO BOARD OF INTERNAL REVENUE/ REVENUE CONSULTANT INCLUSIVE</t>
  </si>
  <si>
    <t>ADMISSION INDUCTION AND GRADUATION</t>
  </si>
  <si>
    <t>STATIONERIES AND MINOR OFFICE EXPENSES</t>
  </si>
  <si>
    <t>MAINTENANCE OF VEHICLES</t>
  </si>
  <si>
    <t>MAINTENANCE AND UP-KEEP PLANTS</t>
  </si>
  <si>
    <t>TRAINING AND STAFF DEVELOPMENT</t>
  </si>
  <si>
    <t>TRANSPORT AND TRAVELLING LOCAL</t>
  </si>
  <si>
    <t>CONTRIBUTION TO STATE HOUSING AUTHORITY INCLUDING SELF-SUSTAIN IGR</t>
  </si>
  <si>
    <t xml:space="preserve">SECRETARIAT UTILITIES </t>
  </si>
  <si>
    <t>UP KEEP OF VEHICLE INSPECTION OFFICE</t>
  </si>
  <si>
    <t>Medical Care for Ex-Governors &amp; Deputy Governors</t>
  </si>
  <si>
    <t>Purchase of Vehicles for Ex-Governors &amp; Deputies 2No. @ Every 4years</t>
  </si>
  <si>
    <t>Audit Commission's Secretary</t>
  </si>
  <si>
    <t>TOTAL FOR THE MINISTRY OF WORKS</t>
  </si>
  <si>
    <t>Technical, Science &amp; Innovation Exhibtion projects</t>
  </si>
  <si>
    <t>Supply &amp; Installation of Solar Power @KTN, DRA, FTA &amp; KNK Gen. Hosp.</t>
  </si>
  <si>
    <t>TOTAL FOR SEPA</t>
  </si>
  <si>
    <t>Improve, Rehabilitation and Furnishing of SDTC Katsina</t>
  </si>
  <si>
    <t>STATE ROAD MAINTENANCE MANAGEMENT AGENCY (KASROMA)</t>
  </si>
  <si>
    <t>052111600100</t>
  </si>
  <si>
    <t>STATE AGENCY FOR THE CONTROL OF AIDS</t>
  </si>
  <si>
    <t>Provision of Portable Water Yamel Town</t>
  </si>
  <si>
    <t>Provision of Portable Water Jikamshi Town</t>
  </si>
  <si>
    <t>Provision of  portable Water Matazu Town</t>
  </si>
  <si>
    <t>Provision of  portable Water in Faskari Town</t>
  </si>
  <si>
    <t>Provision of  portable Water in Rimi Town</t>
  </si>
  <si>
    <t>Provision of  portable Water Charanchi Town</t>
  </si>
  <si>
    <t>KTSG Counterpart @20 Million Monthly</t>
  </si>
  <si>
    <t>Construction of Bore holes @ Khadis’ Residence &amp; 4No. Divisions</t>
  </si>
  <si>
    <t>Const &amp; Equip of 3no Blocks of 2 classrooms KT, DR FSP Nursery/Primary Schs</t>
  </si>
  <si>
    <t>State Counterpart fund for Schools Census Program</t>
  </si>
  <si>
    <t>Rehab of Storm Damage Schools</t>
  </si>
  <si>
    <t>Provision of Water Tanker</t>
  </si>
  <si>
    <t>PRIMARY HEALTH CARE DEVELOPMENT AGENCY - (IDB)</t>
  </si>
  <si>
    <t>DSTV SUBSCRIPTION CHARGES</t>
  </si>
  <si>
    <t>UPKEEP OF PFMU, MAIN ACCOUNT &amp; FISCAL RESPONSIBILITY OFFICES</t>
  </si>
  <si>
    <t xml:space="preserve">MAINT. OF COMPUTER PAYROLL &amp; PURCH. OF ACCESSORIES </t>
  </si>
  <si>
    <t>DEBT SERVICING FOR BOND</t>
  </si>
  <si>
    <t>TRADE FAIR EXHIBITION</t>
  </si>
  <si>
    <t>A</t>
  </si>
  <si>
    <t>RECURRENT REVENUE</t>
  </si>
  <si>
    <t>REF:</t>
  </si>
  <si>
    <t>B</t>
  </si>
  <si>
    <t>C</t>
  </si>
  <si>
    <t>OTHER RECEIPTS</t>
  </si>
  <si>
    <t>D</t>
  </si>
  <si>
    <t>E</t>
  </si>
  <si>
    <t>TOTAL ESTIMATES FOR THE YEAR =E1+E2</t>
  </si>
  <si>
    <t>TOTAL CAPITAL DEVELOPMENT FUND =C+D</t>
  </si>
  <si>
    <t>F</t>
  </si>
  <si>
    <t>FEDERATION ACCOUNT</t>
  </si>
  <si>
    <t xml:space="preserve">MINISTRY OF FINANCE (AGs OFFICE) - 022000700100 OTHER INTERNAL REVENUE: </t>
  </si>
  <si>
    <t xml:space="preserve">CONSOLIDATED  FINANCIAL STATEMENT </t>
  </si>
  <si>
    <t>APROPRIATION LAW 2021 GENERAL SUMMARY</t>
  </si>
  <si>
    <t>Empowerment Credit Facilities CARES Program (ER)</t>
  </si>
  <si>
    <t>TOTAL FOR DEPT. OF EMPOWERMENT &amp; SOCIAL INTERVENTION</t>
  </si>
  <si>
    <t>TOTAL FOR DEPARTMENT OF INTER-GOVERNMENTAL &amp; DEVT. PARTNERS</t>
  </si>
  <si>
    <t>Development &amp; Maintenance of Liaison Offices &amp; Government Quarters</t>
  </si>
  <si>
    <t>TOTAL FOR SDGs</t>
  </si>
  <si>
    <t>TOTAL FOR SBPP</t>
  </si>
  <si>
    <t>Katsina State Bureau of Public Procurement take – off grant (CAPITAL)</t>
  </si>
  <si>
    <t>TOTAL FOR MORA</t>
  </si>
  <si>
    <t>TOTAL FOR IEB</t>
  </si>
  <si>
    <t>TOTAL FOR DEPT. OF BANKING &amp; FINANCE</t>
  </si>
  <si>
    <t>TOTAL FOR STATE HOUSE OF ASSEMBLY</t>
  </si>
  <si>
    <t>Provision of dedicated Water Tanks at Various location for Fire Service.</t>
  </si>
  <si>
    <t>TOTAL FOR MIN. OF INFORMATION</t>
  </si>
  <si>
    <t>TOTAL KTTV</t>
  </si>
  <si>
    <t>TOTAL FOR THE OFFICE OF THE HEAD OF CIVIL SERVICE</t>
  </si>
  <si>
    <t>TOTAL FOR THE OFFFICE OF THE AUDITOR-GENERAL FOR THE STATE</t>
  </si>
  <si>
    <t>TOTAL FOR THE OFFFICE OF THE AUDITOR-GENERAL FOR LOOCAL GOVT.</t>
  </si>
  <si>
    <t>TOTAL FOR LOCAL GOVT. SERVICE COMM.</t>
  </si>
  <si>
    <t>TOTAL FOR SIEC</t>
  </si>
  <si>
    <t>TOTAL FOR AGRIC SERVICE DEPT.</t>
  </si>
  <si>
    <t>TOTAL FOR IRRIGATION DEPT.</t>
  </si>
  <si>
    <t>TOTAL FOR FORESTRY DEPT.</t>
  </si>
  <si>
    <t>MINISTRY OF AGRICULTURE (AGRIC SERVICES DEPARTMENT) - 021500100107</t>
  </si>
  <si>
    <t>MINISTRY OF AGRICULTURE (IRRIGATION DEPARTMENT) - 021500100109</t>
  </si>
  <si>
    <t>MINISTRY OF AGRICULTURE (FORESTRY DEPARTMENT) - 021510200200</t>
  </si>
  <si>
    <t>MINISTRY OF AGRICULTURE (CO-OPERATIVES DIVISION) - 021500100111</t>
  </si>
  <si>
    <t>TOTAL FOR COOPERATIVES DIVISION</t>
  </si>
  <si>
    <t>TOTAL FOR KTARDA</t>
  </si>
  <si>
    <t>TOTAL FOR FASCOKT</t>
  </si>
  <si>
    <t>LIVESTOCK DEPARTMENT - 021511500102</t>
  </si>
  <si>
    <t>TOTAL FOR VET. DEPT</t>
  </si>
  <si>
    <t>TOTAL FOR MINISTRY OF FINANCE</t>
  </si>
  <si>
    <t>TOTAL FOR MINISTRY OF BUDGET</t>
  </si>
  <si>
    <t>TOTAL FOR MINISTRY OF COMMERCE</t>
  </si>
  <si>
    <t>Printing of Documents of Titles of Lands</t>
  </si>
  <si>
    <t>TOTAL FOR URBAN &amp; REGIONAL PLANNING BOARD</t>
  </si>
  <si>
    <t>ADMINISTRATIVE CODE - 022800700100</t>
  </si>
  <si>
    <t>TOTAL FOR MIN OF SCI. TECH. &amp; INNOVATION</t>
  </si>
  <si>
    <t>Collaboration with Fed. Ministry of Communication with  its Agencies &amp; other Devt partners</t>
  </si>
  <si>
    <t>TOTAL FOR INSTITUTE OF TECHNOLOGY</t>
  </si>
  <si>
    <t>TOTAL FOR REB</t>
  </si>
  <si>
    <t>TOTAL FOR MINISTRY OF RESOURCE DEVELOPMENT</t>
  </si>
  <si>
    <t>ROADS: CONTINUED</t>
  </si>
  <si>
    <t>TOTAL FOR HOUSING AUTHORITY</t>
  </si>
  <si>
    <t>TOTAL FOR THE MINISTRY OF WATER RESOURCES</t>
  </si>
  <si>
    <t>TOTAL FOR DEPT. OF RURAL &amp; SEMI URBAN WATER SUPPLY</t>
  </si>
  <si>
    <t>TOTAL FOR MINISTRY OF JUSTICE</t>
  </si>
  <si>
    <t>State Government Counterpart Fund for "Jusitice for All" Program</t>
  </si>
  <si>
    <t>TOTAL FOR SEMA</t>
  </si>
  <si>
    <t>TOTAL FOR MINISTRY OF SPORTS &amp; SOCIAL DEVELOPMENT</t>
  </si>
  <si>
    <t>TOTAL FOR MINISTRY OF WOMEN AFFAIRS</t>
  </si>
  <si>
    <t>TOTAL FOR DEPT. OF GIRL CHILD EDUCATION &amp; CHILD DEVT.</t>
  </si>
  <si>
    <t xml:space="preserve"> MINISTRY OF WOMEN AFFAIRS 051400100100</t>
  </si>
  <si>
    <t>SOCIAL SECTOR:</t>
  </si>
  <si>
    <t>TOTAL FOR DEPT OF SKILLS ACQUISITION &amp; VOCATIONAL TRAINING</t>
  </si>
  <si>
    <t>TOTAL FOR SUBEB</t>
  </si>
  <si>
    <t>TOTAL FOR LIBRARY BOARD</t>
  </si>
  <si>
    <t>TOTAL FOR AGENCY FOR MASS EDUCATION</t>
  </si>
  <si>
    <t>TOTAL FOR KTSSB</t>
  </si>
  <si>
    <t>TOTAL FOR YBUC, DAURA</t>
  </si>
  <si>
    <t>TOTAL FOR HUK, POLY</t>
  </si>
  <si>
    <t>TOTAL FOR IKCE, D/MA</t>
  </si>
  <si>
    <t>MINISTRY OF HEALTH CONTINUED</t>
  </si>
  <si>
    <t>PROCUREMENT OF RUTF</t>
  </si>
  <si>
    <t>TOTAL FOR CONTRIBUTORY HEALTH CARE DEVT. AGENCY</t>
  </si>
  <si>
    <t>TOTAL FOR COLLEGE OF NURSING AND MIDWIFERY</t>
  </si>
  <si>
    <t>TOTAL FOR COLLEGE OF HEALTH SCIENCES</t>
  </si>
  <si>
    <t>TOTAL FOR DRUGS SUPPLY MANAGEMENT AGENCY</t>
  </si>
  <si>
    <t>TOTAL FOR DEPT. OF DRUGS, NACORTICS &amp; HUMAN TRAFICKING</t>
  </si>
  <si>
    <t>TOTAL FOR MINISTRY OF ENVIRONMENT</t>
  </si>
  <si>
    <t>Procurement Office Furnitures</t>
  </si>
  <si>
    <t>RECURRENT RESERVE (EXIGENCIES &amp; GRANTS)</t>
  </si>
  <si>
    <t>Settlement of Liabilities</t>
  </si>
  <si>
    <t>Katsina Modern Referral Veterinary Reference Hospital</t>
  </si>
  <si>
    <t>KASEED SMES CBN DEV. LOAN OF 9% INTEREST @ N180 MILLION</t>
  </si>
  <si>
    <t>BUDGET SURPLUS/ DEFICIT = (B+D)-E3</t>
  </si>
  <si>
    <t>%</t>
  </si>
  <si>
    <t>ACTUAL AS AT SEPT 2020</t>
  </si>
  <si>
    <t>Bench fees (Private Students on Practical’s):</t>
  </si>
  <si>
    <t>Bachelor’s Degree, Dip &amp;Cert @N20,000 (400 NO.)</t>
  </si>
  <si>
    <t>Master’s Degree (Post graduate) @ N30,000 (20NO.)</t>
  </si>
  <si>
    <t>TPAs Registration Fees @N20,000.00</t>
  </si>
  <si>
    <t>20% of 1% - Administrative Charges</t>
  </si>
  <si>
    <t>70% of 1% - Training Funds</t>
  </si>
  <si>
    <t>Expansion/Rehabilitation of Distribution Systems @ Sardauna Estate</t>
  </si>
  <si>
    <t>Expansion/Rehabilitation of Distribution Systems @ Fatima Shema Estate</t>
  </si>
  <si>
    <t>STATE EMERGENCY MANAGEMENT AGENCY</t>
  </si>
  <si>
    <t>Bond</t>
  </si>
  <si>
    <t>COVID-19 Preparedness and Response Project Grant (ER)</t>
  </si>
  <si>
    <t>Special Adviser's Allowances</t>
  </si>
  <si>
    <t>TOTAL  FOR DEPT. OF INTER-GOVERMENTAL</t>
  </si>
  <si>
    <t>Special Adviser's Allowance</t>
  </si>
  <si>
    <t>Friday Imams Allowance</t>
  </si>
  <si>
    <t>Usman Danfodio GH Mosque Staff Allowance</t>
  </si>
  <si>
    <t>TOTAL FOR PWB</t>
  </si>
  <si>
    <t>TOTAL  FOR DEPT. OF BANKING &amp; FINANCE</t>
  </si>
  <si>
    <t>2021 DRAFT APPROPRIATION</t>
  </si>
  <si>
    <t>ADMINISTRATIVE CODE - GOVERNMENT PRINTING DEPARTMENT - 012301300100</t>
  </si>
  <si>
    <t>ADMINISTRATIVE CODE - 012500100100 - OFFICE OF THE HEAD OF CIVIL SERVICE OF THE STATE</t>
  </si>
  <si>
    <t>ADMINISTRATIVE CODE -  012300100200 -  DEPARTMENT OF POLITICAL AFFAIRS</t>
  </si>
  <si>
    <t>TOTAL FOR DEPT.OF POLITICAL AFFAIRS</t>
  </si>
  <si>
    <t>TOTAL FOR THE OFFICE OF AUD.-GEN. FOR THE STATE</t>
  </si>
  <si>
    <t>TOTAL FOR THE OFFICE OF AUD.-GEN. FOR L.G</t>
  </si>
  <si>
    <t>TOTAL FOR CSC</t>
  </si>
  <si>
    <t>ADMINISTRATIVE CODE - 014700100200 - LOCAL GOVERNMENT SERVICE COMMISSION</t>
  </si>
  <si>
    <t>ADMINISTRATIVE CODE  - 011102000100  LOCAL GOVERNMENT STAFF PENSION BOARD</t>
  </si>
  <si>
    <t>TOTAL FOR LGSC</t>
  </si>
  <si>
    <t>TOTAL FOR LGSPB</t>
  </si>
  <si>
    <t>TOTAL FOR DEPT. OF LIVESTOCK &amp; GRAZING RESERVE</t>
  </si>
  <si>
    <t>TOTAL FOR MINISTRY OF BUDGET &amp; ECO. PLANNING</t>
  </si>
  <si>
    <t>KIPA Director General's Salary</t>
  </si>
  <si>
    <t>KIPA Director General Allowances</t>
  </si>
  <si>
    <t xml:space="preserve">TOTAL FOR THE OFFICE OF THE ACC. GEN. </t>
  </si>
  <si>
    <t>ADMINISTRATIVE CODE -   022000700100  -  OFFICE OF THE ACCOUNTANT-GENERAL</t>
  </si>
  <si>
    <t>TOTAL FOR MIN OF COMMERCE</t>
  </si>
  <si>
    <t>TOTAL  FOR DEPT. OF LABOUR &amp; PRODUCTIVITY</t>
  </si>
  <si>
    <t>Recurrent Budget Surplus =A-B</t>
  </si>
  <si>
    <t>CBN HEALTH CARE INTERVENTION LOAN</t>
  </si>
  <si>
    <t xml:space="preserve">2021 SUMMARY OF REVENUE BY MDAs </t>
  </si>
  <si>
    <t xml:space="preserve">SUB- TOTAL </t>
  </si>
  <si>
    <t>TOTAL FOR KTSITM</t>
  </si>
  <si>
    <t>TOTAL FOR MWR</t>
  </si>
  <si>
    <t>ADMINISTRATIVE CODE - 025210300100 - RURAL WATER SUPPLY AND SANITATION AGENGY (RUWASSA)</t>
  </si>
  <si>
    <t xml:space="preserve">TOTAL FOR DEPT. OF SKILLS ACQUISITION </t>
  </si>
  <si>
    <t>TOTAL  FOR MINISTRY OF EDUCATION</t>
  </si>
  <si>
    <t>ACTUAL 2020 AS AT AUG. 2020</t>
  </si>
  <si>
    <t>ADMINISTRATIVE CODE - 051700800100 - KATSINA STATE LIBRARY BOARD</t>
  </si>
  <si>
    <t>ADMINISTRATIVE CODE - 051700300100 - STATE UNIVERSAL BASIC EDUCATION BOARD (SUBEB)</t>
  </si>
  <si>
    <t>ADMINISTRATIVE CODE -  051705600100 -  DEPARTMENT OF HIGHER EDUCATION</t>
  </si>
  <si>
    <t>TOTAL FOR YBUC, DRA</t>
  </si>
  <si>
    <t>TOTAL FOR IKCE &amp; DTM</t>
  </si>
  <si>
    <t>Contributory Health Care Management Agency</t>
  </si>
  <si>
    <t>State Agency for the Control of Aids</t>
  </si>
  <si>
    <t>2020 APPROVED REVISED ESTIMATES</t>
  </si>
  <si>
    <t xml:space="preserve">AGRICULTURAL AND RURAL DEVELOPMENT AUTHORITY </t>
  </si>
  <si>
    <t>`2022</t>
  </si>
  <si>
    <t>`2023</t>
  </si>
  <si>
    <t>TEACHERS SERVICE BOARD (TSB)</t>
  </si>
  <si>
    <t>AGRICULTURAL AND RURAL DEVELOPMENT AUTHORITY (KTARDA)</t>
  </si>
  <si>
    <t xml:space="preserve">TOTAL FOR SUBEB </t>
  </si>
  <si>
    <t>TOTAL FOR DEPT. OF DRUGS, NARC. &amp;HT</t>
  </si>
  <si>
    <t>TOTAL DEPT. OF EMPOWERMENT &amp; SOC. INTERVENTION</t>
  </si>
  <si>
    <t>STATE HOUSE OF ASSEMBLY CONT.</t>
  </si>
  <si>
    <t>TOTAL FOR MINISTRY OF WATER RESOURCES</t>
  </si>
  <si>
    <t>ADMINISTRATIVE CODE - KATSINA STATE ROAD MAINTENANCE AGENCY (KASROMA) - 023400400100</t>
  </si>
  <si>
    <t>TOTAL FOR CONTRIBUTORY HEALTH CARE DEVT.</t>
  </si>
  <si>
    <t>TRANSPORT FARE FEES</t>
  </si>
  <si>
    <t>Earning From Muhd Dikko Stadium</t>
  </si>
  <si>
    <t>Earning From Other Stadia</t>
  </si>
  <si>
    <t>SPORTS COUNCIL</t>
  </si>
  <si>
    <t>ANNUAL RENEWAL FEES</t>
  </si>
  <si>
    <t>Earning from Baika Market</t>
  </si>
  <si>
    <t>DEVELOPMENT LEVY AND CATTLE TAX SENSITIZATION ACTIVITIES</t>
  </si>
  <si>
    <t xml:space="preserve">ORPHANS, WIDOWS &amp; VULNERABLE ACTIVITIES (SPC) </t>
  </si>
  <si>
    <t>DEPARTMENT HIGHER EDUCATION</t>
  </si>
  <si>
    <t>DEPARTMENT OF HIGHER EDUCATION - 051705600100</t>
  </si>
  <si>
    <t>KATSINA STATE BUREAU OF PUBLIC PROCUREMENT -  011101000100</t>
  </si>
  <si>
    <t>2021 - FISCAL YEAR</t>
  </si>
  <si>
    <t>Upgrading of Kafur, Faskari &amp; Zango PHCs to Gen. Hosp.</t>
  </si>
  <si>
    <t>Local Govt. contribution to Orphans, Widows &amp; Vulnerable Support Programme (IR)</t>
  </si>
  <si>
    <t xml:space="preserve">State contribution to Orphans, Widows &amp; Vulnerable Support Programme (SPC) </t>
  </si>
  <si>
    <t>Donors contribution to Orphans, Widows &amp; Vulnerable Support Programme (ER)</t>
  </si>
  <si>
    <t>Mobile Environmental Assessments Gadgets</t>
  </si>
  <si>
    <t>"Budget of Recovery &amp; Consolidation"</t>
  </si>
  <si>
    <t xml:space="preserve">KATSINA STATE HOUSE OF ASSEMBLY </t>
  </si>
  <si>
    <t>ADMINISTRATIVE CODE - 012301300100</t>
  </si>
  <si>
    <t xml:space="preserve">DEPARTMENT OF PARTY LIAISON </t>
  </si>
  <si>
    <t>SEVERANCE FURNITURE ALLOWANCE</t>
  </si>
  <si>
    <t>PENSION FOR POLITICAL OFFICER HOLD</t>
  </si>
  <si>
    <t>SEVERANCE GRATUITY POLITICAL OFFICE HOLDERS</t>
  </si>
  <si>
    <t xml:space="preserve"> DEPARTMENT OF HUMAN CAPITAL DEVELOPMENT</t>
  </si>
  <si>
    <t>ADMIN SECTOR:  012500500200</t>
  </si>
  <si>
    <t>INVESTMENT PROMOTION AGENCY (KIPA)</t>
  </si>
  <si>
    <t>RURAL ELECTRIFICATION BOARD</t>
  </si>
  <si>
    <t>RURAL WATER SUPPLY AND SANITATION AGENCY (RUWASSA)</t>
  </si>
  <si>
    <t xml:space="preserve">DR. YUSUFU BALA USMAN COLLEGE, DAURA </t>
  </si>
  <si>
    <t>ADMINISTRATIVE CODE - 051701700100</t>
  </si>
  <si>
    <t>ADMINISTRATIVE CODE -  051705600100</t>
  </si>
  <si>
    <t>STATE ENVIRONMENTAL PROTECTION AGENCY (SEPA)</t>
  </si>
  <si>
    <t>GOVERNMENT HOUSE</t>
  </si>
  <si>
    <t>DEPUTY GOVERNOR'S OFFICE</t>
  </si>
  <si>
    <t>URBAN AND REGIONAL PLANNING BOARD (URPB)</t>
  </si>
  <si>
    <t xml:space="preserve">DEPARTMENT OF POWER &amp; ENERGY </t>
  </si>
  <si>
    <t>ROAD MAINTENANCE MANAGEMENT AGENCY (KASROMA)</t>
  </si>
  <si>
    <t>KATSINA STATE LIBRARY BOARD</t>
  </si>
  <si>
    <t>ADMINISTRATIVE CODE:  011100100100</t>
  </si>
  <si>
    <t>ADMINISTRATIVE CODE: - 011100100200</t>
  </si>
  <si>
    <t>ADMINISTRATIVE CODE:  011113200100</t>
  </si>
  <si>
    <t>ADMINISTRATIVE CODE:- 011100700100</t>
  </si>
  <si>
    <t>ADMINISTRATIVE CODE:  - 011101300100</t>
  </si>
  <si>
    <t>ADMINISTRATIVE CODE:  011103700200</t>
  </si>
  <si>
    <t>ADMINISTRATIVE CODE:   011103700200</t>
  </si>
  <si>
    <t>ADMINISTRATIVE CODE:   011103700300</t>
  </si>
  <si>
    <t>ADMINISTRATIVE CODE:  011104400100</t>
  </si>
  <si>
    <t>ADMINISTRATIVE CODE:  011118300100</t>
  </si>
  <si>
    <t>ADMINISTRATIVE CODE:  011200300100</t>
  </si>
  <si>
    <t>ADMINISTRATIVE CODE:  011200500100</t>
  </si>
  <si>
    <t>ADMINISTRATIVE CODE:  012300100100</t>
  </si>
  <si>
    <t>ADMINISTRATIVE CODE:- 012300300100</t>
  </si>
  <si>
    <t>ADMINISTRATIVE CODE - 012300400100</t>
  </si>
  <si>
    <t>ADMINISTRATIVE CODE - 012300100200</t>
  </si>
  <si>
    <t>ADMINISTRATIVE CODE:  012300100300</t>
  </si>
  <si>
    <t>ADMINISTRATIVE CODE - 012500100100</t>
  </si>
  <si>
    <t>ADMINISTRATIVE CODE:  012500500100</t>
  </si>
  <si>
    <t>ADMINISTRATIVE CODE:  014000100100</t>
  </si>
  <si>
    <t>ADMINISTRATIVE CODE:  014000100200</t>
  </si>
  <si>
    <t>ADMINISTRATIVE CODE:  014700100100</t>
  </si>
  <si>
    <t>ADMINISTRATIVE CODE:  014700100200</t>
  </si>
  <si>
    <t>ADMINISTRATIVE CODE -011102000100</t>
  </si>
  <si>
    <t>ADMINISTRATIVE CODE:  014800100100</t>
  </si>
  <si>
    <t>ADMINISTRATIVE CODE:  021500100100</t>
  </si>
  <si>
    <t>ADMINISTRATIVE CODE:  021511000100</t>
  </si>
  <si>
    <t>ADMINISTRATIVE CODE:  021511400100</t>
  </si>
  <si>
    <t>ADMINISTRATIVE CODE:  022000100100</t>
  </si>
  <si>
    <t>ADMINISTRATIVE CODE:  022000300100</t>
  </si>
  <si>
    <t>ADMINISTRATIVE CODE:  022000700100</t>
  </si>
  <si>
    <t>ADMINISTRATIVE CODE: - 022200100100</t>
  </si>
  <si>
    <t>ADMINISTRATIVE CODE: - 022200100200</t>
  </si>
  <si>
    <t>ADMINISTRATIVE CODE:  - 022205300100</t>
  </si>
  <si>
    <t>ADMINISTRATIVE CODE:  - 026000100100</t>
  </si>
  <si>
    <t>ADMINISTRATIVE CODE: - 023400200100</t>
  </si>
  <si>
    <t>ADMINISTRATIVE CODE: - 025305600100</t>
  </si>
  <si>
    <t>ADMINISTRATIVE CODE:  - 022700100100</t>
  </si>
  <si>
    <t>ADMINISTRATIVE CODE:  - 022700500100</t>
  </si>
  <si>
    <t>ADMINISTRATIVE CODE:  022800100100</t>
  </si>
  <si>
    <t>ADMINISTRATIVE CODE:  022800700100</t>
  </si>
  <si>
    <t>ADMINISTRATIVE CODE: 023100100100</t>
  </si>
  <si>
    <t>ADMINISTRATIVE CODE: 023100300100</t>
  </si>
  <si>
    <t>ADMINISTRATIVE CODE:  - 023305100100</t>
  </si>
  <si>
    <t>ADMINISTRATIVE CODE: - 023400100100</t>
  </si>
  <si>
    <t>ADMINISTRATIVE CODE: - 023400400100</t>
  </si>
  <si>
    <t>ADMINISTRATIVE CODE: - 025301000100</t>
  </si>
  <si>
    <t>ADMINISTRATIVE CODE:  - 025200100100</t>
  </si>
  <si>
    <t>ADMINISTRATIVE CODE:  -  025210300100</t>
  </si>
  <si>
    <t>ADMINISTRATIVE CODE:  -  025210400100</t>
  </si>
  <si>
    <t>ADMINISTRATIVE CODE:  - 031801100100</t>
  </si>
  <si>
    <t>ADMINISTRATIVE CODE:  - 032600100100</t>
  </si>
  <si>
    <t>ADMINISTRATIVE CODE:  - 032605100100</t>
  </si>
  <si>
    <t>ADMINISTRATIVE CODE:  - 032605300100</t>
  </si>
  <si>
    <t>ADMINISTRATIVE CODE:  - 032605400100</t>
  </si>
  <si>
    <t>ADMINISTRATIVE CODE:  - 051300100100</t>
  </si>
  <si>
    <t>ADMINISTRATIVE CODE:  - 05305300100</t>
  </si>
  <si>
    <t>ADMINISTRATIVE CODE:  - 051300200100</t>
  </si>
  <si>
    <t>ADMINISTRATIVE CODE:  - 051400100100</t>
  </si>
  <si>
    <t>ADMINISTRATIVE CODE:  - 051400100200</t>
  </si>
  <si>
    <t>ADMINISTRATIVE CODE: 051400200100</t>
  </si>
  <si>
    <t>ADMINISTRATIVE CODE:  - 051700100100</t>
  </si>
  <si>
    <t>ADMINISTRATIVE CODE  - 051700800100</t>
  </si>
  <si>
    <t>ADMINISTRATIVE CODE  -  051701000100</t>
  </si>
  <si>
    <t>ADMINISTRATIVE CODE:- 051702900100</t>
  </si>
  <si>
    <t>ADMINISTRATIVE CODE - 051705300100</t>
  </si>
  <si>
    <t>ADMINISTRATIVE CODE:  - 051700100200</t>
  </si>
  <si>
    <t>ADMINISTRATIVE CODE:- 051701900100</t>
  </si>
  <si>
    <t>ADMINISTRATIVE CODE:  - 052100100100</t>
  </si>
  <si>
    <t xml:space="preserve">ADMINISTRATIVE CODE:  052111300100 </t>
  </si>
  <si>
    <t>ADMINISTRATIVE CODE:  - 053500100100</t>
  </si>
  <si>
    <t>ADMINISTRATIVE CODE:  - 053501600100</t>
  </si>
  <si>
    <t>ADMINISTRATIVE CODE:  - 053900100200</t>
  </si>
  <si>
    <t>ADMINISTRATIVE CODE:  - 055100300100</t>
  </si>
  <si>
    <t>ADMINISTRATIVE CODE:  - 055100100100</t>
  </si>
  <si>
    <t>ADMINISTRATIVE CODE- 011101000200</t>
  </si>
  <si>
    <t>ADMINISTRATIVE CODE- 051700300100</t>
  </si>
  <si>
    <t>ADMINISTRATIVE CODE- 051705400100</t>
  </si>
  <si>
    <t>Governor's Salary</t>
  </si>
  <si>
    <t>Governor's Allowance</t>
  </si>
  <si>
    <t>Chief of Staff Allowance</t>
  </si>
  <si>
    <t>HEALTH SECTOR</t>
  </si>
  <si>
    <t>ENVIRONMENT SECTOR</t>
  </si>
  <si>
    <t>WATER SUPPLY SECTOR</t>
  </si>
  <si>
    <t>AGRICULTURE SECTOR</t>
  </si>
  <si>
    <t>EDUCATION SECTOR</t>
  </si>
  <si>
    <t>NOTE:</t>
  </si>
  <si>
    <t xml:space="preserve">Monitoring &amp; Evaluation of Projects </t>
  </si>
  <si>
    <t>Purchase of Tractors, Farm Implements &amp; Farm Power Tiller</t>
  </si>
  <si>
    <t>Centre for Agro Meteorology</t>
  </si>
  <si>
    <t xml:space="preserve">Development of Tree Nursery, Improved Fruits &amp; Seedling Production </t>
  </si>
  <si>
    <t xml:space="preserve">Road Side Planting / Fuel wood Plantation &amp; Industrial Tree Crop Plantation </t>
  </si>
  <si>
    <t>Procurement of Improved Seeds</t>
  </si>
  <si>
    <t>Rehab Of Farm Service Centre Office Accommodation</t>
  </si>
  <si>
    <t xml:space="preserve">BECE Exams (JSCE) and Qualifying Exams Expenses </t>
  </si>
  <si>
    <t>Better Education Service Delivery for All (BESDA)  (ER)</t>
  </si>
  <si>
    <t>Rehab of Science Schools, Technical Colleges &amp; Commercial Colleges</t>
  </si>
  <si>
    <t>Provision of Instructional Materials</t>
  </si>
  <si>
    <t>Provision of Schools' Computers and Accessories for E-Learning</t>
  </si>
  <si>
    <t>Grant to INVESTMENT PROMOTION AGENCY</t>
  </si>
  <si>
    <t>ADMINISTRATIVE CODE -011110100200- DEPARTMENT OF SUSTAINABLE  DEVELOPMENT GOALS (SDGs)</t>
  </si>
  <si>
    <t>ADMINISTRATIVE CODE -   011101300100  -  OFFICE OF THE SECRETARY TO THE GOVERNMENT OF THE STATE</t>
  </si>
  <si>
    <t>TOTAL FOR DEPT. R&amp;SUWS</t>
  </si>
  <si>
    <t xml:space="preserve">ADMINISTRATIVE CODE:-  051705600100 </t>
  </si>
  <si>
    <t xml:space="preserve">Danja Dams Water Supply Phase II (Regional Water Supply) </t>
  </si>
  <si>
    <t xml:space="preserve">Rehabilitation &amp; Upgrading of Musawa Dam &amp; Water Supply Scheme </t>
  </si>
  <si>
    <t xml:space="preserve">Rehab of Kafin-Soli Dam </t>
  </si>
  <si>
    <t xml:space="preserve">Completion Mani Semi-Urban Water Project </t>
  </si>
  <si>
    <t xml:space="preserve">Construction of  Faculty of Agriculture (Layin Minista) </t>
  </si>
  <si>
    <t xml:space="preserve">Renovation &amp; Impr of General Hospitals </t>
  </si>
  <si>
    <t xml:space="preserve">Linear Acceleration Cancer Centre </t>
  </si>
  <si>
    <t xml:space="preserve">Constr. &amp; Renovation of Sch. of Nursing FTA </t>
  </si>
  <si>
    <t xml:space="preserve">Constr. &amp; Renovation of Sch. of Midwifery Mani </t>
  </si>
  <si>
    <t>TOTAL FOR MINISTRY FOR RURAL DEVT.</t>
  </si>
  <si>
    <t>TOTAL FOR MIN. FOR LOCAL GOVT. &amp; C.A</t>
  </si>
  <si>
    <t>TOTAL FOR MIN FOR RURAL DEV.</t>
  </si>
  <si>
    <t>Administrative Sector – Sub-Total</t>
  </si>
  <si>
    <t>SUMMARY OF TOTAL EXP. BASED ON SECTOR</t>
  </si>
  <si>
    <t>TOTAL EXPENDITURE FOR THE YEAR</t>
  </si>
  <si>
    <t>SUMMARY OF TOTAL BUDGETED EXPENDITURE  BY SECTOR( 2021 TO  2023)</t>
  </si>
  <si>
    <t>TOTAL FOR LIVESTOCK DEPT.</t>
  </si>
  <si>
    <t>TOTAL FOR THE DEPARTMENT OF LIVESTOCK &amp; GRAZING RESERVE</t>
  </si>
  <si>
    <t>HOSPITAL SERVICES MANAGEMENT BOARD - 052110200100</t>
  </si>
  <si>
    <t>HOSPITAL SERVICES MANAGEMENT BOARD</t>
  </si>
  <si>
    <t>TOTAL FOR SHA</t>
  </si>
  <si>
    <t>General Manager's Salary &amp; Allowances</t>
  </si>
  <si>
    <t>NO OF STAFF 2020</t>
  </si>
  <si>
    <t>PROPOSED ESTIMATE 2021</t>
  </si>
  <si>
    <t>4291201/1</t>
  </si>
  <si>
    <t>04</t>
  </si>
  <si>
    <t>06</t>
  </si>
  <si>
    <t>07</t>
  </si>
  <si>
    <t>08</t>
  </si>
  <si>
    <t>09</t>
  </si>
  <si>
    <t>Managing Director's Salary/Allowances</t>
  </si>
  <si>
    <t>Total for KASROMA</t>
  </si>
  <si>
    <t>ADMINISTRATIVE CODE -  025301000100  -  STATE HOUSING AUTHORITY</t>
  </si>
  <si>
    <t>ADMINISTRATIVE CODE -  023400400100  -  KATSINA STATE ROAD MAINTENANCE AGENCY</t>
  </si>
  <si>
    <t>ADMINISTRATIVE CODE - 052100200100 - CONTRIBUTORY HEALTH CARE MANAGEMENT AGENCY</t>
  </si>
  <si>
    <t>TOTAL FOR KACHMA</t>
  </si>
  <si>
    <t>ADMINISTRATIVE CODE - 052111300200- DRUGS SUPPLY MANAGEMENT AGENCY</t>
  </si>
  <si>
    <t>TOTAL DSMA</t>
  </si>
  <si>
    <t>ADMINISTRATIVE CODE - COLLEGE OF HEALTH SCIENCES - 052110600100</t>
  </si>
  <si>
    <t>CONTADDS</t>
  </si>
  <si>
    <t>TOTAL GL.07-11</t>
  </si>
  <si>
    <t>TOTAL FOR CHSCI</t>
  </si>
  <si>
    <t>ADMINISTRATIVE CODE -PRIMARY HEALTH CARE DEVELOPMENT AGENCY - 052100300100</t>
  </si>
  <si>
    <t>TOTAL SPHCDA</t>
  </si>
  <si>
    <t>TOTAL FOR GL.07-10</t>
  </si>
  <si>
    <t>TOTAL FOR  GL.11-14</t>
  </si>
  <si>
    <t>TOTAL FOR GL.01-14</t>
  </si>
  <si>
    <t>PROVOST ALLOWANCES</t>
  </si>
  <si>
    <t>RENT ALLOWANCES</t>
  </si>
  <si>
    <t>ACADEMIC ALLOWANCES</t>
  </si>
  <si>
    <t>STUDENT ALLOWANCES</t>
  </si>
  <si>
    <t>SECURITY ALLOWANCE</t>
  </si>
  <si>
    <t>TOTAL FOR COLLEGE OF NURSING &amp; MIDWIFERY</t>
  </si>
  <si>
    <t>ADMINISTRATIVE CODE -KATSINA STATE AGENCY FOR THE CONTROL OF AIDS - 052100300100</t>
  </si>
  <si>
    <t>ADMINISTRATIVE CODE -  052110200100 -   HOSPITAL SERVICES MANAGEMENT BOARD</t>
  </si>
  <si>
    <t>TOTAL  FOR MIN. OF AGRICULTURE</t>
  </si>
  <si>
    <t>ADMINISTRATIVE CODE - 021511000100 - KATSINA FARMERS SUPPLY COMPANY (FASCOKT)</t>
  </si>
  <si>
    <t xml:space="preserve">TOTAL  GL.13-16           </t>
  </si>
  <si>
    <t>GENERAL MANAGER’s ALLOWANCE</t>
  </si>
  <si>
    <t>GENERAL MANAGER’s SALARY "</t>
  </si>
  <si>
    <t>ADMINISTRATIVE CODE -  021511400100 - KATSINA STATE AGRICULTURAL AND RURAL DEVELOPMENT AUTHORITY (KTARDA)</t>
  </si>
  <si>
    <t>ADMINISTRATIVE CODE - 051701000100  - AGENCY FOR MASS EDUCATION</t>
  </si>
  <si>
    <t>TOTAL FOR AME</t>
  </si>
  <si>
    <t>SOURCE OF REVENUE (REVOLVING FUND)</t>
  </si>
  <si>
    <t>Sub-total</t>
  </si>
  <si>
    <t xml:space="preserve">INCOME (REVOLVING FUND) ACTUAL AS AT AUG, 2020 </t>
  </si>
  <si>
    <t xml:space="preserve">EXPENDITURE (REVOLVING FUND) ACTUAL AS AT AUG, 2020 </t>
  </si>
  <si>
    <t>ADMINISTRATIVE CODE -   011103700200  -  ISLAMIC EDUCATION BUREAU</t>
  </si>
  <si>
    <t>Executive Director’s Salary &amp; Allowances</t>
  </si>
  <si>
    <t>CONS</t>
  </si>
  <si>
    <t>HOSPITAL SERVICES MANAGEMENT BOARD (HSMB) - 052110200100</t>
  </si>
  <si>
    <t>ADMINISTRATIVE CODE -  023100300100  -  RURAL ELECTRIFICATION BOARD</t>
  </si>
  <si>
    <t>TOTAL FOR R.E.B</t>
  </si>
  <si>
    <t>Executive Director's Salary/ Allowances</t>
  </si>
  <si>
    <t>TOTAL FOR MIN OF SCIENCE, TECH. &amp; INNOVATION</t>
  </si>
  <si>
    <t>LOCUM DOCTORS ALLOWANCES</t>
  </si>
  <si>
    <t>MEDICAL STUDENTS ALLOWANCES</t>
  </si>
  <si>
    <t>INTERNSHIP PROGRAMME ALLOWANCES</t>
  </si>
  <si>
    <t>STAFF RECRUITMENT ALLOWANCES</t>
  </si>
  <si>
    <t>Executive Director's Salary</t>
  </si>
  <si>
    <t>Coordinator's Salary/ Allowances</t>
  </si>
  <si>
    <t>FACULTY OF MEDICINE</t>
  </si>
  <si>
    <t>FACULTY OF AGRICULTURE</t>
  </si>
  <si>
    <t>SALARY TO NEW FACULTIES OF:</t>
  </si>
  <si>
    <t>TOTAL GL. (CONUASS ) 01-04</t>
  </si>
  <si>
    <t>TOTAL GL. (CONUASS ) 05-07</t>
  </si>
  <si>
    <t>DIRECT TEACHING &amp; LABORATORY COSTS</t>
  </si>
  <si>
    <t xml:space="preserve">NON REGULAR ALLOWANCES </t>
  </si>
  <si>
    <t>Provision of Adequate furniture for Classrooms &amp; Offices (Old &amp; New)</t>
  </si>
  <si>
    <t>Take off grant for Faculty of Medicine</t>
  </si>
  <si>
    <t>INVESTMENT PROMOTION AGENCY (KIPA): 022200100200</t>
  </si>
  <si>
    <t xml:space="preserve">Katsina Green Economic Zone </t>
  </si>
  <si>
    <t>TOTAL FOR INVESTMENT PROMOTION AGENCY</t>
  </si>
  <si>
    <t>RURAL ELECTRIFICATION BOARD (R.E.B)</t>
  </si>
  <si>
    <t xml:space="preserve">Earning from Sponsorship/Partnership </t>
  </si>
  <si>
    <t>Advertisement in Summit (Fliers and Pamphlets Sales)</t>
  </si>
  <si>
    <t>INVESTMENT PROMOTION AGENCY - 022200100200</t>
  </si>
  <si>
    <t>KATSINA STATE TRANSPORT AUTHORITY</t>
  </si>
  <si>
    <t>KATSINA STATE ROAD MAINTENANCE AGENCY</t>
  </si>
  <si>
    <t>STATE TRANSPORT AUTHORITY (KTSTA) 023400100200</t>
  </si>
  <si>
    <t xml:space="preserve"> TOTAL FOR KTSTA</t>
  </si>
  <si>
    <t>STATE TRANSPORT AUTHORITY (KTSTA)</t>
  </si>
  <si>
    <t xml:space="preserve"> 023400100200</t>
  </si>
  <si>
    <t>ACTUAL AS AT OCT 2020</t>
  </si>
  <si>
    <t>State Development Plan Exercise</t>
  </si>
  <si>
    <t>GRANT TO INVESTMENT PROMOTION AGENCY</t>
  </si>
  <si>
    <t>GRANT FROM STATE GOVERNMENT</t>
  </si>
  <si>
    <t>Part-time fees</t>
  </si>
  <si>
    <t>Verification of Exams Result Fees</t>
  </si>
  <si>
    <t>ID Card Fees</t>
  </si>
  <si>
    <t>Registration from Portal Fees</t>
  </si>
  <si>
    <t xml:space="preserve">Renovation of CSC Complex </t>
  </si>
  <si>
    <t>Computerization of CSC Operation</t>
  </si>
  <si>
    <t>ROBES ALLOWANCES</t>
  </si>
  <si>
    <t>HONORARIUM/SITTING ALLOWANCES</t>
  </si>
  <si>
    <t>MONITORING &amp; SUPERVISION</t>
  </si>
  <si>
    <t xml:space="preserve">Take off Grant for Bureau of Statistics </t>
  </si>
  <si>
    <t>Take off Grant for State Economic Development Planning Commission</t>
  </si>
  <si>
    <t>PROFESSIONAL LEGAL FEES</t>
  </si>
  <si>
    <t>Matching funds for BOI loans (IR)</t>
  </si>
  <si>
    <t>KTSG counterpart for BOI Loans</t>
  </si>
  <si>
    <t>KTSG Counterpart for CARES Programme</t>
  </si>
  <si>
    <t>Interest on Payment on TOOAN Tractors Purchases</t>
  </si>
  <si>
    <t>Purchase of Agric Implements</t>
  </si>
  <si>
    <t>Provision of School furniture</t>
  </si>
  <si>
    <t>Rehab of Daura, Funtua, Dutsin/Ma, Malumfashi &amp; Katsina Rent Tribunals</t>
  </si>
  <si>
    <t>Take-off Grant of Anti Corruption Commission</t>
  </si>
  <si>
    <t xml:space="preserve"> SHARI’A COMMISSION - 032605400100</t>
  </si>
  <si>
    <t>SHARIA  COMMISSION- 032605400100</t>
  </si>
  <si>
    <t>TOTAL FOR SHARIA COMMISSION</t>
  </si>
  <si>
    <t>Construction of Zonal Offices (Daura &amp; Funtua)</t>
  </si>
  <si>
    <t>Graduation Ceremony at Women Centre</t>
  </si>
  <si>
    <t>Global Partnership on Education (GPE 1) Project (World Bank) (ER)</t>
  </si>
  <si>
    <t>Free Medicare Scheme (Malaria)</t>
  </si>
  <si>
    <t>Rural Development Package</t>
  </si>
  <si>
    <t>KTSG Counterpart for KARIER Project</t>
  </si>
  <si>
    <t>STATE BUREAU OF STATISTICS 022000300200</t>
  </si>
  <si>
    <t>DIRECTORATE OF BUSINESS ESTABLISHMENT PRICE STATISTICS EXPENSES</t>
  </si>
  <si>
    <t>STATISTICAL, ECONOMIC AND MANPOWER SURVERY EXPENSES</t>
  </si>
  <si>
    <t>TOTAL FOR SBS</t>
  </si>
  <si>
    <t>022000300200</t>
  </si>
  <si>
    <t>CASUAL STAFF 70NO.</t>
  </si>
  <si>
    <t>Proceeds from Fixed Assets Register Firms Engagement</t>
  </si>
  <si>
    <t>Registration of Cinematography @ N5,000.00</t>
  </si>
  <si>
    <t>REFUSE COLLECTION OF WATER, FOOD AND ALLIED BUSINESSES</t>
  </si>
  <si>
    <r>
      <t>State Government Contribution to Katsina State Scholarship Scheme</t>
    </r>
    <r>
      <rPr>
        <b/>
        <sz val="18"/>
        <rFont val="Times New Roman"/>
        <family val="1"/>
      </rPr>
      <t/>
    </r>
  </si>
  <si>
    <t>LGAs Contribution to Katsina State Scholarship Scheme (IR)</t>
  </si>
  <si>
    <t>Asphalting of Danmusa Byepass (3.3KM)</t>
  </si>
  <si>
    <t>10% OF CAPITAL PROJECT OF MOH TO PHCA- RUNNING COSTS</t>
  </si>
  <si>
    <t xml:space="preserve">Development of Public Building </t>
  </si>
  <si>
    <t>Fixed Assets Register (34No. LGs Contributions) IR</t>
  </si>
  <si>
    <t xml:space="preserve">CLOTHING ALLOWANCES FOR PROTOCOL OFFICERS </t>
  </si>
  <si>
    <t>34No. LGAs Contribution of 2% of Statutory Revenue Allocation for Ecological Projects</t>
  </si>
  <si>
    <t>COVID-19 CITIZEN RESPONSE (DONATIONS IN-KIND AND CASH)</t>
  </si>
  <si>
    <t>34No. LGAs Contribution to Katsina State Scholarship Scheme</t>
  </si>
  <si>
    <t>Monitoring &amp; Evaluation:- Women Activities in the State</t>
  </si>
  <si>
    <t>Renovation &amp; Construction Secondary Schools Across the State under 'Adolecent Girls Initiative Learning Empowerment (AGILE ) (ER)</t>
  </si>
  <si>
    <t>34No. LGA's Contribution to SSCE/WAEC/NECO/NBAIS Exams Fees</t>
  </si>
  <si>
    <t>OFFICE OF THE SPECIAL ADVISER ON SECURITY-  011101300300</t>
  </si>
  <si>
    <t>TOTAL FOR THE OFFICE OF THE S.A SECURITY</t>
  </si>
  <si>
    <t>S.A OFFICE'S RUNNING COSTS</t>
  </si>
  <si>
    <t>SECURITY SENSITIZATION ACTIVITIES EXPENSES</t>
  </si>
  <si>
    <t>011101300300</t>
  </si>
  <si>
    <t>OFFICE OF THE SPECIAL ADVISER SECURITY</t>
  </si>
  <si>
    <t>INTERNATIONAL TRAINING/ SQA ACCREDITATION</t>
  </si>
  <si>
    <t>PUBLICITY &amp; ADVERTISEMENTS/ RURAL MOBILIZATION</t>
  </si>
  <si>
    <t>MAGAZINES &amp; PERIODICALS/PRINTING OF CARD/MAP UP REG.</t>
  </si>
  <si>
    <t>Lease of Songhai Initiative</t>
  </si>
  <si>
    <t>Renewal of Cinematography at N3,000.00</t>
  </si>
  <si>
    <t>GENERAL LABOUR (ALL MDAs)</t>
  </si>
  <si>
    <t>LIVESTOCK FEEDING &amp; HEALTHCARE</t>
  </si>
  <si>
    <t>Roads, Parking and Drainages</t>
  </si>
  <si>
    <t>Kuwait Government Funded Projects (ER)</t>
  </si>
  <si>
    <t>MONITORING AND INSPECTION OF KUWAIT FUNDED PROJECTS</t>
  </si>
  <si>
    <t>Rehab/Const. Of Additional Facilities to Township Stadia (Daura and Others)</t>
  </si>
  <si>
    <t xml:space="preserve">Programme with CSOs, CBOs and NGOs </t>
  </si>
  <si>
    <t>Conversion of Mani Motel to Multi-Purpose Social Centre</t>
  </si>
  <si>
    <t>SURWASH (ER)</t>
  </si>
  <si>
    <t>Constr. Of Tashar Into-Baryawa-Tsagem-Muduru (28km) (NP)</t>
  </si>
  <si>
    <t>Constr. Of Bakori-‘Yan kwani-Tafoki-Daudawa-Bilbis Rd (52km) (NP)</t>
  </si>
  <si>
    <t>Township Roads 34-LGAs Contribution @ N1.5 Million Each Monthly (IR)</t>
  </si>
  <si>
    <t>Constr. Of Dutsen Reme - Gwauruwa NAF Base Road FTA</t>
  </si>
  <si>
    <t xml:space="preserve">FEEDING &amp; ENTERTAINMENT AT LIAISON OFFICES </t>
  </si>
  <si>
    <t>Mobile Vet Clinics Extension Enlightment Services across the State</t>
  </si>
  <si>
    <t>Micro Finance Banks in the State (Increase of Share Capital) 15No.</t>
  </si>
  <si>
    <t xml:space="preserve">Small Earth Dams (Constituency Project) </t>
  </si>
  <si>
    <t xml:space="preserve">Drilling of Boreholes (Constituency Project) </t>
  </si>
  <si>
    <t>Abuja Housing Project</t>
  </si>
  <si>
    <t>GEP</t>
  </si>
  <si>
    <t>Purchase of Drugs (MNCH &amp; RTA)</t>
  </si>
  <si>
    <t>HOSPITAL SERVICES MANAGEMENT BOARD: 052110200100</t>
  </si>
  <si>
    <t>Constr. Of Birchi-Lambo-wurma-kwari mai gwiwa-chikawa Road</t>
  </si>
  <si>
    <t>Renovation of Govt. Day Sec. Sch. Jikamshi</t>
  </si>
  <si>
    <t>34No. LGA’s Assistance to Islamic Education Bureau on National Qur'anic Competition</t>
  </si>
  <si>
    <t>TOTAL FOR DEPT. OF LIVESTOCK &amp; G.RS</t>
  </si>
  <si>
    <t>10% OF 34No. LGs PERSONNEL COSTS TO SUBEB</t>
  </si>
  <si>
    <t>YOUTH RECRUITMENT PROGRAMME</t>
  </si>
  <si>
    <t xml:space="preserve">LOCAL TRAVEL &amp; TRANSPORT: OTHERS </t>
  </si>
  <si>
    <t>OPERATIONAL EXPENSES FROM SELF-SUSTAIN IGR</t>
  </si>
  <si>
    <t>MAINTENANCE &amp; IMPROVEMENT OF STREET LIGHTS</t>
  </si>
  <si>
    <t>DA'AWA PROGRAMMES</t>
  </si>
  <si>
    <t xml:space="preserve">SHARIA COMMISSION </t>
  </si>
  <si>
    <t>ADMINISTRATIVE CODE -   032605400100  -  SHARI'A COMMISSION</t>
  </si>
  <si>
    <t>PAYMENTS OF EXAMINATIONS FEES (WAEC/NECO/NABTEB)</t>
  </si>
  <si>
    <t>TOTAL FOR DSMA</t>
  </si>
  <si>
    <t xml:space="preserve">RUNNING COSTS FOR 100NO. ENUMERATORS FOR VULNERABLE GROUP </t>
  </si>
  <si>
    <t>NYSC &amp; CASUAL STAFF ALLOWANCES</t>
  </si>
  <si>
    <t>LGA's Contribution State &amp; National Qur'anic Recitation Competition</t>
  </si>
  <si>
    <t>STATUTORY CONTRIBUTION &amp; DEDUCTION</t>
  </si>
  <si>
    <t>ACTUAL AS AT OCT. 2020</t>
  </si>
  <si>
    <t>Upgrading and furnishing of Head Office</t>
  </si>
  <si>
    <t>Constr. Of Tashar Bawa- Sayau- Rafin Iwa - Sabuwa Road</t>
  </si>
  <si>
    <t>Constr of Muduru Township Road &amp; Street Light</t>
  </si>
  <si>
    <t>Constr of Yan Tumaki Township Road &amp; Street Light</t>
  </si>
  <si>
    <t>Rehab of Dan Kanjiba Dam</t>
  </si>
  <si>
    <t>Rehab of Maibara - Yanduna Road</t>
  </si>
  <si>
    <t>Rehab of Mani Township Road Mani Municipal</t>
  </si>
  <si>
    <t>Costr. Of ‘Yargamji-Kuraye-Eka/S/Gari-Shibdawa-Doro Road</t>
  </si>
  <si>
    <t>Renovation of Assembly Complex Phase III</t>
  </si>
  <si>
    <t>Renovation of Kaduna Guest Houses  - Phase I</t>
  </si>
  <si>
    <t>Renov. Of Katsina Chalet Phase II</t>
  </si>
  <si>
    <t>Constr. Of Additional Houses at Chalet</t>
  </si>
  <si>
    <t>Upgrading of Clinic</t>
  </si>
  <si>
    <t>Purchase of Laptops/Ipads</t>
  </si>
  <si>
    <t>Purchase &amp; Installation of Intercom</t>
  </si>
  <si>
    <t>Provision of ICT Facilities</t>
  </si>
  <si>
    <t>Purchase of Office Furniture</t>
  </si>
  <si>
    <t>Purchase of Ambulance</t>
  </si>
  <si>
    <t>Production of Hansard (Bound Volume)</t>
  </si>
  <si>
    <t>Production of Journals</t>
  </si>
  <si>
    <t>Economic Empowerment in 34No. LGAs</t>
  </si>
  <si>
    <t>AIDES ALLOWANCES</t>
  </si>
  <si>
    <t>LEGISLATIVE DUTY ALLOWANCE/AIDES ALLOWANCES</t>
  </si>
  <si>
    <t>MEDICAL EXPENSES - FOREIGN</t>
  </si>
  <si>
    <t>ANNUAL BUDGET EXPENSES &amp; ADMINISTRATION (STATE)</t>
  </si>
  <si>
    <t>ANNUAL BUDGET EXPENSES &amp; ADMINISTRATION (LGA)</t>
  </si>
  <si>
    <t xml:space="preserve">2021 APPROVED APPROPRIATION </t>
  </si>
  <si>
    <t>2021 Approved Appropriation</t>
  </si>
  <si>
    <t xml:space="preserve"> 2021 APPROVED APPROPRIATION</t>
  </si>
  <si>
    <t>2021 APPROVED APPROPRIATION LAW</t>
  </si>
  <si>
    <t>Motor Licenses</t>
  </si>
  <si>
    <t>Entrepreneurship Training Fees</t>
  </si>
  <si>
    <t>Entrepreneurship Training Certificate Fees for 500No.</t>
  </si>
  <si>
    <t>Earning from Maryam Babangida Park</t>
  </si>
  <si>
    <t>APPROVED APPROPIRATION LAW 2021  - 2023 FISCAL YEAR</t>
  </si>
  <si>
    <t>Kuwait Government Funded Projects</t>
  </si>
  <si>
    <t xml:space="preserve">Nutrition Programme Intervention UNICEF </t>
  </si>
  <si>
    <t xml:space="preserve">Health System Development Project WHO </t>
  </si>
  <si>
    <t xml:space="preserve">Clinton Health Access Initiative (CHAI) </t>
  </si>
  <si>
    <t xml:space="preserve">Noor Dubai Foundation (2019-2023) </t>
  </si>
  <si>
    <t xml:space="preserve">GLOBAL FUND ON HIV/AIDS </t>
  </si>
  <si>
    <t xml:space="preserve">Schools Census(UNICEF) </t>
  </si>
  <si>
    <t xml:space="preserve">Global Partnership on Education(GPE 2) Project (World Bank) </t>
  </si>
  <si>
    <t xml:space="preserve">Better Education Service Delivery for All (BESDA) World Bank </t>
  </si>
  <si>
    <t xml:space="preserve">PAASP </t>
  </si>
  <si>
    <t xml:space="preserve">DFID/UNICEF </t>
  </si>
  <si>
    <t xml:space="preserve">APPEALS (World Bank) </t>
  </si>
  <si>
    <t xml:space="preserve">34No. LGs Contributions to Fixed Assets Register </t>
  </si>
  <si>
    <t>Outdoors Advertisement (Escrow Account)</t>
  </si>
  <si>
    <t>Earning from Hotels Board (40% to State Government)</t>
  </si>
  <si>
    <t>Proceeds from Sales of items from Youth Craft Village</t>
  </si>
  <si>
    <t xml:space="preserve">WASH Action Plan FGN Counterpart </t>
  </si>
  <si>
    <t>26 LGAs WASH Action Plan</t>
  </si>
  <si>
    <t xml:space="preserve">8No. LGAs Counterpart Fund for Partnership for Expanded Water Supply, Sanitation and Hygiene (PEWASH) Projects </t>
  </si>
  <si>
    <t xml:space="preserve">FGN Projeects on Partnership for Expanded Water Supply, Sanitation and Hygiene (PEWASH) </t>
  </si>
  <si>
    <t xml:space="preserve"> 34No. LGAs Contribution for Township Roads @ N1.5M Each Monthly</t>
  </si>
  <si>
    <t>Development of galaxy backbone and Software dev. &amp; Deployment</t>
  </si>
  <si>
    <t>Enterpreneurship, Innovations &amp; Skills Development (Collaboration with CBN &amp; Devt. Partners)</t>
  </si>
  <si>
    <t>Refresher (REG. FEES)</t>
  </si>
  <si>
    <t>INSTITUTE OF TECHNOLOGY &amp; MANAGEMENT</t>
  </si>
  <si>
    <t>MATHEMATICAL IMPROVEMENT PROJECT</t>
  </si>
  <si>
    <t>AGENCY FOR THE CONTROL OF AIDS</t>
  </si>
  <si>
    <t>ADMINISTRATIVE CODE:  - 052111600100</t>
  </si>
  <si>
    <t>ADMINISTRATIVE CODE:  - 052110200100</t>
  </si>
  <si>
    <t>ADMINISTRATIVE CODE:  - 052111300200</t>
  </si>
  <si>
    <t>ADMINISTRATIVE CODE:  - 052110600100</t>
  </si>
  <si>
    <t>ADMINISTRATIVE CODE:  - 052110400100</t>
  </si>
  <si>
    <t>PRIMARY HEALTHCARE DEVELOPMENT AGENCY</t>
  </si>
  <si>
    <t>ADMINISTRATIVE CODE:  - 052100300100</t>
  </si>
  <si>
    <t>CONTRIBUTORY HEALTHCARE DEVELOPMENT AGENCY</t>
  </si>
  <si>
    <t>ADMINISTRATIVE CODE:  - 052100200100</t>
  </si>
  <si>
    <t>SECURITY ALLOWANCES</t>
  </si>
  <si>
    <t>ADMINISTRATIVE CODE -   022200100200  -  INVESTMENT PROMOTION AGENCY (KIPA)</t>
  </si>
  <si>
    <t>TOTAL FOR KIPA</t>
  </si>
  <si>
    <t>REGISTRAR's SALARY &amp; ALLOWANCES</t>
  </si>
  <si>
    <t>BURSAR's SALARY &amp; ALLOWANCES</t>
  </si>
  <si>
    <t>LIBRARIAN's SALARY &amp; ALLOWANCES</t>
  </si>
  <si>
    <t>TOTAL FOR SHC</t>
  </si>
  <si>
    <t>Salary to State Sports Council</t>
  </si>
  <si>
    <t>ADMINISTRATIVE CODE - 051702900100  - MATHEMATICAL IMPROVEMENT PROJECT</t>
  </si>
  <si>
    <t>Project Monitoring, Evaluation &amp; Inspection</t>
  </si>
  <si>
    <t>Furniture &amp; Fittings</t>
  </si>
  <si>
    <t>5% EXTERNAL AUDIT FEES</t>
  </si>
  <si>
    <t>STATE BUREAU OF STATISTICS</t>
  </si>
  <si>
    <t>DIRECTORATE OF ESTABLISHMENT, PENSION AND TRAINING - 012500500100</t>
  </si>
  <si>
    <t>UMARU MUSA YAR'ADUA UNIVERSITY, KATSINA</t>
  </si>
  <si>
    <t xml:space="preserve"> UMARU MUSA YAR’ADUA UNIVERSITY, KATSINA - 051702100100</t>
  </si>
  <si>
    <t>CONTRIBUTION TO UMARU MUSA YAR'ADUA UNIVERSITY</t>
  </si>
  <si>
    <t>MOWRP001</t>
  </si>
  <si>
    <t>MOWRP002</t>
  </si>
  <si>
    <t>MOWRP003</t>
  </si>
  <si>
    <t>MOWRP004</t>
  </si>
  <si>
    <t>MOWRP005</t>
  </si>
  <si>
    <t>MOWRP006</t>
  </si>
  <si>
    <t>MOWRP007</t>
  </si>
  <si>
    <t>MOWRP008</t>
  </si>
  <si>
    <t>MOWRP009</t>
  </si>
  <si>
    <t>MOWRP010</t>
  </si>
  <si>
    <t>MOWRP011</t>
  </si>
  <si>
    <t>MOWRP012</t>
  </si>
  <si>
    <t>MOWRP013</t>
  </si>
  <si>
    <t>MOWRP014</t>
  </si>
  <si>
    <t>MOWRP015</t>
  </si>
  <si>
    <t>MOWRP016</t>
  </si>
  <si>
    <t>MOWRP017</t>
  </si>
  <si>
    <t>MOWRP018</t>
  </si>
  <si>
    <t>MOWRP019</t>
  </si>
  <si>
    <t>MOWRP020</t>
  </si>
  <si>
    <t>MOWRP021</t>
  </si>
  <si>
    <t>MOWRP022</t>
  </si>
  <si>
    <t>MOWRP023</t>
  </si>
  <si>
    <t>MOWRP024</t>
  </si>
  <si>
    <t>MOWRP025</t>
  </si>
  <si>
    <t>MOWRP026</t>
  </si>
  <si>
    <t>MOWRP027</t>
  </si>
  <si>
    <t>MOWRP028</t>
  </si>
  <si>
    <t>MOWRP029</t>
  </si>
  <si>
    <t>MOWRP030</t>
  </si>
  <si>
    <t>MOWRP031</t>
  </si>
  <si>
    <t>MOWRP032</t>
  </si>
  <si>
    <t>MOWRP033</t>
  </si>
  <si>
    <t>MOWRP034</t>
  </si>
  <si>
    <t>MOWRP035</t>
  </si>
  <si>
    <t>MOWRP036</t>
  </si>
  <si>
    <t>MOWRP037</t>
  </si>
  <si>
    <t>MOWRP038</t>
  </si>
  <si>
    <t>MOWRP039</t>
  </si>
  <si>
    <t>STATUS</t>
  </si>
  <si>
    <t>NEW</t>
  </si>
  <si>
    <t>ROAD NETWORK</t>
  </si>
  <si>
    <t>MOWGP001</t>
  </si>
  <si>
    <t>MOWGP002</t>
  </si>
  <si>
    <t>ELECTRICITY TRANSMISSION NETWORK</t>
  </si>
  <si>
    <t>MOWGP003</t>
  </si>
  <si>
    <t>MOWGP004</t>
  </si>
  <si>
    <t>Purchase of Air-Conditioners and Generators</t>
  </si>
  <si>
    <t>POWER GENERATING SET</t>
  </si>
  <si>
    <t>MOWGP005</t>
  </si>
  <si>
    <t>SPECIALISED EQUIPMENT</t>
  </si>
  <si>
    <t>MOWGP006</t>
  </si>
  <si>
    <t>MOWGP007</t>
  </si>
  <si>
    <t>MOWGP008</t>
  </si>
  <si>
    <t>OFFICE BUILDING</t>
  </si>
  <si>
    <t>RESIDENTIAL BUILDING</t>
  </si>
  <si>
    <t>KASROMAP001</t>
  </si>
  <si>
    <t>KASROMAP002</t>
  </si>
  <si>
    <t>KASROMAP003</t>
  </si>
  <si>
    <t>KASROMAP004</t>
  </si>
  <si>
    <t>KASROMAP005</t>
  </si>
  <si>
    <t>KASROMAP006</t>
  </si>
  <si>
    <t>KASROMAP007</t>
  </si>
  <si>
    <t>KASROMAP008</t>
  </si>
  <si>
    <t>KASROMAP009</t>
  </si>
  <si>
    <t>KASROMAP010</t>
  </si>
  <si>
    <t>KASROMAP011</t>
  </si>
  <si>
    <t>KASROMAP012</t>
  </si>
  <si>
    <t>KASROMAP013</t>
  </si>
  <si>
    <t>KASROMAP014</t>
  </si>
  <si>
    <t>KASROMAP015</t>
  </si>
  <si>
    <t>KASROMAP016</t>
  </si>
  <si>
    <t>KASROMAP017</t>
  </si>
  <si>
    <t>SHAP001</t>
  </si>
  <si>
    <t>SHAP002</t>
  </si>
  <si>
    <t>Constr of Chidari, Kanda-Kawari-Yanduna</t>
  </si>
  <si>
    <t>Statutory Transfers</t>
  </si>
  <si>
    <t>Debt Servicing</t>
  </si>
  <si>
    <t>Proceed from Auction</t>
  </si>
  <si>
    <t xml:space="preserve">Commission- Mark up from Sale of Drugs @3% of Turn over </t>
  </si>
  <si>
    <t xml:space="preserve">RENT ON AHMADU COOMASIE ESTATE </t>
  </si>
  <si>
    <t>RENT ON BATAGARAWA ESTATE</t>
  </si>
  <si>
    <t>RENT ON KOFAR MARUSA ESTATE SHOPS @N50,000.00</t>
  </si>
  <si>
    <t>HIRING OF 3 No. OF TIPPERS</t>
  </si>
  <si>
    <t>Sales of forms Employment @ N5,000.00</t>
  </si>
  <si>
    <t xml:space="preserve">Hiring of Conference Hall </t>
  </si>
  <si>
    <t>Grant on Katsina State Rural Infrastructure and Economic Revitalization Programm (KARIER)</t>
  </si>
  <si>
    <t>Primary Schools Intervention Projects (UBEC, Abuja)</t>
  </si>
  <si>
    <t>SDG Office Abuja</t>
  </si>
  <si>
    <t xml:space="preserve">Local Governments Contribution on Fadama GUYs Programme </t>
  </si>
  <si>
    <t>Local Govt. contribution to Orphans, Widows &amp; Vulnerable Support Programme</t>
  </si>
  <si>
    <t>Save One Million Lives (SOML)</t>
  </si>
  <si>
    <t>UNICEF Nutrition Intervention Policy Implementation</t>
  </si>
  <si>
    <t>US President EMERGENCY PLAN FOR AIDS RELIEF (PEPFAR)</t>
  </si>
  <si>
    <t>Adolecent Girls Initiative Learning Empowerment (AGILE)</t>
  </si>
  <si>
    <t>UNICEF Intervention on Primary Schools Activities</t>
  </si>
  <si>
    <t>IFAD / CBARDP</t>
  </si>
  <si>
    <t>EU Grants on Drought and Desertification</t>
  </si>
  <si>
    <t>World Bank CARES Program</t>
  </si>
  <si>
    <t>International Development Agency</t>
  </si>
  <si>
    <t>L-PRESS PROJECT on Development &amp; Management of Grazing Reserve</t>
  </si>
  <si>
    <t>Support for Pastoralist Resettlement Scheme Grant</t>
  </si>
  <si>
    <t xml:space="preserve">Accelerating Nutrition Result in Nig. (ANRIN) </t>
  </si>
  <si>
    <t>Justice for All:- DFID Programmes</t>
  </si>
  <si>
    <t xml:space="preserve">WORLD BANK/RAVISSE/NCDCCOVID 19 SUPPORT (GRANT) </t>
  </si>
  <si>
    <t xml:space="preserve">State Fiscal Transparency Accountability and Sustainability (SFTAS) Program </t>
  </si>
  <si>
    <t>COVID-19 Preparedness and Response Project Grant (COPREP) World Bank</t>
  </si>
  <si>
    <t>Donors contribution to Orphans, Widows &amp; Vulnerable Support Programme</t>
  </si>
  <si>
    <t xml:space="preserve">SURWASH </t>
  </si>
  <si>
    <t>Proceed from Sales of Drugs &amp; Medication - General Hospital Katsina</t>
  </si>
  <si>
    <t>Proceed from Sales of Drugs &amp; Medication -General Amadi Rimi Specialist Hospital Katsina (GARSH)</t>
  </si>
  <si>
    <t>Proceed from Sales of Drugs &amp; Medication -Maternal &amp; Children Hospital Turai Yar'adua Katsina</t>
  </si>
  <si>
    <t>Proceed from Sales of Drugs &amp; Medication -General Hospital Dutsin-ma</t>
  </si>
  <si>
    <t>Proceed from Sales of Drugs &amp; Medication -General Hospital Daura</t>
  </si>
  <si>
    <t>Proceed from Sales of Drugs &amp; Medication -General Hospital Kankia</t>
  </si>
  <si>
    <t>Proceed from Sales of Drugs &amp; Medication -General Hospital Malumfashi</t>
  </si>
  <si>
    <t>Proceed from Sales of Drugs &amp; Medication -General Hospital Funtua</t>
  </si>
  <si>
    <t>Proceed from Sales of Drugs &amp; Medication -General Hospital Mani</t>
  </si>
  <si>
    <t>Proceed from Sales of Drugs &amp; Medication -Maternal &amp; Children Hospital Malumfashi</t>
  </si>
  <si>
    <t>Proceed from Sales of Drugs &amp; Medication -General Hospital Kankara</t>
  </si>
  <si>
    <t>Proceed from Sales of Drugs &amp; Medication -General Hospital Rimi</t>
  </si>
  <si>
    <t>Proceed from Sales of Drugs &amp; Medication -General Hospital Kurfi</t>
  </si>
  <si>
    <t>Proceed from Sales of Drugs &amp; Medication -General Hospital Jibia</t>
  </si>
  <si>
    <t>Proceed from Sales of Drugs &amp; Medication -General Hospital Baure</t>
  </si>
  <si>
    <t>Proceed from Sales of Drugs &amp; Medication -General Hospital Batsari</t>
  </si>
  <si>
    <t>Proceed from Sales of Drugs &amp; Medication -General Hospital Musawa</t>
  </si>
  <si>
    <t>Proceed from Sales of Drugs &amp; Medication -General Hospital Danmusa</t>
  </si>
  <si>
    <t>Proceed from Sales of Drugs &amp; Medication -General Hospital Ingawa</t>
  </si>
  <si>
    <t>Proceed from Sales of Drugs &amp; Medication -Psychiatric Hospital Katsina</t>
  </si>
  <si>
    <t>LOCAL TRAVEL &amp; TRANSPORT: H.E</t>
  </si>
  <si>
    <t>INTERNATIONAL TRAVEL &amp; TRANSPORT: H.E</t>
  </si>
  <si>
    <t>LOCAL TRAVEL &amp; TRANSPORT: D.G</t>
  </si>
  <si>
    <t>INTERNATIONAL TRAVEL &amp; TRANSPORT: D.G</t>
  </si>
  <si>
    <t>LOCAL GRANT/ CONTRIBUTION</t>
  </si>
  <si>
    <t xml:space="preserve">CONTRIBUTION TO CSDA </t>
  </si>
  <si>
    <t>SPECIAL DAYS/CELEBRATIONS &amp; COUNCIL OF CHIEF EXPENSES</t>
  </si>
  <si>
    <t>SHARIA IMPLEMENTATION, ZAKKAT &amp; WAQAF</t>
  </si>
  <si>
    <t>SPECIAL DAYS/CELEBRATIONS- TAFSIR AND RAMADAN PROGRAMME</t>
  </si>
  <si>
    <t>INTERNATIONAL TRAVEL &amp; TRANSPORT: HAJJ OPERATION EXPENSES</t>
  </si>
  <si>
    <t>OTHER MAINTENANCE SERVICE (SELF SUSTAIN IGR)</t>
  </si>
  <si>
    <t>LOCAL TRAVEL &amp; TRANSPORT: INSPECTION EXPENSES</t>
  </si>
  <si>
    <t>OTHER MAINTENANCE-PART TIME INSTRUCTORS ALLOWANCE</t>
  </si>
  <si>
    <t>CONTINGENCY (PUBLIC HEARING EXPENSES)</t>
  </si>
  <si>
    <t>OTHER MAINTENANCE (SELF SUSTAIN IGR)</t>
  </si>
  <si>
    <t>WASTE EVACUATION CHARGES</t>
  </si>
  <si>
    <t xml:space="preserve">LOCAL TRAVEL &amp; TRANSPORT: RESEARCH </t>
  </si>
  <si>
    <t xml:space="preserve">MAINTENANCE OF THEATRE, GALLERY, CRAFT WORKSHOP &amp; ARCHIVAL LIBRARY </t>
  </si>
  <si>
    <t>OTHER EXPENSES FROM SELF SUSTAIN IGR</t>
  </si>
  <si>
    <t>ANNUAL QUIZ COMPETITION, CULTURAL ACTIVITIES &amp; NATIONAL FESTIVAL FOR ARTS AND CULTURE</t>
  </si>
  <si>
    <t>LOCAL TRAINING &amp; NCE/JNPS NEG. COUNCIL I, II, III</t>
  </si>
  <si>
    <t>INTERNATIONAL TRAINING, CONFERENCES AND SEMINARS</t>
  </si>
  <si>
    <t>FORESTRY OPERATIONAL &amp; ROUTES MAINTENANCE</t>
  </si>
  <si>
    <t>MAINTENANCE OF AI PROGRAMME, LIVESTOCK FARMS, ABATTOIR &amp; PASTURE</t>
  </si>
  <si>
    <t>LOCAL TRAVEL &amp; TRANSPORT: PROJECT MONITORING ACTIVITIES</t>
  </si>
  <si>
    <t>LOCAL TRAVEL &amp; TRANSPORT: MONITORING/INSPECTION AND EVALUATION</t>
  </si>
  <si>
    <t>LOCAL TRAVEL &amp; TRANSPORT: RESEARCH EXPENSES</t>
  </si>
  <si>
    <t>TRAVEL &amp; TRANSPORT: RESEARCH EXPENSES</t>
  </si>
  <si>
    <t>EXPORT PROMOTION COUNCIL &amp; HOTEL BOARD SITTING ALLOWANCE</t>
  </si>
  <si>
    <t>LOCAL TRAVEL &amp; TRANSPORT: MONITORING &amp; INSPECTION</t>
  </si>
  <si>
    <t>LUAC EXPENSES &amp; BOARD MEMBERS ALLOWANCE</t>
  </si>
  <si>
    <t>LOCAL TRAINING &amp; NLC CONFERENCE</t>
  </si>
  <si>
    <t>OTHER EXPENSES FROM SELF-SUSTAIN IGR</t>
  </si>
  <si>
    <t>STATE WATER BOARD OTHER EXPENSES FROM SELF-SUSTAIN IGR</t>
  </si>
  <si>
    <t>STATE WITNESS &amp; PREROGATIVE OF MERCY</t>
  </si>
  <si>
    <t>INTERPRETOR ALLOWANCE, DONATION AND ASSISTANCE</t>
  </si>
  <si>
    <t>REPATRIATION GENERAL</t>
  </si>
  <si>
    <t>OPERATIONAL COSTS BATCs</t>
  </si>
  <si>
    <t>GOVERNOR'S AWARD OF BEST TEACHERS AND SCH. ADMIN</t>
  </si>
  <si>
    <t>MATHEMATICAL IMPROVEMENT PROJECT- 051702900100</t>
  </si>
  <si>
    <t>MAINTENANCE OF OFFICE &amp; COMPUTERS</t>
  </si>
  <si>
    <t>LOCAL TRAVEL &amp; TRANSPORT: EVALUATION MONITORING &amp; INSPECTION</t>
  </si>
  <si>
    <t>STUDENTS EXTENSION &amp; CAMPING EXPENSES</t>
  </si>
  <si>
    <t>CONTINGENCY &amp; EMERGENCY OUTBREAK CONTROL</t>
  </si>
  <si>
    <t>KATSACA BOARD MEMBERS ALLOWANCES</t>
  </si>
  <si>
    <t>MAINTENANCE OF FURNITURE &amp; CAPITAL ASSEST.</t>
  </si>
  <si>
    <t>DEBT SERVICING (OFFICE OF THE ACCOUNTANT GENERAL)</t>
  </si>
  <si>
    <t>TOTAL FOR STATUTORY CONTRIBUTION &amp; DEDUCTION</t>
  </si>
  <si>
    <t>TOTAL FOR PUBLIC DEBT CHARGES</t>
  </si>
  <si>
    <t>DEBT SERVICING</t>
  </si>
  <si>
    <t>OTHER MAINTENANCE SERVICE (FROM SELF SUSTAIN IGR)</t>
  </si>
  <si>
    <t xml:space="preserve">Constr. Of Jibia - Shimfida Road </t>
  </si>
  <si>
    <t>Const of Safana –D/musa –M/dabino–Pauwa–Guga- Rd</t>
  </si>
  <si>
    <t>Rehb. Of Kankara-Ketare-Gora road.</t>
  </si>
  <si>
    <t xml:space="preserve">Const. of Rijiyar Maje boarder – Tashar Alto Jibia town road </t>
  </si>
  <si>
    <t>Rehb. Of Dankama-Majigiri-Kasanki-Bumbum road</t>
  </si>
  <si>
    <t>Rehb. Of Karfi- Kuringafa – Tsiga – Yarkasuwa road</t>
  </si>
  <si>
    <t xml:space="preserve">Rehab. Of Dandume-Damari-Sabuwa-Kaya Rd </t>
  </si>
  <si>
    <t xml:space="preserve">Constr. Of Rimaye-Sukuntuni-Karaduwa Rd </t>
  </si>
  <si>
    <t xml:space="preserve">Const. of Kankara-Zango-Dansabau (21km) </t>
  </si>
  <si>
    <t xml:space="preserve">Constr. Of M/Musawa-Gingin-Tabanni Road </t>
  </si>
  <si>
    <t xml:space="preserve">Constr. Of Dayi-Gundawa-WawarKaza Rd. </t>
  </si>
  <si>
    <t xml:space="preserve">Constr. Of Kafur-Rugoji-Dantutture-D/kanjiba-Kwanyawa-Kn State-Kagara-Mahuta Rd </t>
  </si>
  <si>
    <t xml:space="preserve">Completion of U/Dahiru-Tafoki Rd </t>
  </si>
  <si>
    <t xml:space="preserve">Constr. of Kankia-Dangamau-Kusada-Kafarda-Yaya Rd  </t>
  </si>
  <si>
    <t xml:space="preserve">Rehab of Batsari-Jibiya Road </t>
  </si>
  <si>
    <t xml:space="preserve">Rehab of Tudun Iya-Maska-Dandume Road </t>
  </si>
  <si>
    <t xml:space="preserve">Rehab. Of Dan Nakola-RijiyarTsamiya-Fago Rd. </t>
  </si>
  <si>
    <t xml:space="preserve">Rehab. Of Katsina-Kaita-Dankama Rd </t>
  </si>
  <si>
    <t xml:space="preserve">Reh. &amp; Asphalting of Zango to Rogogo Rd. </t>
  </si>
  <si>
    <t xml:space="preserve">Const. of M/Sayaya-Sayaya-Mazoji-TasharIcce Rd (2nd Coat) </t>
  </si>
  <si>
    <t>Asphalting &amp; Rehab of Tama-Bindawa-Charanchi road.</t>
  </si>
  <si>
    <t xml:space="preserve">Asphalting of Malumfashi-Dankanjiba </t>
  </si>
  <si>
    <t xml:space="preserve">Constr. Of Randa-Doguru-Gallu-Shargale Rd </t>
  </si>
  <si>
    <t xml:space="preserve">Rehab of Mashi-Birnin Kuka Rd </t>
  </si>
  <si>
    <t xml:space="preserve">Constr. Of Kwanar Sabke-Dan aunnai-Ruwan Kaya-T/Dankawa-Dutsi Rd </t>
  </si>
  <si>
    <t xml:space="preserve">Rehab. Of Dogon Marke-Yari Bori-Kafur Rd </t>
  </si>
  <si>
    <t xml:space="preserve">Rehab. Musawa-Dangani-Dan Ali Road </t>
  </si>
  <si>
    <t xml:space="preserve">Rehab. Of Ingawa-Tunas-Katsina/Jigawa State Boarder Rd. </t>
  </si>
  <si>
    <t xml:space="preserve">Constr. Of Gurjiya-Karkarku-Sandamu Rd </t>
  </si>
  <si>
    <t>TOTAL FOR DEPT OF HUMAN CAPITAL DEVELOPMENT</t>
  </si>
  <si>
    <t>ONGOING</t>
  </si>
  <si>
    <t>DIGDP001</t>
  </si>
  <si>
    <t>DIGDP002</t>
  </si>
  <si>
    <t>DIGDP003</t>
  </si>
  <si>
    <t>DIGDP004</t>
  </si>
  <si>
    <t>DIGDP005</t>
  </si>
  <si>
    <t>DIGDP006</t>
  </si>
  <si>
    <t>DIGDP007</t>
  </si>
  <si>
    <t>DESIP001</t>
  </si>
  <si>
    <t>DESIP002</t>
  </si>
  <si>
    <t>DESIP003</t>
  </si>
  <si>
    <t>DESIP004</t>
  </si>
  <si>
    <t>DESIP005</t>
  </si>
  <si>
    <t>DESIP006</t>
  </si>
  <si>
    <t>DESIP007</t>
  </si>
  <si>
    <t>DESIP008</t>
  </si>
  <si>
    <t>DESIP009</t>
  </si>
  <si>
    <t>DESIP010</t>
  </si>
  <si>
    <t>DESIP011</t>
  </si>
  <si>
    <t>DESIP012</t>
  </si>
  <si>
    <t>DESIP013</t>
  </si>
  <si>
    <t>DESIP014</t>
  </si>
  <si>
    <t>DESIP015</t>
  </si>
  <si>
    <t>DESIP016</t>
  </si>
  <si>
    <t>DESIP017</t>
  </si>
  <si>
    <t>SDGSP001</t>
  </si>
  <si>
    <t>SDGSP002</t>
  </si>
  <si>
    <t>BPPP001</t>
  </si>
  <si>
    <t>SGSP001</t>
  </si>
  <si>
    <t>SGSP002</t>
  </si>
  <si>
    <t>SGSP003</t>
  </si>
  <si>
    <t>SGSP004</t>
  </si>
  <si>
    <t>SGSP005</t>
  </si>
  <si>
    <t>SGSP006</t>
  </si>
  <si>
    <t>SGSP007</t>
  </si>
  <si>
    <t>SGSP008</t>
  </si>
  <si>
    <t>MORAP001</t>
  </si>
  <si>
    <t>MORAP002</t>
  </si>
  <si>
    <t>MORAP003</t>
  </si>
  <si>
    <t>MORAP004</t>
  </si>
  <si>
    <t>MORAP005</t>
  </si>
  <si>
    <t>STATUTORY TRANSFERS (OFFICE OF THE ACCOUNTANT GENERAL)</t>
  </si>
  <si>
    <t>MOTOCYCLES</t>
  </si>
  <si>
    <t>TRANSPORTATION EQUIPMENT - GENERAL</t>
  </si>
  <si>
    <t>Purchase of 40No Laptops computers/Network and storage upgrade</t>
  </si>
  <si>
    <t>OFFICE EQUIPMENT</t>
  </si>
  <si>
    <t>COMPUTERS</t>
  </si>
  <si>
    <t>World Bank CARES Programme (ER)</t>
  </si>
  <si>
    <t>Equipment of Islamic Library</t>
  </si>
  <si>
    <t>LIBRARY EQUIPMENT</t>
  </si>
  <si>
    <t>IEBP001</t>
  </si>
  <si>
    <t>IEBP002</t>
  </si>
  <si>
    <t>IEBP003</t>
  </si>
  <si>
    <t>KTSG Contribution State &amp; National Qur'anic Recitation Competition</t>
  </si>
  <si>
    <t>DBFP001</t>
  </si>
  <si>
    <t>DBFP002</t>
  </si>
  <si>
    <t>DBFP003</t>
  </si>
  <si>
    <t>DBFP004</t>
  </si>
  <si>
    <t>INVESTMENT</t>
  </si>
  <si>
    <t>LOCAL INVESTMENT NON-QUOTED COMPANY</t>
  </si>
  <si>
    <t xml:space="preserve"> INVESTMENT IN PUBLIC COOPERATIONS</t>
  </si>
  <si>
    <t>OFFICE FURNITURES</t>
  </si>
  <si>
    <t>KTSHAP001</t>
  </si>
  <si>
    <t>KTSHAP002</t>
  </si>
  <si>
    <t>KTSHAP003</t>
  </si>
  <si>
    <t>KTSHAP004</t>
  </si>
  <si>
    <t>KTSHAP005</t>
  </si>
  <si>
    <t>KTSHAP006</t>
  </si>
  <si>
    <t>KTSHAP007</t>
  </si>
  <si>
    <t>KTSHAP008</t>
  </si>
  <si>
    <t>KTSHAP011</t>
  </si>
  <si>
    <t>KTSHAP012</t>
  </si>
  <si>
    <t>KTSHAP013</t>
  </si>
  <si>
    <t>KTSHAP014</t>
  </si>
  <si>
    <t>KTSHAP015</t>
  </si>
  <si>
    <t>KTSHAP016</t>
  </si>
  <si>
    <t>KTSHAP017</t>
  </si>
  <si>
    <t>KTSHAP018</t>
  </si>
  <si>
    <t>KTSHAP019</t>
  </si>
  <si>
    <t>KTSHAP020</t>
  </si>
  <si>
    <t>KTSHAP021</t>
  </si>
  <si>
    <t>KTSHAP022</t>
  </si>
  <si>
    <t>KTSHAP023</t>
  </si>
  <si>
    <t>KTSHAP024</t>
  </si>
  <si>
    <t>MOTOR VEHICLE</t>
  </si>
  <si>
    <t>OTHER EQUIPMENT</t>
  </si>
  <si>
    <t>MOIP001</t>
  </si>
  <si>
    <t>MOIP002</t>
  </si>
  <si>
    <t>MOIP003</t>
  </si>
  <si>
    <t>MOIP004</t>
  </si>
  <si>
    <t>Provision of 4No Video Projector and Accessories</t>
  </si>
  <si>
    <t>Complete Heavy Duty PA System with Box Speakers, Mixers, Amp</t>
  </si>
  <si>
    <t>PROJECTOR</t>
  </si>
  <si>
    <t>VEHICLE</t>
  </si>
  <si>
    <t>MOIP005</t>
  </si>
  <si>
    <t>MOIP006</t>
  </si>
  <si>
    <t>MOIP007</t>
  </si>
  <si>
    <t>MOIP008</t>
  </si>
  <si>
    <t>MOIP009</t>
  </si>
  <si>
    <t>MOIP010</t>
  </si>
  <si>
    <t>MOIP011</t>
  </si>
  <si>
    <t>MOIP012</t>
  </si>
  <si>
    <t>MOIP013</t>
  </si>
  <si>
    <t>MOIP014</t>
  </si>
  <si>
    <t>MOIP015</t>
  </si>
  <si>
    <t>MOIP016</t>
  </si>
  <si>
    <t>Impr. of Fire Station, Control tower &amp; underground Tanks</t>
  </si>
  <si>
    <t>KTTVP001</t>
  </si>
  <si>
    <t>KTTVP002</t>
  </si>
  <si>
    <t>KTTVP004</t>
  </si>
  <si>
    <t>KTTVP005</t>
  </si>
  <si>
    <t>OFFICE FURNITURE</t>
  </si>
  <si>
    <t>KTSRP001</t>
  </si>
  <si>
    <t>KTSRP002</t>
  </si>
  <si>
    <t>KTSRP003</t>
  </si>
  <si>
    <t>KTSRP004</t>
  </si>
  <si>
    <t>KTSRP005</t>
  </si>
  <si>
    <t>KTSRP006</t>
  </si>
  <si>
    <t>BINDING EQUIPMENT</t>
  </si>
  <si>
    <t>GPDP001</t>
  </si>
  <si>
    <t>GPDP002</t>
  </si>
  <si>
    <t>GPDP003</t>
  </si>
  <si>
    <t>GPDP004</t>
  </si>
  <si>
    <t>GPDP005</t>
  </si>
  <si>
    <t>HCBP001</t>
  </si>
  <si>
    <t>HCBP002</t>
  </si>
  <si>
    <t>HCBP003</t>
  </si>
  <si>
    <t>HERITAGE</t>
  </si>
  <si>
    <t>HCBP004</t>
  </si>
  <si>
    <t>INFRASTRUCTURE GENERAL</t>
  </si>
  <si>
    <t>HCBP005</t>
  </si>
  <si>
    <t>HCBP006</t>
  </si>
  <si>
    <t>HCBP007</t>
  </si>
  <si>
    <t>HOCSSP001</t>
  </si>
  <si>
    <t>HOCSSP002</t>
  </si>
  <si>
    <t>VEHICLES</t>
  </si>
  <si>
    <t>FURNITURE &amp; FITTINGS</t>
  </si>
  <si>
    <t>DETP001</t>
  </si>
  <si>
    <t>DETP002</t>
  </si>
  <si>
    <t>DETP003</t>
  </si>
  <si>
    <t>DETP004</t>
  </si>
  <si>
    <t>DETP005</t>
  </si>
  <si>
    <t>DETP006</t>
  </si>
  <si>
    <t>DETP007</t>
  </si>
  <si>
    <t>DETP008</t>
  </si>
  <si>
    <t>DETP009</t>
  </si>
  <si>
    <t>DETP010</t>
  </si>
  <si>
    <t>DETP011</t>
  </si>
  <si>
    <t>DETP012</t>
  </si>
  <si>
    <t>PROGRAMME, RESEARCH &amp; DEVELOPMENT</t>
  </si>
  <si>
    <t>DHCDP001</t>
  </si>
  <si>
    <t>LGAUP001</t>
  </si>
  <si>
    <t>LGAUP002</t>
  </si>
  <si>
    <t>LGAUP003</t>
  </si>
  <si>
    <t>10% of 1% - Monitoring &amp; Evaluation Costs</t>
  </si>
  <si>
    <t>CSCP001</t>
  </si>
  <si>
    <t>CSCP002</t>
  </si>
  <si>
    <t>LGSCP001</t>
  </si>
  <si>
    <t>LGSPBP001</t>
  </si>
  <si>
    <t>SIECP001</t>
  </si>
  <si>
    <t>SIECP002</t>
  </si>
  <si>
    <t>EQUIPMENT - GENERAL</t>
  </si>
  <si>
    <t>SIECP003</t>
  </si>
  <si>
    <t>SIECP004</t>
  </si>
  <si>
    <t>KTSG Counterpart on IFAD/ CBARDP</t>
  </si>
  <si>
    <t>EARTH MOVING EQUIPMENT</t>
  </si>
  <si>
    <t>PLANT AND MACHINERY</t>
  </si>
  <si>
    <t>MOAGP001</t>
  </si>
  <si>
    <t>MOAGP002</t>
  </si>
  <si>
    <t>MOAGP003</t>
  </si>
  <si>
    <t>MOAGP004</t>
  </si>
  <si>
    <t>MOAGP005</t>
  </si>
  <si>
    <t>SILOS</t>
  </si>
  <si>
    <t>MOASP001</t>
  </si>
  <si>
    <t>MOASP002</t>
  </si>
  <si>
    <t>MOASP003</t>
  </si>
  <si>
    <t>MOASP004</t>
  </si>
  <si>
    <t>MOASP005</t>
  </si>
  <si>
    <t>FARM STOCK</t>
  </si>
  <si>
    <t>MOAIP001</t>
  </si>
  <si>
    <t>MOAIP002</t>
  </si>
  <si>
    <t>MOAIP003</t>
  </si>
  <si>
    <t>MOAIP004</t>
  </si>
  <si>
    <t>DAMS</t>
  </si>
  <si>
    <t>MOAIP005</t>
  </si>
  <si>
    <t>MOAIP006</t>
  </si>
  <si>
    <t>MOAIP007</t>
  </si>
  <si>
    <t>MOAIP008</t>
  </si>
  <si>
    <t>MOAFP001</t>
  </si>
  <si>
    <t>MOAFP002</t>
  </si>
  <si>
    <t>ZOO, PARKS &amp; RESERVES</t>
  </si>
  <si>
    <t>MOAFP003</t>
  </si>
  <si>
    <t>MOAFP004</t>
  </si>
  <si>
    <t>MOAFP005</t>
  </si>
  <si>
    <t>MOAFP006</t>
  </si>
  <si>
    <t>MOAFP007</t>
  </si>
  <si>
    <t>MOAFP008</t>
  </si>
  <si>
    <t>MOACP001</t>
  </si>
  <si>
    <t>MOACP002</t>
  </si>
  <si>
    <t>MOACP003</t>
  </si>
  <si>
    <t>MOACP004</t>
  </si>
  <si>
    <t>MOACP005</t>
  </si>
  <si>
    <t>MOACP006</t>
  </si>
  <si>
    <t>KTARDAP001</t>
  </si>
  <si>
    <t>KTARDAP002</t>
  </si>
  <si>
    <t>KTARDAP003</t>
  </si>
  <si>
    <t>KTARDAP005</t>
  </si>
  <si>
    <t>KTARDAP006</t>
  </si>
  <si>
    <t>KTARDAP007</t>
  </si>
  <si>
    <t>KTARDAP008</t>
  </si>
  <si>
    <t>KTARDAP009</t>
  </si>
  <si>
    <t>KTARDAP010</t>
  </si>
  <si>
    <t>KTARDAP011</t>
  </si>
  <si>
    <t>KTARDAP012</t>
  </si>
  <si>
    <t>KTARDAP013</t>
  </si>
  <si>
    <t>KTARDAP014</t>
  </si>
  <si>
    <t>KTARDAP015</t>
  </si>
  <si>
    <t>KTARDAP016</t>
  </si>
  <si>
    <t>KTARDAP017</t>
  </si>
  <si>
    <t>KTARDAP018</t>
  </si>
  <si>
    <t>KTARDAP019</t>
  </si>
  <si>
    <t>KTARDAP020</t>
  </si>
  <si>
    <t>Rural Finance Institution Building Program (RUFIN)</t>
  </si>
  <si>
    <t>Seed Multiplication Project</t>
  </si>
  <si>
    <t>BOREHOLES &amp; OTHER WATER FACILITIES</t>
  </si>
  <si>
    <t>FASCOP001</t>
  </si>
  <si>
    <t>AGRICULTURAL EQUIPMENT &amp; CHEMICAL</t>
  </si>
  <si>
    <t>FASCOP002</t>
  </si>
  <si>
    <t>FASCOP003</t>
  </si>
  <si>
    <t>FASCOP004</t>
  </si>
  <si>
    <t>FASCOP005</t>
  </si>
  <si>
    <t>FASCOP006</t>
  </si>
  <si>
    <t>DLVP001</t>
  </si>
  <si>
    <t>DLVP002</t>
  </si>
  <si>
    <t>DLVP003</t>
  </si>
  <si>
    <t>DLVP004</t>
  </si>
  <si>
    <t>DLVP005</t>
  </si>
  <si>
    <t>DLVP006</t>
  </si>
  <si>
    <t>DLVP007</t>
  </si>
  <si>
    <t>DLVP008</t>
  </si>
  <si>
    <t>DLVP009</t>
  </si>
  <si>
    <t>DLVP010</t>
  </si>
  <si>
    <t>DLLP001</t>
  </si>
  <si>
    <t>DLLP002</t>
  </si>
  <si>
    <t>DLLP003</t>
  </si>
  <si>
    <t>DLLP004</t>
  </si>
  <si>
    <t>DLLP005</t>
  </si>
  <si>
    <t>DLLP006</t>
  </si>
  <si>
    <t>DLLP007</t>
  </si>
  <si>
    <t>DLLP008</t>
  </si>
  <si>
    <t>Rehab &amp; Mgmnt of Community Pastures &amp; Supplem feed Program in 15LGAs</t>
  </si>
  <si>
    <t>MOFP001</t>
  </si>
  <si>
    <t>MOFP002</t>
  </si>
  <si>
    <t>MOFP003</t>
  </si>
  <si>
    <t>MOFP004</t>
  </si>
  <si>
    <t>MOFP005</t>
  </si>
  <si>
    <t>MOFP006</t>
  </si>
  <si>
    <t>MOFP007</t>
  </si>
  <si>
    <t>MOFP008</t>
  </si>
  <si>
    <t>MBEP001</t>
  </si>
  <si>
    <t>MBEP002</t>
  </si>
  <si>
    <t>Rehab of Old Government House</t>
  </si>
  <si>
    <t>MBEP003</t>
  </si>
  <si>
    <t>MBEP004</t>
  </si>
  <si>
    <t>MBEP005</t>
  </si>
  <si>
    <t>MBEP006</t>
  </si>
  <si>
    <t>MBEP007</t>
  </si>
  <si>
    <t>MBEP008</t>
  </si>
  <si>
    <t>MBEP009</t>
  </si>
  <si>
    <t>MBEP010</t>
  </si>
  <si>
    <t>MBEP011</t>
  </si>
  <si>
    <t>COMPUTER</t>
  </si>
  <si>
    <t>Citizen Budget Project</t>
  </si>
  <si>
    <t>MOCP001</t>
  </si>
  <si>
    <t>MOCP002</t>
  </si>
  <si>
    <t>FUNTUA &amp; JIBIA Dry Port Containers (Container Deport)</t>
  </si>
  <si>
    <t>MOCP003</t>
  </si>
  <si>
    <t>INFRASTRUCTION</t>
  </si>
  <si>
    <t xml:space="preserve">Construction of Road, Drainage &amp; Gate at Central Market </t>
  </si>
  <si>
    <t>MOCP004</t>
  </si>
  <si>
    <t>MOCP005</t>
  </si>
  <si>
    <t>MOCP006</t>
  </si>
  <si>
    <t>MOCP007</t>
  </si>
  <si>
    <t>MOCP008</t>
  </si>
  <si>
    <t>MOCP009</t>
  </si>
  <si>
    <t>KIPAP001</t>
  </si>
  <si>
    <t>KIPAP002</t>
  </si>
  <si>
    <t>KIPAP003</t>
  </si>
  <si>
    <t>KIPAP004</t>
  </si>
  <si>
    <t>Economics &amp; Investment Summit Project 2021</t>
  </si>
  <si>
    <t>KIPA Materials for contents Input for Nigeria Pavilion at EXPO 2021 DUBAI</t>
  </si>
  <si>
    <t>DMDP001</t>
  </si>
  <si>
    <t>PRINTING OF SECURITY DOCUMENT</t>
  </si>
  <si>
    <t>URPBP001</t>
  </si>
  <si>
    <t>URPBP002</t>
  </si>
  <si>
    <t>URPBP003</t>
  </si>
  <si>
    <t>URPBP004</t>
  </si>
  <si>
    <t>URPBP005</t>
  </si>
  <si>
    <t>MONUMENT</t>
  </si>
  <si>
    <t>URPBP006</t>
  </si>
  <si>
    <t>Street Naming/House Numbering &amp; Details of Residents</t>
  </si>
  <si>
    <t>OSGP001</t>
  </si>
  <si>
    <t>OSGP002</t>
  </si>
  <si>
    <t>OSGP003</t>
  </si>
  <si>
    <t>OSGP004</t>
  </si>
  <si>
    <t>OSGP005</t>
  </si>
  <si>
    <t>DEPP001</t>
  </si>
  <si>
    <t>MOSTP001</t>
  </si>
  <si>
    <t>MOSTP002</t>
  </si>
  <si>
    <t>MOSTP003</t>
  </si>
  <si>
    <t>MOSTP004</t>
  </si>
  <si>
    <t>MOSTP005</t>
  </si>
  <si>
    <t>MOSTP006</t>
  </si>
  <si>
    <t>MOSTP007</t>
  </si>
  <si>
    <t>MOSTP008</t>
  </si>
  <si>
    <t>MOSTP009</t>
  </si>
  <si>
    <t>MOSTP010</t>
  </si>
  <si>
    <t>MOSTP011</t>
  </si>
  <si>
    <t>MOSTP012</t>
  </si>
  <si>
    <t>MOSTP013</t>
  </si>
  <si>
    <t>MOSTP014</t>
  </si>
  <si>
    <t>MOSTP015</t>
  </si>
  <si>
    <t>MOSTP016</t>
  </si>
  <si>
    <t xml:space="preserve">OFFICE FURNITURE </t>
  </si>
  <si>
    <t>ITMP001</t>
  </si>
  <si>
    <t>ITMP002</t>
  </si>
  <si>
    <t>ITMP003</t>
  </si>
  <si>
    <t>ITMP004</t>
  </si>
  <si>
    <t>ITMP005</t>
  </si>
  <si>
    <t>ITMP006</t>
  </si>
  <si>
    <t>ITMP007</t>
  </si>
  <si>
    <t>ITMP008</t>
  </si>
  <si>
    <t>ITMP009</t>
  </si>
  <si>
    <t>ITMP010</t>
  </si>
  <si>
    <t>WATER DISTRIBUTION NETWORK</t>
  </si>
  <si>
    <t>ZOO, PARKS &amp; RECREATION</t>
  </si>
  <si>
    <t>ITMP011</t>
  </si>
  <si>
    <t>ITMP012</t>
  </si>
  <si>
    <t>ITMP013</t>
  </si>
  <si>
    <t>ITMP014</t>
  </si>
  <si>
    <t>ITMP015</t>
  </si>
  <si>
    <t>DPEP001</t>
  </si>
  <si>
    <t>DPEP002</t>
  </si>
  <si>
    <t>DPEP003</t>
  </si>
  <si>
    <t>REBP001</t>
  </si>
  <si>
    <t>REBP002</t>
  </si>
  <si>
    <t>REBP003</t>
  </si>
  <si>
    <t>REBP004</t>
  </si>
  <si>
    <t>MRDP001</t>
  </si>
  <si>
    <t>MRDP002</t>
  </si>
  <si>
    <t>MRDP003</t>
  </si>
  <si>
    <t>MRDP004</t>
  </si>
  <si>
    <t>MRDP005</t>
  </si>
  <si>
    <t>MRDP006</t>
  </si>
  <si>
    <t>MRDP007</t>
  </si>
  <si>
    <t>MRDP008</t>
  </si>
  <si>
    <t>Mineral Exploration Mining Project</t>
  </si>
  <si>
    <t>MWRP001</t>
  </si>
  <si>
    <t>MWRP002</t>
  </si>
  <si>
    <t>MWRP003</t>
  </si>
  <si>
    <t>MWRP004</t>
  </si>
  <si>
    <t>MWRP005</t>
  </si>
  <si>
    <t>MWRP006</t>
  </si>
  <si>
    <t>MWRP007</t>
  </si>
  <si>
    <t>MWRP008</t>
  </si>
  <si>
    <t>MWRP009</t>
  </si>
  <si>
    <t>MWRP010</t>
  </si>
  <si>
    <t>MWRP011</t>
  </si>
  <si>
    <t>MWRP012</t>
  </si>
  <si>
    <t>MWRP013</t>
  </si>
  <si>
    <t>MWRP014</t>
  </si>
  <si>
    <t>MWRP015</t>
  </si>
  <si>
    <t>MWRP016</t>
  </si>
  <si>
    <t>MWRP017</t>
  </si>
  <si>
    <t>MWRP018</t>
  </si>
  <si>
    <t>RSUWP001</t>
  </si>
  <si>
    <t>RSUWP002</t>
  </si>
  <si>
    <t>RSUWP003</t>
  </si>
  <si>
    <t>RSUWP004</t>
  </si>
  <si>
    <t>RSUWP005</t>
  </si>
  <si>
    <t>RSUWP006</t>
  </si>
  <si>
    <t>RSUWP007</t>
  </si>
  <si>
    <t>RSUWP008</t>
  </si>
  <si>
    <t>RSUWP009</t>
  </si>
  <si>
    <t>RSUWP010</t>
  </si>
  <si>
    <t>RSUWP011</t>
  </si>
  <si>
    <t>RSUWP012</t>
  </si>
  <si>
    <t>RSUWP013</t>
  </si>
  <si>
    <t>RSUWP014</t>
  </si>
  <si>
    <t>RSUWP015</t>
  </si>
  <si>
    <t>RSUWP016</t>
  </si>
  <si>
    <t>RSUWP017</t>
  </si>
  <si>
    <t>RSUWP018</t>
  </si>
  <si>
    <t>RSUWP019</t>
  </si>
  <si>
    <t>RSUWP020</t>
  </si>
  <si>
    <t>RSUWP021</t>
  </si>
  <si>
    <t>RUWP001</t>
  </si>
  <si>
    <t>RUWP002</t>
  </si>
  <si>
    <t>RUWP003</t>
  </si>
  <si>
    <t>RUWP004</t>
  </si>
  <si>
    <t>RUWP005</t>
  </si>
  <si>
    <t>RUWP006</t>
  </si>
  <si>
    <t>RUWP007</t>
  </si>
  <si>
    <t>JSCP001</t>
  </si>
  <si>
    <t>JSCP002</t>
  </si>
  <si>
    <t>JSCP003</t>
  </si>
  <si>
    <t>JSCP004</t>
  </si>
  <si>
    <t>JSCP005</t>
  </si>
  <si>
    <t>MOJP001</t>
  </si>
  <si>
    <t>MOJP002</t>
  </si>
  <si>
    <t>MOJP003</t>
  </si>
  <si>
    <t>MOJP004</t>
  </si>
  <si>
    <t>MOJP005</t>
  </si>
  <si>
    <t>MOJP007</t>
  </si>
  <si>
    <t>MOJP006</t>
  </si>
  <si>
    <t>HCJP001</t>
  </si>
  <si>
    <t>HCJP002</t>
  </si>
  <si>
    <t>HCJP003</t>
  </si>
  <si>
    <t>HCJP004</t>
  </si>
  <si>
    <t>HCJP005</t>
  </si>
  <si>
    <t>HCJP006</t>
  </si>
  <si>
    <t>HCJP007</t>
  </si>
  <si>
    <t>HCJP008</t>
  </si>
  <si>
    <t>HCJP009</t>
  </si>
  <si>
    <t>HCJP010</t>
  </si>
  <si>
    <t>HCJP011</t>
  </si>
  <si>
    <t>HCJP012</t>
  </si>
  <si>
    <t>HCJP013</t>
  </si>
  <si>
    <t>HCJP014</t>
  </si>
  <si>
    <t>HCJP015</t>
  </si>
  <si>
    <t>HCJP016</t>
  </si>
  <si>
    <t>HCJP017</t>
  </si>
  <si>
    <t>HCJP018</t>
  </si>
  <si>
    <t>HCJP019</t>
  </si>
  <si>
    <t>HCJP020</t>
  </si>
  <si>
    <t>SCAP001</t>
  </si>
  <si>
    <t>SCAP002</t>
  </si>
  <si>
    <t>SCAP003</t>
  </si>
  <si>
    <t>SCAP004</t>
  </si>
  <si>
    <t>SCAP005</t>
  </si>
  <si>
    <t>SCAP006</t>
  </si>
  <si>
    <t>SCAP007</t>
  </si>
  <si>
    <t>SCAP008</t>
  </si>
  <si>
    <t>SCAP009</t>
  </si>
  <si>
    <t>SCAP010</t>
  </si>
  <si>
    <t>SCAP011</t>
  </si>
  <si>
    <t>SCAP012</t>
  </si>
  <si>
    <t>SCAP013</t>
  </si>
  <si>
    <t>SHCP001</t>
  </si>
  <si>
    <t>SHCP002</t>
  </si>
  <si>
    <t>SHCP003</t>
  </si>
  <si>
    <t>SHCP004</t>
  </si>
  <si>
    <t>MSSDP001</t>
  </si>
  <si>
    <t>MSSDP002</t>
  </si>
  <si>
    <t>MSSDP003</t>
  </si>
  <si>
    <t>MSSDP004</t>
  </si>
  <si>
    <t>MSSDP005</t>
  </si>
  <si>
    <t>MSSDP006</t>
  </si>
  <si>
    <t>MSSDP007</t>
  </si>
  <si>
    <t>MSSDP008</t>
  </si>
  <si>
    <t>MSSDP009</t>
  </si>
  <si>
    <t>MSSDP010</t>
  </si>
  <si>
    <t>MSSDP011</t>
  </si>
  <si>
    <t>MSSDP012</t>
  </si>
  <si>
    <t>MSSDP013</t>
  </si>
  <si>
    <t>SEMAP001</t>
  </si>
  <si>
    <t>SEMAP002</t>
  </si>
  <si>
    <t>SEMAP003</t>
  </si>
  <si>
    <t>BOREHOLES &amp; WATER FACILITIES</t>
  </si>
  <si>
    <t xml:space="preserve">FURNITURE &amp; FITTINGS </t>
  </si>
  <si>
    <t>SPECIALISED ASSET</t>
  </si>
  <si>
    <t>LANDS &amp; BUILDING - GENERAL</t>
  </si>
  <si>
    <t>DYDP001</t>
  </si>
  <si>
    <t>DYDP002</t>
  </si>
  <si>
    <t>DYDP003</t>
  </si>
  <si>
    <t>MWAP001</t>
  </si>
  <si>
    <t>MWAP002</t>
  </si>
  <si>
    <t>MWAP003</t>
  </si>
  <si>
    <t>MWAP004</t>
  </si>
  <si>
    <t>MWAP005</t>
  </si>
  <si>
    <t>MWAP006</t>
  </si>
  <si>
    <t>MWAP007</t>
  </si>
  <si>
    <t>MWAP008</t>
  </si>
  <si>
    <t>MWAP009</t>
  </si>
  <si>
    <t>MWAP010</t>
  </si>
  <si>
    <t>MWAP011</t>
  </si>
  <si>
    <t>MWAP012</t>
  </si>
  <si>
    <t>MWAP013</t>
  </si>
  <si>
    <t>MWAP014</t>
  </si>
  <si>
    <t>MWAP015</t>
  </si>
  <si>
    <t>Renovation of MPWC Filin Samji KT &amp; Purchase of Generator</t>
  </si>
  <si>
    <t>SAVTP001</t>
  </si>
  <si>
    <t>SAVTP002</t>
  </si>
  <si>
    <t>SAVTP003</t>
  </si>
  <si>
    <t>SAVTP004</t>
  </si>
  <si>
    <t>SAVTP005</t>
  </si>
  <si>
    <t>SAVTP006</t>
  </si>
  <si>
    <t>SAVTP007</t>
  </si>
  <si>
    <t>SAVTP008</t>
  </si>
  <si>
    <t>SAVTP009</t>
  </si>
  <si>
    <t>SAVTP010</t>
  </si>
  <si>
    <t>ELECTRICITY DISTRIBUTION NETWORK</t>
  </si>
  <si>
    <t>MOEP001</t>
  </si>
  <si>
    <t>MOEP002</t>
  </si>
  <si>
    <t>MOEP003</t>
  </si>
  <si>
    <t>MOEP004</t>
  </si>
  <si>
    <t>MOEP005</t>
  </si>
  <si>
    <t>MOEP006</t>
  </si>
  <si>
    <t>MOEP007</t>
  </si>
  <si>
    <t>MOEP008</t>
  </si>
  <si>
    <t>MOEP009</t>
  </si>
  <si>
    <t>MOEP010</t>
  </si>
  <si>
    <t>MOEP011</t>
  </si>
  <si>
    <t>MOEP012</t>
  </si>
  <si>
    <t>MOEP013</t>
  </si>
  <si>
    <t>MOEP014</t>
  </si>
  <si>
    <t>MOEP015</t>
  </si>
  <si>
    <t>MOEP016</t>
  </si>
  <si>
    <t>MOEP017</t>
  </si>
  <si>
    <t>MOEP018</t>
  </si>
  <si>
    <t>MOEP019</t>
  </si>
  <si>
    <t>MOEP020</t>
  </si>
  <si>
    <t>MOEP021</t>
  </si>
  <si>
    <t>MOEP022</t>
  </si>
  <si>
    <t>MOEP023</t>
  </si>
  <si>
    <t>MOEP024</t>
  </si>
  <si>
    <t>MOEP025</t>
  </si>
  <si>
    <t>MOEP026</t>
  </si>
  <si>
    <t>MOEP027</t>
  </si>
  <si>
    <t>SLBP001</t>
  </si>
  <si>
    <t>SLBP002</t>
  </si>
  <si>
    <t>SLBP003</t>
  </si>
  <si>
    <t>SLBP004</t>
  </si>
  <si>
    <t>SLBP005</t>
  </si>
  <si>
    <t>STEBP001</t>
  </si>
  <si>
    <t>STEBP002</t>
  </si>
  <si>
    <t>STEBP003</t>
  </si>
  <si>
    <t>STEBP004</t>
  </si>
  <si>
    <t>STEBP005</t>
  </si>
  <si>
    <t>STEBP006</t>
  </si>
  <si>
    <t>STEBP007</t>
  </si>
  <si>
    <t>STEBP008</t>
  </si>
  <si>
    <t>STEBP009</t>
  </si>
  <si>
    <t>STEBP010</t>
  </si>
  <si>
    <t>STEBP014</t>
  </si>
  <si>
    <t>STEBP015</t>
  </si>
  <si>
    <t>STEBP016</t>
  </si>
  <si>
    <t>STEBP017</t>
  </si>
  <si>
    <t>STEBP018</t>
  </si>
  <si>
    <t>DHEP001</t>
  </si>
  <si>
    <t>DHEP002</t>
  </si>
  <si>
    <t>DHEP003</t>
  </si>
  <si>
    <t>DHEP004</t>
  </si>
  <si>
    <t>DHEP005</t>
  </si>
  <si>
    <t>DHEP006</t>
  </si>
  <si>
    <t>DHEP007</t>
  </si>
  <si>
    <t>DHEP008</t>
  </si>
  <si>
    <t>DHEP009</t>
  </si>
  <si>
    <t>SSBP001</t>
  </si>
  <si>
    <t>SSBP002</t>
  </si>
  <si>
    <t>YBUP001</t>
  </si>
  <si>
    <t>YBUP002</t>
  </si>
  <si>
    <t>YBUP004</t>
  </si>
  <si>
    <t>YBUP005</t>
  </si>
  <si>
    <t>YBUP006</t>
  </si>
  <si>
    <t>YBUP007</t>
  </si>
  <si>
    <t>YBUP008</t>
  </si>
  <si>
    <t>YBUP009</t>
  </si>
  <si>
    <t>YBUP010</t>
  </si>
  <si>
    <t>YBUP011</t>
  </si>
  <si>
    <t>YBUP012</t>
  </si>
  <si>
    <t>YBUP013</t>
  </si>
  <si>
    <t>FURNITURE &amp; FITTINGS GENERAL</t>
  </si>
  <si>
    <t>SPECILISED ASSET</t>
  </si>
  <si>
    <t>YBUP014</t>
  </si>
  <si>
    <t>YBUP015</t>
  </si>
  <si>
    <t>YBUP016</t>
  </si>
  <si>
    <t>YBUP017</t>
  </si>
  <si>
    <t>YBUP018</t>
  </si>
  <si>
    <t>HUKP001</t>
  </si>
  <si>
    <t>HUKP002</t>
  </si>
  <si>
    <t>HUKP003</t>
  </si>
  <si>
    <t>HUKP004</t>
  </si>
  <si>
    <t>HUKP005</t>
  </si>
  <si>
    <t>HUKP006</t>
  </si>
  <si>
    <t>HUKP007</t>
  </si>
  <si>
    <t>HUKP008</t>
  </si>
  <si>
    <t>IKCEP001</t>
  </si>
  <si>
    <t>IKCEP002</t>
  </si>
  <si>
    <t>IKCEP003</t>
  </si>
  <si>
    <t>IKCEP004</t>
  </si>
  <si>
    <t>IKCEP005</t>
  </si>
  <si>
    <t>IKCEP006</t>
  </si>
  <si>
    <t>IKCEP007</t>
  </si>
  <si>
    <t>IKCEP008</t>
  </si>
  <si>
    <t>IKCEP009</t>
  </si>
  <si>
    <t>IKCEP010</t>
  </si>
  <si>
    <t>IKCEP011</t>
  </si>
  <si>
    <t>IKCEP012</t>
  </si>
  <si>
    <t>IKCEP013</t>
  </si>
  <si>
    <t>IKCEP014</t>
  </si>
  <si>
    <t>IKCEP015</t>
  </si>
  <si>
    <t>IKCEP016</t>
  </si>
  <si>
    <t>UMYUP001</t>
  </si>
  <si>
    <t>UMYUP002</t>
  </si>
  <si>
    <t>UMYUP003</t>
  </si>
  <si>
    <t>UMYUP004</t>
  </si>
  <si>
    <t>UMYUP005</t>
  </si>
  <si>
    <t>UMYUP006</t>
  </si>
  <si>
    <t>UMYUP007</t>
  </si>
  <si>
    <t>UMYUP008</t>
  </si>
  <si>
    <t>UMYUP009</t>
  </si>
  <si>
    <t>UMYUP010</t>
  </si>
  <si>
    <t>UMYUP011</t>
  </si>
  <si>
    <t>UMYUP012</t>
  </si>
  <si>
    <t>UMYUP013</t>
  </si>
  <si>
    <t>UMYUP014</t>
  </si>
  <si>
    <t>UMYUP015</t>
  </si>
  <si>
    <t>UMYUP016</t>
  </si>
  <si>
    <t>UMYUP017</t>
  </si>
  <si>
    <t>UMYUP018</t>
  </si>
  <si>
    <t>UMYUP019</t>
  </si>
  <si>
    <t>UMYUP020</t>
  </si>
  <si>
    <t>UMYUP021</t>
  </si>
  <si>
    <t>UMYUP022</t>
  </si>
  <si>
    <t>UMYUP023</t>
  </si>
  <si>
    <t>UMYUP024</t>
  </si>
  <si>
    <t>UMYUP025</t>
  </si>
  <si>
    <t>UMYUP026</t>
  </si>
  <si>
    <t>UMYUP027</t>
  </si>
  <si>
    <t>UMYUP028</t>
  </si>
  <si>
    <t>UMYUP029</t>
  </si>
  <si>
    <t>UMYUP030</t>
  </si>
  <si>
    <t>MOHP001</t>
  </si>
  <si>
    <t>MOHP002</t>
  </si>
  <si>
    <t>MOHP003</t>
  </si>
  <si>
    <t>MOHP004</t>
  </si>
  <si>
    <t>MOHP005</t>
  </si>
  <si>
    <t>MOHP006</t>
  </si>
  <si>
    <t>MOHP007</t>
  </si>
  <si>
    <t>MOHP008</t>
  </si>
  <si>
    <t>MOHP009</t>
  </si>
  <si>
    <t>MOHP010</t>
  </si>
  <si>
    <t>MOHP011</t>
  </si>
  <si>
    <t>MOHP012</t>
  </si>
  <si>
    <t>MOHP013</t>
  </si>
  <si>
    <t>MOHP014</t>
  </si>
  <si>
    <t>MOHP015</t>
  </si>
  <si>
    <t>MOHP016</t>
  </si>
  <si>
    <t>MOHP017</t>
  </si>
  <si>
    <t>MOHP018</t>
  </si>
  <si>
    <t>MOHP019</t>
  </si>
  <si>
    <t>MOHP020</t>
  </si>
  <si>
    <t>MOHP021</t>
  </si>
  <si>
    <t xml:space="preserve">COVID-19 </t>
  </si>
  <si>
    <t>MOHP022</t>
  </si>
  <si>
    <t>MOHP023</t>
  </si>
  <si>
    <t>MOHP024</t>
  </si>
  <si>
    <t>MOHP025</t>
  </si>
  <si>
    <t>MOHP026</t>
  </si>
  <si>
    <t>MOHP027</t>
  </si>
  <si>
    <t>MOHP028</t>
  </si>
  <si>
    <t>MOHP029</t>
  </si>
  <si>
    <t>MOHP030</t>
  </si>
  <si>
    <t>MOHP031</t>
  </si>
  <si>
    <t>MOHP032</t>
  </si>
  <si>
    <t>MOHP033</t>
  </si>
  <si>
    <t>MOHP034</t>
  </si>
  <si>
    <t>MOHP035</t>
  </si>
  <si>
    <t>MOHP036</t>
  </si>
  <si>
    <t>MOHP037</t>
  </si>
  <si>
    <t>MOHP038</t>
  </si>
  <si>
    <t>MOHP039</t>
  </si>
  <si>
    <t>HSMBP001</t>
  </si>
  <si>
    <t>HSMBP002</t>
  </si>
  <si>
    <t>HSMBP003</t>
  </si>
  <si>
    <t>HSMBP004</t>
  </si>
  <si>
    <t>HSMBP005</t>
  </si>
  <si>
    <t>PHCP001</t>
  </si>
  <si>
    <t>PHCP002</t>
  </si>
  <si>
    <t>PHCP003</t>
  </si>
  <si>
    <t>PHCP004</t>
  </si>
  <si>
    <t>PHCP005</t>
  </si>
  <si>
    <t>PHCP006</t>
  </si>
  <si>
    <t>PHCP007</t>
  </si>
  <si>
    <t>PHCP008</t>
  </si>
  <si>
    <t>PHCP009</t>
  </si>
  <si>
    <t>PHCP010</t>
  </si>
  <si>
    <t>PHCP011</t>
  </si>
  <si>
    <t>PHCP012</t>
  </si>
  <si>
    <t>PHCP013</t>
  </si>
  <si>
    <t>OTHER STORAGE FACILITIES</t>
  </si>
  <si>
    <t>PHCP014</t>
  </si>
  <si>
    <t>PHCP015</t>
  </si>
  <si>
    <t>PHCP016</t>
  </si>
  <si>
    <t>PHCP017</t>
  </si>
  <si>
    <t>ACAP001</t>
  </si>
  <si>
    <t>ACAP002</t>
  </si>
  <si>
    <t>ACAP003</t>
  </si>
  <si>
    <t>ACAP004</t>
  </si>
  <si>
    <t>ACAP005</t>
  </si>
  <si>
    <t>ACAP006</t>
  </si>
  <si>
    <t>ACAP007</t>
  </si>
  <si>
    <t>ACAP008</t>
  </si>
  <si>
    <t>ACAP009</t>
  </si>
  <si>
    <t>CHCP001</t>
  </si>
  <si>
    <t>CHCP002</t>
  </si>
  <si>
    <t>CHCP003</t>
  </si>
  <si>
    <t>CHCP004</t>
  </si>
  <si>
    <t>CHCP005</t>
  </si>
  <si>
    <t>CHCP006</t>
  </si>
  <si>
    <t>CHCP007</t>
  </si>
  <si>
    <t>PURCHASE OF DRUG EQUIPMENT</t>
  </si>
  <si>
    <t>CNMP001</t>
  </si>
  <si>
    <t>CNMP002</t>
  </si>
  <si>
    <t>Landscaping of School Premises</t>
  </si>
  <si>
    <t>CNMP003</t>
  </si>
  <si>
    <t>CNMP004</t>
  </si>
  <si>
    <t>CNMP005</t>
  </si>
  <si>
    <t>CNMP006</t>
  </si>
  <si>
    <t>CNMP007</t>
  </si>
  <si>
    <t>CNMP008</t>
  </si>
  <si>
    <t>CNMP009</t>
  </si>
  <si>
    <t>CNMP010</t>
  </si>
  <si>
    <t>CNMP011</t>
  </si>
  <si>
    <t>CNMP012</t>
  </si>
  <si>
    <t>CNMP013</t>
  </si>
  <si>
    <t>CNMP014</t>
  </si>
  <si>
    <t>CNMP015</t>
  </si>
  <si>
    <t>CNMP016</t>
  </si>
  <si>
    <t>CNMP017</t>
  </si>
  <si>
    <t>CNMP018</t>
  </si>
  <si>
    <t>CNMP019</t>
  </si>
  <si>
    <t>CNMP020</t>
  </si>
  <si>
    <t>CNMP021</t>
  </si>
  <si>
    <t>CNMP022</t>
  </si>
  <si>
    <t>CNMP023</t>
  </si>
  <si>
    <t>CNMP024</t>
  </si>
  <si>
    <t>CNMP025</t>
  </si>
  <si>
    <t>SPECILISED RESEARCH EQUIPMENT</t>
  </si>
  <si>
    <t>CHSP001</t>
  </si>
  <si>
    <t>CHSP002</t>
  </si>
  <si>
    <t>CHSP003</t>
  </si>
  <si>
    <t>CHSP004</t>
  </si>
  <si>
    <t>CHSP005</t>
  </si>
  <si>
    <t>CHSP006</t>
  </si>
  <si>
    <t>CHSP007</t>
  </si>
  <si>
    <t>CHSP008</t>
  </si>
  <si>
    <t>CHSP009</t>
  </si>
  <si>
    <t>CHSP010</t>
  </si>
  <si>
    <t>CHSP011</t>
  </si>
  <si>
    <t>CHSP012</t>
  </si>
  <si>
    <t>CHSP013</t>
  </si>
  <si>
    <t>CHSP014</t>
  </si>
  <si>
    <t>CHSP015</t>
  </si>
  <si>
    <t>CHSP016</t>
  </si>
  <si>
    <t>CHSP017</t>
  </si>
  <si>
    <t>CHSP018</t>
  </si>
  <si>
    <t>CHSP019</t>
  </si>
  <si>
    <t>CHSP020</t>
  </si>
  <si>
    <t>CHSP021</t>
  </si>
  <si>
    <t>CHSP022</t>
  </si>
  <si>
    <t>CHSP023</t>
  </si>
  <si>
    <t>CHSP024</t>
  </si>
  <si>
    <t>CHSP025</t>
  </si>
  <si>
    <t>CHSP026</t>
  </si>
  <si>
    <t>CHSP027</t>
  </si>
  <si>
    <t>CHSP028</t>
  </si>
  <si>
    <t>CHSP029</t>
  </si>
  <si>
    <t>CHSP032</t>
  </si>
  <si>
    <t>CHSP033</t>
  </si>
  <si>
    <t>CHSP034</t>
  </si>
  <si>
    <t>CHSP035</t>
  </si>
  <si>
    <t>CHSP036</t>
  </si>
  <si>
    <t>CHSP037</t>
  </si>
  <si>
    <t>CHSP038</t>
  </si>
  <si>
    <t>CHSP039</t>
  </si>
  <si>
    <t>CHSP040</t>
  </si>
  <si>
    <t>Procurement of 30 No. Computer to SHT Daura</t>
  </si>
  <si>
    <t>DSMP001</t>
  </si>
  <si>
    <t>DSMP002</t>
  </si>
  <si>
    <t>SPECIALISED RESEARCH EQUIPMENT</t>
  </si>
  <si>
    <t>DSMP003</t>
  </si>
  <si>
    <t>DNHTP001</t>
  </si>
  <si>
    <t>DNHTP002</t>
  </si>
  <si>
    <t>DNHTP003</t>
  </si>
  <si>
    <t>COLD CHAIN (5NO.)</t>
  </si>
  <si>
    <t>DNHTP004</t>
  </si>
  <si>
    <t>DNHTP005</t>
  </si>
  <si>
    <t>DRAINAGE NETWORK</t>
  </si>
  <si>
    <t>ZOO, PARK &amp; RESERVE</t>
  </si>
  <si>
    <t>SEPAP001</t>
  </si>
  <si>
    <t>SEPAP002</t>
  </si>
  <si>
    <t>SEPAP003</t>
  </si>
  <si>
    <t>SEPAP004</t>
  </si>
  <si>
    <t>SEPAP005</t>
  </si>
  <si>
    <t>SEPAP006</t>
  </si>
  <si>
    <t>SEPAP007</t>
  </si>
  <si>
    <t>SEPAP008</t>
  </si>
  <si>
    <t>SEPAP009</t>
  </si>
  <si>
    <t>PURCHASE OF CHEMICALS</t>
  </si>
  <si>
    <t>SEPAP010</t>
  </si>
  <si>
    <t>SEPAP011</t>
  </si>
  <si>
    <t>SEPAP012</t>
  </si>
  <si>
    <t>SEPAP013</t>
  </si>
  <si>
    <t>SEPAP014</t>
  </si>
  <si>
    <t>SEPAP015</t>
  </si>
  <si>
    <t>SEPAP016</t>
  </si>
  <si>
    <t>MFRDP003</t>
  </si>
  <si>
    <t>MFRDP004</t>
  </si>
  <si>
    <t>MFRDP001</t>
  </si>
  <si>
    <t>MFRDP002</t>
  </si>
  <si>
    <t>DCDP001</t>
  </si>
  <si>
    <t>DCDP002</t>
  </si>
  <si>
    <t>DCDP003</t>
  </si>
  <si>
    <t>DCDP004</t>
  </si>
  <si>
    <t>MLCAP001</t>
  </si>
  <si>
    <t>MLCAP002</t>
  </si>
  <si>
    <t>MLCAP003</t>
  </si>
  <si>
    <t>KTSHAP009</t>
  </si>
  <si>
    <t>KTSHAP010</t>
  </si>
  <si>
    <t>KTTVP006</t>
  </si>
  <si>
    <t>KTTVP007</t>
  </si>
  <si>
    <t>KTTVP008</t>
  </si>
  <si>
    <t>KTTVP009</t>
  </si>
  <si>
    <t>KTTVP010</t>
  </si>
  <si>
    <t>HCBP008</t>
  </si>
  <si>
    <t>Development of Public Buildings</t>
  </si>
  <si>
    <t>HOCSSP003</t>
  </si>
  <si>
    <t>HOCSSP004</t>
  </si>
  <si>
    <t>HOCSSP005</t>
  </si>
  <si>
    <t>OAGSP001</t>
  </si>
  <si>
    <t>OAGSP002</t>
  </si>
  <si>
    <t>OAGSP003</t>
  </si>
  <si>
    <t>OAGSP004</t>
  </si>
  <si>
    <t>MOAIP009</t>
  </si>
  <si>
    <t>MOAIP010</t>
  </si>
  <si>
    <t>Infrastructure Development Fund</t>
  </si>
  <si>
    <t>KTARDAP004</t>
  </si>
  <si>
    <t>KTARDAP021</t>
  </si>
  <si>
    <t>KTARDAP022</t>
  </si>
  <si>
    <t>Upgrading of GDSS Kafur &amp; Kankia to Boarding Schools</t>
  </si>
  <si>
    <t>MOCP010</t>
  </si>
  <si>
    <t>MOCP011</t>
  </si>
  <si>
    <t>Fees: Upgrading status with Corporate Affairs Comm</t>
  </si>
  <si>
    <t>MOLSP001</t>
  </si>
  <si>
    <t>MOLSP002</t>
  </si>
  <si>
    <t>MOLSP003</t>
  </si>
  <si>
    <t>MOLSP004</t>
  </si>
  <si>
    <t>MOSTP017</t>
  </si>
  <si>
    <t>ITMP016</t>
  </si>
  <si>
    <t>ITMP017</t>
  </si>
  <si>
    <t>ITMP018</t>
  </si>
  <si>
    <t>ITMP019</t>
  </si>
  <si>
    <t>PROFESSIONAL SERVICES</t>
  </si>
  <si>
    <t>HCJP021</t>
  </si>
  <si>
    <t>GCEDP001</t>
  </si>
  <si>
    <t>GCEDP002</t>
  </si>
  <si>
    <t>GCEDP003</t>
  </si>
  <si>
    <t>GCEDP004</t>
  </si>
  <si>
    <t>GCEDP005</t>
  </si>
  <si>
    <t>GCEDP006</t>
  </si>
  <si>
    <t>Construction&amp;ProcurementofMaterials/EquipforICT/CBT7No.(KANKARA,KANKIA &amp; MANI)</t>
  </si>
  <si>
    <t>MOEP028</t>
  </si>
  <si>
    <t>MOEP029</t>
  </si>
  <si>
    <t>UBEBP001</t>
  </si>
  <si>
    <t>UBEBP002</t>
  </si>
  <si>
    <t>UBEBP003</t>
  </si>
  <si>
    <t>UBEBP004</t>
  </si>
  <si>
    <t>UBEBP005</t>
  </si>
  <si>
    <t>UBEBP006</t>
  </si>
  <si>
    <t>UBEBP007</t>
  </si>
  <si>
    <t>UBEBP008</t>
  </si>
  <si>
    <t>UBEBP009</t>
  </si>
  <si>
    <t>AMEP001</t>
  </si>
  <si>
    <t>AMEP002</t>
  </si>
  <si>
    <t>AMEP004</t>
  </si>
  <si>
    <t>AMEP003</t>
  </si>
  <si>
    <t>STEBP0011</t>
  </si>
  <si>
    <t>STEBP0012</t>
  </si>
  <si>
    <t>STEBP0013</t>
  </si>
  <si>
    <t>YBUP003</t>
  </si>
  <si>
    <t>Construction of Sports Complex</t>
  </si>
  <si>
    <t>HUKP009</t>
  </si>
  <si>
    <t>HUKP010</t>
  </si>
  <si>
    <t>Construction of Offices for the Faculty of Medicine</t>
  </si>
  <si>
    <t>Construction of Lecture Theatre for the Faculty of Medicine</t>
  </si>
  <si>
    <t>Construction of Offices for the Faculty of Agric</t>
  </si>
  <si>
    <t>Faculty of Agric Wide Requirement</t>
  </si>
  <si>
    <t>Health System Development Project WHO</t>
  </si>
  <si>
    <t>CHAI (Clinton Health Access Initiative)</t>
  </si>
  <si>
    <t>MOHP040</t>
  </si>
  <si>
    <t>HSMBP006</t>
  </si>
  <si>
    <t>HSMBP007</t>
  </si>
  <si>
    <t>PHCP018</t>
  </si>
  <si>
    <t>PHCP019</t>
  </si>
  <si>
    <t>PHCP020</t>
  </si>
  <si>
    <t>PHCP021</t>
  </si>
  <si>
    <t>PHCP022</t>
  </si>
  <si>
    <t>CHSP030</t>
  </si>
  <si>
    <t>CHSP031</t>
  </si>
  <si>
    <t>Provision of Drainages at Machika,Sabuwar Unguwa Musawa,  Dungun Muazu, Sabuwa  &amp; Kira (River Lado)</t>
  </si>
  <si>
    <t>MENVP001</t>
  </si>
  <si>
    <t>MENVP002</t>
  </si>
  <si>
    <t>MENVP003</t>
  </si>
  <si>
    <t>MENVP004</t>
  </si>
  <si>
    <t>MENVP005</t>
  </si>
  <si>
    <t>MENVP006</t>
  </si>
  <si>
    <t>MENVP007</t>
  </si>
  <si>
    <t>MENVP008</t>
  </si>
  <si>
    <t>MENVP009</t>
  </si>
  <si>
    <t>MENVP010</t>
  </si>
  <si>
    <t>MENVP011</t>
  </si>
  <si>
    <t>Costruction of Kofar Kaura &amp; Kofar Kwaya Underpass</t>
  </si>
  <si>
    <t>SALES OF FORMS - TERTIARY INSTITUTIONS @ N10,000.00</t>
  </si>
  <si>
    <t>FINANCIAL CONSULTING &amp; ECONOMIC SURVEY</t>
  </si>
  <si>
    <t>052100200100 - CONTRIBUTORY HEALTH CARE MANAGEMENT AGENCY</t>
  </si>
  <si>
    <t>Construction of Medical Lab. Science Laboratory at SHT Kankia</t>
  </si>
  <si>
    <t>Construction/Rehabilitation of Toilets at the 2No. Schools</t>
  </si>
  <si>
    <t>CHSP041</t>
  </si>
  <si>
    <t>CHSP042</t>
  </si>
  <si>
    <t>2021 TOP CAPITAL ALLOCATION SECTORS</t>
  </si>
  <si>
    <t>WORKS &amp; HOUSING &amp; TRANSPORT</t>
  </si>
  <si>
    <r>
      <t>Estab/Add Class/Rehab of Existing Class at Tsangaya  (MODEL QURANIC SCHOOLS) 8No LGAs (</t>
    </r>
    <r>
      <rPr>
        <b/>
        <sz val="14"/>
        <rFont val="Times New Roman"/>
        <family val="1"/>
      </rPr>
      <t>IEB)</t>
    </r>
  </si>
  <si>
    <r>
      <t xml:space="preserve">Katsina State Rural Infrastructure and Economic Revitalization Programm (KARIER) </t>
    </r>
    <r>
      <rPr>
        <b/>
        <sz val="14"/>
        <rFont val="Times New Roman"/>
        <family val="1"/>
      </rPr>
      <t>(IR)</t>
    </r>
  </si>
  <si>
    <t>MINISTRY OF AGRICULTURE AND NATURAL RESOURCES - 021500100100</t>
  </si>
  <si>
    <t>GENERAL AGRIC DEPARTMENT - 021500100100</t>
  </si>
  <si>
    <t xml:space="preserve">2020 APPROVED ESTIMATES </t>
  </si>
  <si>
    <t xml:space="preserve">EXPENSES FROM SELF-SUSTAIN IGR </t>
  </si>
  <si>
    <t xml:space="preserve">RUNNING COSTS FOR COS, PPS, SSA, &amp; SA  </t>
  </si>
  <si>
    <t>NEWSPAPERS (MEDIA &amp; PUBLICITY)</t>
  </si>
  <si>
    <t>STATUTORY CONTRIBUTION/DEDUCTION</t>
  </si>
  <si>
    <t>MAINTENANCE OF FIRE FIGHTING/SECURITY MATERIALS</t>
  </si>
  <si>
    <t>TOTAL FOR  DEPT. OF RURAL &amp; S.U. WATER SUUPLY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</si>
</sst>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.00_-;\-* #,##0.00_-;_-* &quot;-&quot;??_-;_-@_-"/>
    <numFmt numFmtId="166" formatCode="_(* #,##0_);_(* \(#,##0\);_(* \-??_);_(@_)"/>
    <numFmt numFmtId="167" formatCode="#,##0.00;[Red]#,##0.00"/>
  </numFmts>
  <fonts count="124" x14ac:knownFonts="1">
    <font>
      <sz val="10"/>
      <name val="Arial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  <font>
      <b/>
      <sz val="18"/>
      <color theme="3"/>
      <name val="Trebuchet MS"/>
      <family val="2"/>
      <scheme val="major"/>
    </font>
    <font>
      <b/>
      <sz val="11"/>
      <color theme="3"/>
      <name val="Trebuchet MS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7"/>
      <name val="Times New Roman"/>
      <family val="1"/>
    </font>
    <font>
      <b/>
      <sz val="36"/>
      <color rgb="FF000000"/>
      <name val="Trebuchet MS"/>
      <family val="2"/>
      <scheme val="minor"/>
    </font>
    <font>
      <b/>
      <sz val="24"/>
      <color theme="1"/>
      <name val="Times New Roman"/>
      <family val="1"/>
    </font>
    <font>
      <sz val="24"/>
      <name val="Times New Roman"/>
      <family val="1"/>
    </font>
    <font>
      <b/>
      <sz val="28"/>
      <name val="Times New Roman"/>
      <family val="1"/>
    </font>
    <font>
      <sz val="24"/>
      <color theme="1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u/>
      <sz val="24"/>
      <name val="Times New Roman"/>
      <family val="1"/>
    </font>
    <font>
      <u val="singleAccounting"/>
      <sz val="24"/>
      <name val="Times New Roman"/>
      <family val="1"/>
    </font>
    <font>
      <u val="singleAccounting"/>
      <sz val="22"/>
      <name val="Times New Roman"/>
      <family val="1"/>
    </font>
    <font>
      <b/>
      <sz val="26"/>
      <color rgb="FF00B050"/>
      <name val="Berlin Sans FB Demi"/>
      <family val="2"/>
    </font>
    <font>
      <sz val="26"/>
      <color rgb="FF00B050"/>
      <name val="Arial"/>
      <family val="2"/>
    </font>
    <font>
      <sz val="18"/>
      <color theme="3"/>
      <name val="Trebuchet MS"/>
      <family val="2"/>
      <scheme val="major"/>
    </font>
    <font>
      <sz val="11"/>
      <color theme="1"/>
      <name val="Trebuchet MS"/>
      <family val="2"/>
      <scheme val="minor"/>
    </font>
    <font>
      <b/>
      <sz val="11"/>
      <color rgb="FF44546A"/>
      <name val="Calibri"/>
      <family val="2"/>
      <charset val="1"/>
    </font>
    <font>
      <sz val="24"/>
      <color indexed="8"/>
      <name val="Times New Roman"/>
      <family val="1"/>
    </font>
    <font>
      <b/>
      <u/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b/>
      <sz val="48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b/>
      <sz val="26"/>
      <name val="Times New Roman"/>
      <family val="1"/>
    </font>
    <font>
      <sz val="10"/>
      <color rgb="FF00B050"/>
      <name val="Arial"/>
      <family val="2"/>
    </font>
    <font>
      <sz val="18"/>
      <color theme="1"/>
      <name val="Times New Roman"/>
      <family val="1"/>
    </font>
    <font>
      <sz val="10"/>
      <color theme="5" tint="-0.499984740745262"/>
      <name val="Arial"/>
      <family val="2"/>
    </font>
    <font>
      <i/>
      <sz val="10"/>
      <color theme="5" tint="-0.499984740745262"/>
      <name val="Arial"/>
      <family val="2"/>
    </font>
    <font>
      <b/>
      <i/>
      <sz val="36"/>
      <color theme="5" tint="-0.499984740745262"/>
      <name val="Trebuchet MS"/>
      <family val="2"/>
      <scheme val="minor"/>
    </font>
    <font>
      <b/>
      <sz val="16"/>
      <color rgb="FF00B050"/>
      <name val="Times New Roman"/>
      <family val="1"/>
    </font>
    <font>
      <b/>
      <sz val="16"/>
      <color rgb="FF0070C0"/>
      <name val="Times New Roman"/>
      <family val="1"/>
    </font>
    <font>
      <b/>
      <sz val="16"/>
      <color rgb="FF002060"/>
      <name val="Times New Roman"/>
      <family val="1"/>
    </font>
    <font>
      <sz val="16"/>
      <color rgb="FF002060"/>
      <name val="Times New Roman"/>
      <family val="1"/>
    </font>
    <font>
      <b/>
      <sz val="24"/>
      <color rgb="FF00B050"/>
      <name val="Times New Roman"/>
      <family val="1"/>
    </font>
    <font>
      <b/>
      <sz val="24"/>
      <color rgb="FFC00000"/>
      <name val="Times New Roman"/>
      <family val="1"/>
    </font>
    <font>
      <sz val="10"/>
      <color rgb="FF002060"/>
      <name val="Arial"/>
      <family val="2"/>
    </font>
    <font>
      <b/>
      <sz val="20"/>
      <color rgb="FF002060"/>
      <name val="Trebuchet MS"/>
      <family val="2"/>
      <scheme val="minor"/>
    </font>
    <font>
      <b/>
      <sz val="18"/>
      <color rgb="FF002060"/>
      <name val="Trebuchet MS"/>
      <family val="2"/>
      <scheme val="minor"/>
    </font>
    <font>
      <b/>
      <sz val="36"/>
      <color rgb="FF002060"/>
      <name val="Algerian"/>
      <family val="5"/>
    </font>
    <font>
      <b/>
      <u val="singleAccounting"/>
      <sz val="12"/>
      <name val="Times New Roman"/>
      <family val="1"/>
    </font>
    <font>
      <i/>
      <sz val="24"/>
      <name val="Times New Roman"/>
      <family val="1"/>
    </font>
    <font>
      <b/>
      <i/>
      <sz val="24"/>
      <name val="Times New Roman"/>
      <family val="1"/>
    </font>
    <font>
      <i/>
      <sz val="18"/>
      <name val="Times New Roman"/>
      <family val="1"/>
    </font>
    <font>
      <i/>
      <sz val="22"/>
      <name val="Times New Roman"/>
      <family val="1"/>
    </font>
    <font>
      <sz val="22"/>
      <name val="Times New Roman"/>
      <family val="1"/>
    </font>
    <font>
      <u val="singleAccounting"/>
      <sz val="22"/>
      <color indexed="8"/>
      <name val="Times New Roman"/>
      <family val="1"/>
    </font>
    <font>
      <b/>
      <sz val="16"/>
      <color theme="1"/>
      <name val="Times New Roman"/>
      <family val="1"/>
    </font>
    <font>
      <sz val="22"/>
      <color theme="1"/>
      <name val="Times New Roman"/>
      <family val="1"/>
    </font>
    <font>
      <sz val="16"/>
      <color rgb="FF00B050"/>
      <name val="Times New Roman"/>
      <family val="1"/>
    </font>
    <font>
      <sz val="18"/>
      <name val="Calibri"/>
      <family val="2"/>
    </font>
    <font>
      <b/>
      <sz val="18"/>
      <name val="Calibri"/>
      <family val="2"/>
    </font>
    <font>
      <sz val="16"/>
      <color rgb="FF0070C0"/>
      <name val="Times New Roman"/>
      <family val="1"/>
    </font>
    <font>
      <sz val="15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5"/>
      <color theme="1"/>
      <name val="Times New Roman"/>
      <family val="1"/>
    </font>
    <font>
      <sz val="14.5"/>
      <color theme="1"/>
      <name val="Times New Roman"/>
      <family val="1"/>
    </font>
    <font>
      <b/>
      <sz val="14.5"/>
      <color theme="1"/>
      <name val="Times New Roman"/>
      <family val="1"/>
    </font>
    <font>
      <sz val="16"/>
      <color theme="1"/>
      <name val="Arial"/>
      <family val="2"/>
    </font>
    <font>
      <b/>
      <sz val="12"/>
      <color theme="1"/>
      <name val="Trebuchet MS"/>
      <family val="2"/>
      <scheme val="minor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.5"/>
      <color theme="1"/>
      <name val="Times New Roman"/>
      <family val="1"/>
    </font>
    <font>
      <sz val="13.5"/>
      <color theme="1"/>
      <name val="Times New Roman"/>
      <family val="1"/>
    </font>
    <font>
      <b/>
      <sz val="12.5"/>
      <color theme="1"/>
      <name val="Times New Roman"/>
      <family val="1"/>
    </font>
    <font>
      <sz val="12.5"/>
      <color theme="1"/>
      <name val="Times New Roman"/>
      <family val="1"/>
    </font>
    <font>
      <sz val="18"/>
      <name val="Arial"/>
      <family val="2"/>
    </font>
    <font>
      <sz val="16"/>
      <name val="Arial"/>
      <family val="2"/>
    </font>
    <font>
      <sz val="16"/>
      <name val="Trebuchet MS"/>
      <family val="2"/>
      <scheme val="minor"/>
    </font>
    <font>
      <sz val="14"/>
      <name val="Arial"/>
      <family val="2"/>
    </font>
    <font>
      <b/>
      <sz val="12.5"/>
      <name val="Times New Roman"/>
      <family val="1"/>
    </font>
    <font>
      <sz val="12.5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sz val="8"/>
      <name val="Times New Roman"/>
      <family val="1"/>
    </font>
    <font>
      <sz val="13.5"/>
      <name val="Arial"/>
      <family val="2"/>
    </font>
    <font>
      <sz val="13.5"/>
      <name val="Trebuchet MS"/>
      <family val="2"/>
      <scheme val="minor"/>
    </font>
    <font>
      <sz val="11"/>
      <name val="Trebuchet MS"/>
      <family val="2"/>
      <scheme val="minor"/>
    </font>
    <font>
      <b/>
      <sz val="15"/>
      <name val="Times New Roman"/>
      <family val="1"/>
      <charset val="1"/>
    </font>
    <font>
      <sz val="15"/>
      <name val="Calibri"/>
      <family val="2"/>
      <charset val="1"/>
    </font>
    <font>
      <sz val="15"/>
      <name val="Times New Roman"/>
      <family val="1"/>
      <charset val="1"/>
    </font>
    <font>
      <b/>
      <sz val="13.5"/>
      <name val="Trebuchet MS"/>
      <family val="2"/>
      <scheme val="minor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Arial"/>
      <family val="2"/>
    </font>
    <font>
      <b/>
      <u val="doubleAccounting"/>
      <sz val="14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sz val="17"/>
      <name val="Times New Roman"/>
      <family val="1"/>
    </font>
    <font>
      <b/>
      <i/>
      <sz val="15"/>
      <name val="Times New Roman"/>
      <family val="1"/>
    </font>
    <font>
      <b/>
      <sz val="14.5"/>
      <name val="Times New Roman"/>
      <family val="1"/>
    </font>
    <font>
      <sz val="14.5"/>
      <name val="Arial"/>
      <family val="2"/>
    </font>
    <font>
      <sz val="14.5"/>
      <name val="Times New Roman"/>
      <family val="1"/>
    </font>
  </fonts>
  <fills count="20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5117038483843"/>
        <bgColor indexed="64"/>
      </patternFill>
    </fill>
  </fills>
  <borders count="8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/>
      <top style="thin">
        <color theme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9">
    <xf numFmtId="0" fontId="0" fillId="0" borderId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43" fontId="7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9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14" borderId="0" applyNumberFormat="0" applyBorder="0" applyAlignment="0" applyProtection="0"/>
    <xf numFmtId="0" fontId="12" fillId="15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43" fillId="0" borderId="0"/>
    <xf numFmtId="0" fontId="4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4" fillId="0" borderId="0" applyBorder="0" applyProtection="0"/>
    <xf numFmtId="0" fontId="2" fillId="0" borderId="0"/>
    <xf numFmtId="0" fontId="2" fillId="2" borderId="0" applyNumberFormat="0" applyBorder="0" applyAlignment="0" applyProtection="0"/>
    <xf numFmtId="0" fontId="7" fillId="0" borderId="0"/>
    <xf numFmtId="43" fontId="2" fillId="0" borderId="0" applyFont="0" applyFill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0" borderId="0"/>
  </cellStyleXfs>
  <cellXfs count="3570">
    <xf numFmtId="0" fontId="0" fillId="0" borderId="0" xfId="0"/>
    <xf numFmtId="0" fontId="20" fillId="0" borderId="0" xfId="0" applyFont="1" applyProtection="1">
      <protection locked="0" hidden="1"/>
    </xf>
    <xf numFmtId="0" fontId="20" fillId="0" borderId="0" xfId="0" applyFont="1" applyAlignment="1" applyProtection="1">
      <alignment horizontal="center"/>
      <protection locked="0" hidden="1"/>
    </xf>
    <xf numFmtId="0" fontId="20" fillId="16" borderId="0" xfId="0" applyFont="1" applyFill="1" applyBorder="1" applyProtection="1">
      <protection locked="0" hidden="1"/>
    </xf>
    <xf numFmtId="0" fontId="19" fillId="0" borderId="0" xfId="0" applyFont="1" applyProtection="1">
      <protection locked="0" hidden="1"/>
    </xf>
    <xf numFmtId="0" fontId="17" fillId="16" borderId="0" xfId="0" applyFont="1" applyFill="1" applyProtection="1">
      <protection locked="0" hidden="1"/>
    </xf>
    <xf numFmtId="0" fontId="15" fillId="16" borderId="1" xfId="0" applyFont="1" applyFill="1" applyBorder="1" applyAlignment="1" applyProtection="1">
      <alignment horizontal="center"/>
      <protection locked="0"/>
    </xf>
    <xf numFmtId="0" fontId="15" fillId="16" borderId="2" xfId="0" applyFont="1" applyFill="1" applyBorder="1" applyAlignment="1" applyProtection="1">
      <alignment horizontal="center"/>
      <protection locked="0"/>
    </xf>
    <xf numFmtId="0" fontId="20" fillId="16" borderId="0" xfId="0" applyFont="1" applyFill="1" applyProtection="1">
      <protection locked="0" hidden="1"/>
    </xf>
    <xf numFmtId="0" fontId="19" fillId="16" borderId="13" xfId="7" applyFont="1" applyFill="1" applyBorder="1" applyAlignment="1" applyProtection="1">
      <alignment horizontal="center" vertical="top" wrapText="1"/>
      <protection locked="0" hidden="1"/>
    </xf>
    <xf numFmtId="0" fontId="27" fillId="16" borderId="0" xfId="0" applyFont="1" applyFill="1" applyBorder="1" applyProtection="1">
      <protection locked="0" hidden="1"/>
    </xf>
    <xf numFmtId="0" fontId="28" fillId="16" borderId="0" xfId="0" applyFont="1" applyFill="1" applyBorder="1" applyProtection="1">
      <protection locked="0" hidden="1"/>
    </xf>
    <xf numFmtId="0" fontId="19" fillId="16" borderId="0" xfId="0" applyFont="1" applyFill="1" applyBorder="1" applyProtection="1">
      <protection locked="0" hidden="1"/>
    </xf>
    <xf numFmtId="0" fontId="29" fillId="16" borderId="0" xfId="0" applyFont="1" applyFill="1" applyBorder="1" applyProtection="1">
      <protection locked="0" hidden="1"/>
    </xf>
    <xf numFmtId="3" fontId="15" fillId="16" borderId="35" xfId="0" applyNumberFormat="1" applyFont="1" applyFill="1" applyBorder="1" applyAlignment="1">
      <alignment horizontal="right" vertical="center" wrapText="1"/>
    </xf>
    <xf numFmtId="0" fontId="19" fillId="16" borderId="0" xfId="7" applyFont="1" applyFill="1" applyBorder="1" applyAlignment="1" applyProtection="1">
      <alignment vertical="top" wrapText="1"/>
      <protection locked="0" hidden="1"/>
    </xf>
    <xf numFmtId="0" fontId="28" fillId="16" borderId="7" xfId="0" applyFont="1" applyFill="1" applyBorder="1" applyAlignment="1" applyProtection="1">
      <alignment vertical="center" wrapText="1"/>
      <protection locked="0" hidden="1"/>
    </xf>
    <xf numFmtId="0" fontId="27" fillId="16" borderId="1" xfId="0" applyFont="1" applyFill="1" applyBorder="1" applyAlignment="1" applyProtection="1">
      <alignment vertical="center" wrapText="1"/>
      <protection locked="0" hidden="1"/>
    </xf>
    <xf numFmtId="0" fontId="27" fillId="16" borderId="1" xfId="0" applyFont="1" applyFill="1" applyBorder="1" applyAlignment="1" applyProtection="1">
      <alignment vertical="center"/>
      <protection locked="0" hidden="1"/>
    </xf>
    <xf numFmtId="0" fontId="27" fillId="16" borderId="1" xfId="0" applyFont="1" applyFill="1" applyBorder="1" applyAlignment="1" applyProtection="1">
      <alignment horizontal="left" vertical="center" wrapText="1"/>
      <protection locked="0" hidden="1"/>
    </xf>
    <xf numFmtId="49" fontId="27" fillId="16" borderId="24" xfId="0" quotePrefix="1" applyNumberFormat="1" applyFont="1" applyFill="1" applyBorder="1" applyAlignment="1" applyProtection="1">
      <alignment horizontal="center" vertical="center"/>
      <protection locked="0" hidden="1"/>
    </xf>
    <xf numFmtId="0" fontId="28" fillId="16" borderId="8" xfId="0" applyFont="1" applyFill="1" applyBorder="1" applyAlignment="1" applyProtection="1">
      <alignment vertical="center" wrapText="1"/>
      <protection locked="0" hidden="1"/>
    </xf>
    <xf numFmtId="0" fontId="27" fillId="16" borderId="24" xfId="0" applyFont="1" applyFill="1" applyBorder="1" applyAlignment="1" applyProtection="1">
      <alignment vertical="center" wrapText="1"/>
      <protection locked="0" hidden="1"/>
    </xf>
    <xf numFmtId="0" fontId="27" fillId="16" borderId="2" xfId="0" applyFont="1" applyFill="1" applyBorder="1" applyAlignment="1" applyProtection="1">
      <alignment vertical="center" wrapText="1"/>
      <protection locked="0" hidden="1"/>
    </xf>
    <xf numFmtId="0" fontId="28" fillId="16" borderId="11" xfId="0" applyFont="1" applyFill="1" applyBorder="1" applyAlignment="1" applyProtection="1">
      <alignment vertical="center" wrapText="1"/>
      <protection locked="0" hidden="1"/>
    </xf>
    <xf numFmtId="0" fontId="28" fillId="16" borderId="11" xfId="0" applyFont="1" applyFill="1" applyBorder="1" applyAlignment="1" applyProtection="1">
      <alignment horizontal="center" vertical="center" wrapText="1"/>
      <protection locked="0" hidden="1"/>
    </xf>
    <xf numFmtId="0" fontId="16" fillId="16" borderId="0" xfId="0" applyFont="1" applyFill="1" applyProtection="1">
      <protection locked="0"/>
    </xf>
    <xf numFmtId="0" fontId="15" fillId="16" borderId="0" xfId="0" applyFont="1" applyFill="1" applyProtection="1">
      <protection locked="0"/>
    </xf>
    <xf numFmtId="0" fontId="15" fillId="16" borderId="2" xfId="0" applyFont="1" applyFill="1" applyBorder="1" applyProtection="1">
      <protection locked="0"/>
    </xf>
    <xf numFmtId="3" fontId="15" fillId="16" borderId="2" xfId="0" applyNumberFormat="1" applyFont="1" applyFill="1" applyBorder="1" applyProtection="1">
      <protection locked="0"/>
    </xf>
    <xf numFmtId="1" fontId="16" fillId="16" borderId="1" xfId="0" applyNumberFormat="1" applyFont="1" applyFill="1" applyBorder="1" applyAlignment="1" applyProtection="1">
      <alignment horizontal="center"/>
      <protection locked="0"/>
    </xf>
    <xf numFmtId="0" fontId="16" fillId="16" borderId="1" xfId="0" applyFont="1" applyFill="1" applyBorder="1" applyAlignment="1" applyProtection="1">
      <alignment vertical="top" wrapText="1"/>
      <protection locked="0"/>
    </xf>
    <xf numFmtId="4" fontId="15" fillId="16" borderId="1" xfId="0" applyNumberFormat="1" applyFont="1" applyFill="1" applyBorder="1" applyProtection="1">
      <protection locked="0"/>
    </xf>
    <xf numFmtId="1" fontId="15" fillId="16" borderId="1" xfId="0" applyNumberFormat="1" applyFont="1" applyFill="1" applyBorder="1" applyAlignment="1" applyProtection="1">
      <alignment horizontal="center"/>
      <protection locked="0"/>
    </xf>
    <xf numFmtId="0" fontId="15" fillId="16" borderId="1" xfId="0" applyFont="1" applyFill="1" applyBorder="1" applyAlignment="1" applyProtection="1">
      <alignment vertical="top" wrapText="1"/>
      <protection locked="0"/>
    </xf>
    <xf numFmtId="3" fontId="15" fillId="16" borderId="1" xfId="0" applyNumberFormat="1" applyFont="1" applyFill="1" applyBorder="1" applyProtection="1">
      <protection locked="0"/>
    </xf>
    <xf numFmtId="0" fontId="15" fillId="16" borderId="1" xfId="0" applyFont="1" applyFill="1" applyBorder="1" applyProtection="1">
      <protection locked="0"/>
    </xf>
    <xf numFmtId="164" fontId="15" fillId="16" borderId="1" xfId="12" applyNumberFormat="1" applyFont="1" applyFill="1" applyBorder="1" applyProtection="1">
      <protection locked="0"/>
    </xf>
    <xf numFmtId="0" fontId="15" fillId="16" borderId="0" xfId="0" applyFont="1" applyFill="1" applyAlignment="1" applyProtection="1">
      <alignment vertical="center"/>
      <protection locked="0"/>
    </xf>
    <xf numFmtId="0" fontId="15" fillId="16" borderId="2" xfId="0" applyFont="1" applyFill="1" applyBorder="1" applyAlignment="1" applyProtection="1">
      <alignment vertical="center"/>
      <protection locked="0"/>
    </xf>
    <xf numFmtId="0" fontId="15" fillId="16" borderId="2" xfId="0" applyFont="1" applyFill="1" applyBorder="1" applyAlignment="1" applyProtection="1">
      <alignment horizontal="center" vertical="center"/>
      <protection locked="0"/>
    </xf>
    <xf numFmtId="3" fontId="15" fillId="16" borderId="2" xfId="0" applyNumberFormat="1" applyFont="1" applyFill="1" applyBorder="1" applyAlignment="1" applyProtection="1">
      <alignment vertical="center"/>
      <protection locked="0"/>
    </xf>
    <xf numFmtId="1" fontId="16" fillId="16" borderId="1" xfId="0" applyNumberFormat="1" applyFont="1" applyFill="1" applyBorder="1" applyAlignment="1" applyProtection="1">
      <alignment horizontal="center" vertical="center"/>
      <protection locked="0"/>
    </xf>
    <xf numFmtId="0" fontId="16" fillId="16" borderId="1" xfId="0" applyFont="1" applyFill="1" applyBorder="1" applyAlignment="1" applyProtection="1">
      <alignment vertical="center" wrapText="1"/>
      <protection locked="0"/>
    </xf>
    <xf numFmtId="4" fontId="15" fillId="16" borderId="1" xfId="0" applyNumberFormat="1" applyFont="1" applyFill="1" applyBorder="1" applyAlignment="1" applyProtection="1">
      <alignment vertical="center"/>
      <protection locked="0"/>
    </xf>
    <xf numFmtId="1" fontId="15" fillId="16" borderId="1" xfId="0" applyNumberFormat="1" applyFont="1" applyFill="1" applyBorder="1" applyAlignment="1" applyProtection="1">
      <alignment horizontal="center" vertical="center"/>
      <protection locked="0"/>
    </xf>
    <xf numFmtId="0" fontId="15" fillId="16" borderId="1" xfId="0" applyFont="1" applyFill="1" applyBorder="1" applyAlignment="1" applyProtection="1">
      <alignment vertical="center" wrapText="1"/>
      <protection locked="0"/>
    </xf>
    <xf numFmtId="3" fontId="15" fillId="16" borderId="1" xfId="0" applyNumberFormat="1" applyFont="1" applyFill="1" applyBorder="1" applyAlignment="1" applyProtection="1">
      <alignment vertical="center"/>
      <protection locked="0"/>
    </xf>
    <xf numFmtId="0" fontId="15" fillId="16" borderId="1" xfId="0" applyFont="1" applyFill="1" applyBorder="1" applyAlignment="1" applyProtection="1">
      <alignment vertical="center"/>
      <protection locked="0"/>
    </xf>
    <xf numFmtId="164" fontId="15" fillId="16" borderId="1" xfId="12" applyNumberFormat="1" applyFont="1" applyFill="1" applyBorder="1" applyAlignment="1" applyProtection="1">
      <alignment vertical="center"/>
      <protection locked="0"/>
    </xf>
    <xf numFmtId="164" fontId="16" fillId="16" borderId="1" xfId="12" applyNumberFormat="1" applyFont="1" applyFill="1" applyBorder="1" applyAlignment="1" applyProtection="1">
      <alignment vertical="center"/>
      <protection locked="0"/>
    </xf>
    <xf numFmtId="0" fontId="16" fillId="16" borderId="0" xfId="0" applyFont="1" applyFill="1" applyAlignment="1" applyProtection="1">
      <alignment vertical="center"/>
      <protection locked="0"/>
    </xf>
    <xf numFmtId="0" fontId="15" fillId="16" borderId="1" xfId="0" applyFont="1" applyFill="1" applyBorder="1" applyAlignment="1" applyProtection="1">
      <alignment horizontal="center" vertical="center"/>
      <protection locked="0"/>
    </xf>
    <xf numFmtId="1" fontId="15" fillId="16" borderId="19" xfId="0" applyNumberFormat="1" applyFont="1" applyFill="1" applyBorder="1" applyAlignment="1" applyProtection="1">
      <alignment horizontal="center"/>
      <protection locked="0"/>
    </xf>
    <xf numFmtId="0" fontId="15" fillId="16" borderId="0" xfId="0" applyFont="1" applyFill="1" applyBorder="1" applyAlignment="1" applyProtection="1">
      <alignment vertical="top" wrapText="1"/>
      <protection locked="0"/>
    </xf>
    <xf numFmtId="164" fontId="15" fillId="16" borderId="3" xfId="12" applyNumberFormat="1" applyFont="1" applyFill="1" applyBorder="1" applyProtection="1">
      <protection locked="0"/>
    </xf>
    <xf numFmtId="0" fontId="30" fillId="0" borderId="0" xfId="0" applyFont="1" applyAlignment="1">
      <alignment horizontal="center" vertical="center"/>
    </xf>
    <xf numFmtId="164" fontId="20" fillId="16" borderId="0" xfId="12" applyNumberFormat="1" applyFont="1" applyFill="1" applyProtection="1">
      <protection locked="0" hidden="1"/>
    </xf>
    <xf numFmtId="49" fontId="27" fillId="16" borderId="1" xfId="0" quotePrefix="1" applyNumberFormat="1" applyFont="1" applyFill="1" applyBorder="1" applyAlignment="1" applyProtection="1">
      <alignment horizontal="center" vertical="center"/>
      <protection locked="0" hidden="1"/>
    </xf>
    <xf numFmtId="0" fontId="28" fillId="16" borderId="0" xfId="0" applyFont="1" applyFill="1" applyAlignment="1" applyProtection="1">
      <protection hidden="1"/>
    </xf>
    <xf numFmtId="0" fontId="27" fillId="16" borderId="0" xfId="0" applyFont="1" applyFill="1" applyProtection="1">
      <protection hidden="1"/>
    </xf>
    <xf numFmtId="0" fontId="28" fillId="16" borderId="0" xfId="0" applyFont="1" applyFill="1" applyBorder="1" applyAlignment="1" applyProtection="1">
      <protection hidden="1"/>
    </xf>
    <xf numFmtId="164" fontId="28" fillId="16" borderId="24" xfId="12" quotePrefix="1" applyNumberFormat="1" applyFont="1" applyFill="1" applyBorder="1" applyAlignment="1" applyProtection="1">
      <alignment horizontal="center" vertical="center" wrapText="1"/>
      <protection hidden="1"/>
    </xf>
    <xf numFmtId="43" fontId="28" fillId="16" borderId="51" xfId="12" quotePrefix="1" applyFont="1" applyFill="1" applyBorder="1" applyAlignment="1" applyProtection="1">
      <alignment horizontal="center" vertical="center" wrapText="1"/>
      <protection hidden="1"/>
    </xf>
    <xf numFmtId="0" fontId="28" fillId="16" borderId="0" xfId="0" applyFont="1" applyFill="1" applyAlignment="1" applyProtection="1">
      <alignment horizontal="center"/>
      <protection hidden="1"/>
    </xf>
    <xf numFmtId="164" fontId="28" fillId="16" borderId="2" xfId="12" quotePrefix="1" applyNumberFormat="1" applyFont="1" applyFill="1" applyBorder="1" applyAlignment="1" applyProtection="1">
      <alignment horizontal="center" vertical="center" wrapText="1"/>
      <protection hidden="1"/>
    </xf>
    <xf numFmtId="43" fontId="28" fillId="16" borderId="38" xfId="12" quotePrefix="1" applyFont="1" applyFill="1" applyBorder="1" applyAlignment="1" applyProtection="1">
      <alignment horizontal="center" vertical="center" wrapText="1"/>
      <protection hidden="1"/>
    </xf>
    <xf numFmtId="0" fontId="28" fillId="16" borderId="2" xfId="9" applyFont="1" applyFill="1" applyBorder="1" applyAlignment="1" applyProtection="1">
      <alignment horizontal="center" vertical="center" wrapText="1"/>
      <protection hidden="1"/>
    </xf>
    <xf numFmtId="0" fontId="28" fillId="16" borderId="1" xfId="10" quotePrefix="1" applyFont="1" applyFill="1" applyBorder="1" applyAlignment="1" applyProtection="1">
      <alignment horizontal="center"/>
      <protection hidden="1"/>
    </xf>
    <xf numFmtId="0" fontId="28" fillId="16" borderId="1" xfId="10" applyFont="1" applyFill="1" applyBorder="1" applyAlignment="1" applyProtection="1">
      <alignment horizontal="left"/>
      <protection hidden="1"/>
    </xf>
    <xf numFmtId="0" fontId="28" fillId="16" borderId="1" xfId="0" applyFont="1" applyFill="1" applyBorder="1" applyAlignment="1" applyProtection="1">
      <alignment horizontal="center"/>
      <protection hidden="1"/>
    </xf>
    <xf numFmtId="0" fontId="28" fillId="16" borderId="1" xfId="10" applyFont="1" applyFill="1" applyBorder="1" applyAlignment="1" applyProtection="1">
      <alignment horizontal="center"/>
      <protection hidden="1"/>
    </xf>
    <xf numFmtId="0" fontId="28" fillId="16" borderId="0" xfId="0" applyFont="1" applyFill="1" applyProtection="1">
      <protection hidden="1"/>
    </xf>
    <xf numFmtId="0" fontId="28" fillId="16" borderId="1" xfId="2" quotePrefix="1" applyFont="1" applyFill="1" applyBorder="1" applyAlignment="1" applyProtection="1">
      <alignment horizontal="center"/>
      <protection hidden="1"/>
    </xf>
    <xf numFmtId="0" fontId="28" fillId="16" borderId="32" xfId="2" applyFont="1" applyFill="1" applyBorder="1" applyAlignment="1" applyProtection="1">
      <alignment horizontal="left"/>
      <protection hidden="1"/>
    </xf>
    <xf numFmtId="0" fontId="28" fillId="16" borderId="1" xfId="2" applyFont="1" applyFill="1" applyBorder="1" applyAlignment="1" applyProtection="1">
      <alignment horizontal="center"/>
      <protection hidden="1"/>
    </xf>
    <xf numFmtId="0" fontId="28" fillId="16" borderId="32" xfId="0" applyFont="1" applyFill="1" applyBorder="1" applyAlignment="1" applyProtection="1">
      <alignment horizontal="center"/>
      <protection hidden="1"/>
    </xf>
    <xf numFmtId="0" fontId="28" fillId="16" borderId="1" xfId="3" quotePrefix="1" applyFont="1" applyFill="1" applyBorder="1" applyAlignment="1" applyProtection="1">
      <alignment horizontal="center"/>
      <protection hidden="1"/>
    </xf>
    <xf numFmtId="0" fontId="28" fillId="16" borderId="1" xfId="3" applyFont="1" applyFill="1" applyBorder="1" applyAlignment="1" applyProtection="1">
      <alignment horizontal="center"/>
      <protection hidden="1"/>
    </xf>
    <xf numFmtId="0" fontId="28" fillId="16" borderId="32" xfId="3" applyFont="1" applyFill="1" applyBorder="1" applyAlignment="1" applyProtection="1">
      <alignment horizontal="center"/>
      <protection hidden="1"/>
    </xf>
    <xf numFmtId="0" fontId="28" fillId="16" borderId="1" xfId="4" applyFont="1" applyFill="1" applyBorder="1" applyAlignment="1" applyProtection="1">
      <alignment horizontal="center" vertical="center"/>
      <protection hidden="1"/>
    </xf>
    <xf numFmtId="0" fontId="28" fillId="16" borderId="1" xfId="5" applyFont="1" applyFill="1" applyBorder="1" applyAlignment="1" applyProtection="1">
      <alignment horizontal="center" wrapText="1"/>
      <protection hidden="1"/>
    </xf>
    <xf numFmtId="0" fontId="28" fillId="16" borderId="1" xfId="11" applyFont="1" applyFill="1" applyBorder="1" applyAlignment="1" applyProtection="1">
      <alignment horizontal="center"/>
      <protection hidden="1"/>
    </xf>
    <xf numFmtId="164" fontId="25" fillId="16" borderId="24" xfId="12" applyNumberFormat="1" applyFont="1" applyFill="1" applyBorder="1" applyAlignment="1" applyProtection="1">
      <alignment horizontal="center"/>
      <protection hidden="1"/>
    </xf>
    <xf numFmtId="43" fontId="25" fillId="16" borderId="24" xfId="12" applyFont="1" applyFill="1" applyBorder="1" applyAlignment="1" applyProtection="1">
      <alignment horizontal="center"/>
      <protection hidden="1"/>
    </xf>
    <xf numFmtId="164" fontId="25" fillId="16" borderId="2" xfId="10" applyNumberFormat="1" applyFont="1" applyFill="1" applyBorder="1" applyAlignment="1" applyProtection="1">
      <alignment horizontal="center"/>
      <protection hidden="1"/>
    </xf>
    <xf numFmtId="43" fontId="32" fillId="16" borderId="53" xfId="12" applyFont="1" applyFill="1" applyBorder="1" applyAlignment="1" applyProtection="1">
      <alignment horizontal="right"/>
      <protection hidden="1"/>
    </xf>
    <xf numFmtId="43" fontId="32" fillId="16" borderId="39" xfId="12" applyFont="1" applyFill="1" applyBorder="1" applyAlignment="1" applyProtection="1">
      <alignment horizontal="right"/>
      <protection hidden="1"/>
    </xf>
    <xf numFmtId="43" fontId="32" fillId="16" borderId="36" xfId="12" applyFont="1" applyFill="1" applyBorder="1" applyAlignment="1" applyProtection="1">
      <alignment horizontal="right"/>
      <protection hidden="1"/>
    </xf>
    <xf numFmtId="43" fontId="38" fillId="16" borderId="36" xfId="12" applyFont="1" applyFill="1" applyBorder="1" applyAlignment="1" applyProtection="1">
      <alignment horizontal="right"/>
      <protection hidden="1"/>
    </xf>
    <xf numFmtId="43" fontId="25" fillId="16" borderId="36" xfId="12" applyFont="1" applyFill="1" applyBorder="1" applyAlignment="1" applyProtection="1">
      <alignment horizontal="right"/>
      <protection hidden="1"/>
    </xf>
    <xf numFmtId="43" fontId="32" fillId="16" borderId="36" xfId="12" applyFont="1" applyFill="1" applyBorder="1" applyAlignment="1" applyProtection="1">
      <alignment horizontal="right" wrapText="1"/>
      <protection hidden="1"/>
    </xf>
    <xf numFmtId="0" fontId="35" fillId="16" borderId="32" xfId="0" applyFont="1" applyFill="1" applyBorder="1" applyProtection="1">
      <protection hidden="1"/>
    </xf>
    <xf numFmtId="164" fontId="36" fillId="16" borderId="7" xfId="12" applyNumberFormat="1" applyFont="1" applyFill="1" applyBorder="1" applyAlignment="1" applyProtection="1">
      <alignment horizontal="center" vertical="center" wrapText="1"/>
      <protection locked="0" hidden="1"/>
    </xf>
    <xf numFmtId="0" fontId="36" fillId="16" borderId="7" xfId="19" applyFont="1" applyFill="1" applyBorder="1" applyAlignment="1" applyProtection="1">
      <alignment horizontal="center" vertical="center" wrapText="1"/>
      <protection locked="0" hidden="1"/>
    </xf>
    <xf numFmtId="0" fontId="28" fillId="16" borderId="0" xfId="0" applyFont="1" applyFill="1" applyAlignment="1" applyProtection="1">
      <alignment horizontal="center" vertical="center"/>
      <protection locked="0" hidden="1"/>
    </xf>
    <xf numFmtId="0" fontId="24" fillId="16" borderId="49" xfId="7" applyFont="1" applyFill="1" applyBorder="1" applyAlignment="1" applyProtection="1">
      <alignment horizontal="center" vertical="center"/>
      <protection locked="0" hidden="1"/>
    </xf>
    <xf numFmtId="0" fontId="24" fillId="16" borderId="11" xfId="7" applyFont="1" applyFill="1" applyBorder="1" applyAlignment="1" applyProtection="1">
      <alignment horizontal="center" vertical="center"/>
      <protection locked="0" hidden="1"/>
    </xf>
    <xf numFmtId="49" fontId="28" fillId="16" borderId="11" xfId="0" quotePrefix="1" applyNumberFormat="1" applyFont="1" applyFill="1" applyBorder="1" applyAlignment="1" applyProtection="1">
      <alignment horizontal="center" vertical="center"/>
      <protection locked="0" hidden="1"/>
    </xf>
    <xf numFmtId="49" fontId="27" fillId="16" borderId="11" xfId="0" quotePrefix="1" applyNumberFormat="1" applyFont="1" applyFill="1" applyBorder="1" applyAlignment="1" applyProtection="1">
      <alignment horizontal="center" vertical="center"/>
      <protection locked="0" hidden="1"/>
    </xf>
    <xf numFmtId="49" fontId="28" fillId="16" borderId="7" xfId="0" quotePrefix="1" applyNumberFormat="1" applyFont="1" applyFill="1" applyBorder="1" applyAlignment="1" applyProtection="1">
      <alignment horizontal="center" vertical="center"/>
      <protection locked="0" hidden="1"/>
    </xf>
    <xf numFmtId="49" fontId="27" fillId="16" borderId="2" xfId="0" quotePrefix="1" applyNumberFormat="1" applyFont="1" applyFill="1" applyBorder="1" applyAlignment="1" applyProtection="1">
      <alignment horizontal="center" vertical="center"/>
      <protection locked="0" hidden="1"/>
    </xf>
    <xf numFmtId="49" fontId="28" fillId="16" borderId="7" xfId="18" applyNumberFormat="1" applyFont="1" applyFill="1" applyBorder="1" applyAlignment="1" applyProtection="1">
      <alignment horizontal="center" vertical="center"/>
      <protection locked="0" hidden="1"/>
    </xf>
    <xf numFmtId="49" fontId="27" fillId="0" borderId="1" xfId="0" applyNumberFormat="1" applyFont="1" applyBorder="1" applyAlignment="1">
      <alignment horizontal="center" vertical="center" wrapText="1"/>
    </xf>
    <xf numFmtId="49" fontId="28" fillId="16" borderId="14" xfId="0" quotePrefix="1" applyNumberFormat="1" applyFont="1" applyFill="1" applyBorder="1" applyAlignment="1" applyProtection="1">
      <alignment horizontal="center" vertical="center"/>
      <protection locked="0" hidden="1"/>
    </xf>
    <xf numFmtId="0" fontId="28" fillId="16" borderId="13" xfId="0" applyFont="1" applyFill="1" applyBorder="1" applyAlignment="1" applyProtection="1">
      <alignment vertical="center" wrapText="1"/>
      <protection locked="0" hidden="1"/>
    </xf>
    <xf numFmtId="3" fontId="15" fillId="16" borderId="1" xfId="0" applyNumberFormat="1" applyFont="1" applyFill="1" applyBorder="1" applyAlignment="1" applyProtection="1">
      <alignment vertical="center"/>
    </xf>
    <xf numFmtId="164" fontId="16" fillId="16" borderId="1" xfId="12" applyNumberFormat="1" applyFont="1" applyFill="1" applyBorder="1" applyAlignment="1" applyProtection="1">
      <alignment vertical="center"/>
    </xf>
    <xf numFmtId="3" fontId="15" fillId="16" borderId="1" xfId="0" applyNumberFormat="1" applyFont="1" applyFill="1" applyBorder="1" applyProtection="1"/>
    <xf numFmtId="164" fontId="16" fillId="16" borderId="1" xfId="12" applyNumberFormat="1" applyFont="1" applyFill="1" applyBorder="1" applyProtection="1"/>
    <xf numFmtId="164" fontId="16" fillId="16" borderId="2" xfId="12" applyNumberFormat="1" applyFont="1" applyFill="1" applyBorder="1" applyAlignment="1" applyProtection="1">
      <alignment vertical="center"/>
    </xf>
    <xf numFmtId="164" fontId="16" fillId="16" borderId="2" xfId="12" applyNumberFormat="1" applyFont="1" applyFill="1" applyBorder="1" applyProtection="1"/>
    <xf numFmtId="164" fontId="16" fillId="16" borderId="0" xfId="12" applyNumberFormat="1" applyFont="1" applyFill="1" applyBorder="1" applyAlignment="1" applyProtection="1">
      <alignment vertical="center"/>
    </xf>
    <xf numFmtId="164" fontId="15" fillId="16" borderId="0" xfId="12" applyNumberFormat="1" applyFont="1" applyFill="1" applyBorder="1" applyAlignment="1" applyProtection="1">
      <alignment vertical="center"/>
    </xf>
    <xf numFmtId="164" fontId="16" fillId="16" borderId="0" xfId="12" applyNumberFormat="1" applyFont="1" applyFill="1" applyBorder="1" applyProtection="1"/>
    <xf numFmtId="49" fontId="28" fillId="16" borderId="4" xfId="0" quotePrefix="1" applyNumberFormat="1" applyFont="1" applyFill="1" applyBorder="1" applyAlignment="1" applyProtection="1">
      <alignment horizontal="center" vertical="center"/>
      <protection locked="0" hidden="1"/>
    </xf>
    <xf numFmtId="164" fontId="32" fillId="16" borderId="44" xfId="12" applyNumberFormat="1" applyFont="1" applyFill="1" applyBorder="1" applyAlignment="1" applyProtection="1">
      <alignment horizontal="right" vertical="center" wrapText="1"/>
      <protection hidden="1"/>
    </xf>
    <xf numFmtId="43" fontId="27" fillId="16" borderId="0" xfId="12" applyFont="1" applyFill="1" applyProtection="1">
      <protection hidden="1"/>
    </xf>
    <xf numFmtId="164" fontId="28" fillId="16" borderId="38" xfId="12" applyNumberFormat="1" applyFont="1" applyFill="1" applyBorder="1" applyAlignment="1" applyProtection="1">
      <alignment horizontal="center" vertical="center" wrapText="1"/>
      <protection hidden="1"/>
    </xf>
    <xf numFmtId="164" fontId="28" fillId="16" borderId="2" xfId="12" applyNumberFormat="1" applyFont="1" applyFill="1" applyBorder="1" applyAlignment="1" applyProtection="1">
      <alignment horizontal="center" vertical="center" wrapText="1"/>
      <protection hidden="1"/>
    </xf>
    <xf numFmtId="164" fontId="28" fillId="16" borderId="28" xfId="12" applyNumberFormat="1" applyFont="1" applyFill="1" applyBorder="1" applyAlignment="1" applyProtection="1">
      <alignment horizontal="center" vertical="center" wrapText="1"/>
      <protection hidden="1"/>
    </xf>
    <xf numFmtId="164" fontId="25" fillId="16" borderId="23" xfId="12" applyNumberFormat="1" applyFont="1" applyFill="1" applyBorder="1" applyAlignment="1" applyProtection="1">
      <alignment horizontal="center"/>
      <protection hidden="1"/>
    </xf>
    <xf numFmtId="164" fontId="25" fillId="16" borderId="2" xfId="12" applyNumberFormat="1" applyFont="1" applyFill="1" applyBorder="1" applyAlignment="1" applyProtection="1">
      <alignment horizontal="center"/>
      <protection hidden="1"/>
    </xf>
    <xf numFmtId="164" fontId="32" fillId="17" borderId="1" xfId="12" applyNumberFormat="1" applyFont="1" applyFill="1" applyBorder="1" applyAlignment="1">
      <alignment horizontal="right" vertical="center"/>
    </xf>
    <xf numFmtId="164" fontId="25" fillId="17" borderId="1" xfId="12" applyNumberFormat="1" applyFont="1" applyFill="1" applyBorder="1" applyAlignment="1">
      <alignment horizontal="right" vertical="center"/>
    </xf>
    <xf numFmtId="164" fontId="32" fillId="17" borderId="1" xfId="12" applyNumberFormat="1" applyFont="1" applyFill="1" applyBorder="1" applyAlignment="1">
      <alignment horizontal="right" vertical="center" wrapText="1"/>
    </xf>
    <xf numFmtId="164" fontId="27" fillId="16" borderId="0" xfId="12" applyNumberFormat="1" applyFont="1" applyFill="1" applyProtection="1">
      <protection hidden="1"/>
    </xf>
    <xf numFmtId="164" fontId="39" fillId="16" borderId="1" xfId="12" applyNumberFormat="1" applyFont="1" applyFill="1" applyBorder="1" applyAlignment="1" applyProtection="1">
      <alignment horizontal="right" vertical="center"/>
      <protection hidden="1"/>
    </xf>
    <xf numFmtId="164" fontId="16" fillId="16" borderId="43" xfId="12" applyNumberFormat="1" applyFont="1" applyFill="1" applyBorder="1" applyAlignment="1" applyProtection="1">
      <alignment vertical="center"/>
    </xf>
    <xf numFmtId="49" fontId="27" fillId="16" borderId="0" xfId="0" applyNumberFormat="1" applyFont="1" applyFill="1" applyAlignment="1" applyProtection="1">
      <alignment horizontal="center"/>
      <protection locked="0" hidden="1"/>
    </xf>
    <xf numFmtId="49" fontId="28" fillId="16" borderId="14" xfId="7" applyNumberFormat="1" applyFont="1" applyFill="1" applyBorder="1" applyAlignment="1" applyProtection="1">
      <alignment horizontal="center" vertical="top"/>
      <protection locked="0" hidden="1"/>
    </xf>
    <xf numFmtId="49" fontId="28" fillId="16" borderId="3" xfId="7" applyNumberFormat="1" applyFont="1" applyFill="1" applyBorder="1" applyAlignment="1" applyProtection="1">
      <alignment horizontal="center" vertical="top"/>
      <protection locked="0" hidden="1"/>
    </xf>
    <xf numFmtId="0" fontId="45" fillId="16" borderId="2" xfId="0" applyFont="1" applyFill="1" applyBorder="1" applyAlignment="1" applyProtection="1">
      <alignment horizontal="center" vertical="center"/>
      <protection locked="0" hidden="1"/>
    </xf>
    <xf numFmtId="0" fontId="45" fillId="16" borderId="2" xfId="0" applyFont="1" applyFill="1" applyBorder="1" applyProtection="1">
      <protection locked="0" hidden="1"/>
    </xf>
    <xf numFmtId="164" fontId="45" fillId="16" borderId="2" xfId="12" applyNumberFormat="1" applyFont="1" applyFill="1" applyBorder="1" applyAlignment="1" applyProtection="1">
      <alignment horizontal="right" vertical="center"/>
      <protection hidden="1"/>
    </xf>
    <xf numFmtId="0" fontId="32" fillId="16" borderId="0" xfId="0" applyFont="1" applyFill="1" applyProtection="1">
      <protection locked="0" hidden="1"/>
    </xf>
    <xf numFmtId="0" fontId="46" fillId="16" borderId="1" xfId="0" applyFont="1" applyFill="1" applyBorder="1" applyAlignment="1" applyProtection="1">
      <alignment horizontal="center"/>
      <protection locked="0" hidden="1"/>
    </xf>
    <xf numFmtId="164" fontId="45" fillId="16" borderId="1" xfId="12" applyNumberFormat="1" applyFont="1" applyFill="1" applyBorder="1" applyAlignment="1" applyProtection="1">
      <alignment horizontal="right" vertical="center"/>
      <protection hidden="1"/>
    </xf>
    <xf numFmtId="0" fontId="45" fillId="16" borderId="1" xfId="0" applyFont="1" applyFill="1" applyBorder="1" applyProtection="1">
      <protection locked="0" hidden="1"/>
    </xf>
    <xf numFmtId="0" fontId="31" fillId="16" borderId="1" xfId="3" applyFont="1" applyFill="1" applyBorder="1" applyAlignment="1" applyProtection="1">
      <alignment horizontal="left"/>
      <protection locked="0" hidden="1"/>
    </xf>
    <xf numFmtId="164" fontId="31" fillId="16" borderId="1" xfId="12" applyNumberFormat="1" applyFont="1" applyFill="1" applyBorder="1" applyAlignment="1" applyProtection="1">
      <alignment horizontal="right" vertical="center"/>
      <protection hidden="1"/>
    </xf>
    <xf numFmtId="0" fontId="25" fillId="16" borderId="0" xfId="0" applyFont="1" applyFill="1" applyProtection="1">
      <protection locked="0" hidden="1"/>
    </xf>
    <xf numFmtId="0" fontId="31" fillId="16" borderId="1" xfId="2" applyFont="1" applyFill="1" applyBorder="1" applyAlignment="1" applyProtection="1">
      <alignment horizontal="left"/>
      <protection locked="0" hidden="1"/>
    </xf>
    <xf numFmtId="0" fontId="47" fillId="16" borderId="1" xfId="0" applyFont="1" applyFill="1" applyBorder="1" applyProtection="1">
      <protection locked="0" hidden="1"/>
    </xf>
    <xf numFmtId="0" fontId="45" fillId="16" borderId="1" xfId="0" applyFont="1" applyFill="1" applyBorder="1" applyAlignment="1" applyProtection="1">
      <alignment wrapText="1"/>
      <protection locked="0" hidden="1"/>
    </xf>
    <xf numFmtId="0" fontId="31" fillId="16" borderId="1" xfId="5" applyFont="1" applyFill="1" applyBorder="1" applyAlignment="1" applyProtection="1">
      <alignment horizontal="left"/>
      <protection locked="0" hidden="1"/>
    </xf>
    <xf numFmtId="0" fontId="31" fillId="16" borderId="1" xfId="6" applyFont="1" applyFill="1" applyBorder="1" applyAlignment="1" applyProtection="1">
      <alignment horizontal="left"/>
      <protection locked="0" hidden="1"/>
    </xf>
    <xf numFmtId="0" fontId="31" fillId="16" borderId="1" xfId="7" applyFont="1" applyFill="1" applyBorder="1" applyAlignment="1" applyProtection="1">
      <alignment horizontal="left"/>
      <protection locked="0" hidden="1"/>
    </xf>
    <xf numFmtId="0" fontId="47" fillId="16" borderId="24" xfId="0" applyFont="1" applyFill="1" applyBorder="1" applyAlignment="1" applyProtection="1">
      <alignment horizontal="left"/>
      <protection locked="0" hidden="1"/>
    </xf>
    <xf numFmtId="164" fontId="34" fillId="16" borderId="1" xfId="12" applyNumberFormat="1" applyFont="1" applyFill="1" applyBorder="1" applyAlignment="1">
      <alignment horizontal="right" vertical="center" wrapText="1"/>
    </xf>
    <xf numFmtId="164" fontId="20" fillId="0" borderId="0" xfId="12" applyNumberFormat="1" applyFont="1" applyProtection="1">
      <protection locked="0" hidden="1"/>
    </xf>
    <xf numFmtId="0" fontId="20" fillId="0" borderId="1" xfId="0" applyFont="1" applyFill="1" applyBorder="1" applyAlignment="1" applyProtection="1">
      <alignment vertical="center" wrapText="1"/>
      <protection locked="0" hidden="1"/>
    </xf>
    <xf numFmtId="164" fontId="20" fillId="0" borderId="1" xfId="12" applyNumberFormat="1" applyFont="1" applyFill="1" applyBorder="1" applyAlignment="1" applyProtection="1">
      <alignment vertical="center"/>
      <protection locked="0" hidden="1"/>
    </xf>
    <xf numFmtId="0" fontId="20" fillId="0" borderId="32" xfId="0" applyFont="1" applyFill="1" applyBorder="1" applyAlignment="1" applyProtection="1">
      <alignment vertical="center" wrapText="1"/>
      <protection locked="0" hidden="1"/>
    </xf>
    <xf numFmtId="164" fontId="32" fillId="16" borderId="36" xfId="12" applyNumberFormat="1" applyFont="1" applyFill="1" applyBorder="1" applyAlignment="1" applyProtection="1">
      <alignment horizontal="right"/>
      <protection hidden="1"/>
    </xf>
    <xf numFmtId="164" fontId="32" fillId="16" borderId="1" xfId="12" applyNumberFormat="1" applyFont="1" applyFill="1" applyBorder="1" applyAlignment="1" applyProtection="1">
      <alignment horizontal="right"/>
      <protection hidden="1"/>
    </xf>
    <xf numFmtId="164" fontId="32" fillId="16" borderId="2" xfId="12" applyNumberFormat="1" applyFont="1" applyFill="1" applyBorder="1" applyAlignment="1" applyProtection="1">
      <alignment horizontal="right"/>
      <protection hidden="1"/>
    </xf>
    <xf numFmtId="164" fontId="32" fillId="17" borderId="24" xfId="12" applyNumberFormat="1" applyFont="1" applyFill="1" applyBorder="1" applyAlignment="1">
      <alignment horizontal="right" vertical="center"/>
    </xf>
    <xf numFmtId="164" fontId="38" fillId="16" borderId="1" xfId="12" applyNumberFormat="1" applyFont="1" applyFill="1" applyBorder="1" applyAlignment="1" applyProtection="1">
      <alignment horizontal="right"/>
      <protection hidden="1"/>
    </xf>
    <xf numFmtId="164" fontId="25" fillId="16" borderId="1" xfId="12" applyNumberFormat="1" applyFont="1" applyFill="1" applyBorder="1" applyAlignment="1" applyProtection="1">
      <alignment horizontal="right"/>
      <protection hidden="1"/>
    </xf>
    <xf numFmtId="164" fontId="32" fillId="16" borderId="1" xfId="2" applyNumberFormat="1" applyFont="1" applyFill="1" applyBorder="1" applyAlignment="1" applyProtection="1">
      <alignment horizontal="right"/>
      <protection hidden="1"/>
    </xf>
    <xf numFmtId="164" fontId="38" fillId="16" borderId="36" xfId="12" applyNumberFormat="1" applyFont="1" applyFill="1" applyBorder="1" applyAlignment="1" applyProtection="1">
      <alignment horizontal="right"/>
      <protection hidden="1"/>
    </xf>
    <xf numFmtId="164" fontId="37" fillId="17" borderId="1" xfId="12" applyNumberFormat="1" applyFont="1" applyFill="1" applyBorder="1" applyAlignment="1">
      <alignment horizontal="right" vertical="center"/>
    </xf>
    <xf numFmtId="164" fontId="25" fillId="16" borderId="1" xfId="3" applyNumberFormat="1" applyFont="1" applyFill="1" applyBorder="1" applyAlignment="1" applyProtection="1">
      <alignment horizontal="right"/>
      <protection hidden="1"/>
    </xf>
    <xf numFmtId="164" fontId="38" fillId="17" borderId="1" xfId="12" applyNumberFormat="1" applyFont="1" applyFill="1" applyBorder="1" applyAlignment="1">
      <alignment horizontal="right" vertical="center"/>
    </xf>
    <xf numFmtId="164" fontId="32" fillId="16" borderId="1" xfId="12" applyNumberFormat="1" applyFont="1" applyFill="1" applyBorder="1" applyAlignment="1" applyProtection="1">
      <alignment horizontal="right" wrapText="1"/>
      <protection hidden="1"/>
    </xf>
    <xf numFmtId="0" fontId="32" fillId="16" borderId="1" xfId="5" applyFont="1" applyFill="1" applyBorder="1" applyAlignment="1" applyProtection="1">
      <alignment horizontal="right" wrapText="1"/>
      <protection hidden="1"/>
    </xf>
    <xf numFmtId="164" fontId="32" fillId="16" borderId="1" xfId="0" applyNumberFormat="1" applyFont="1" applyFill="1" applyBorder="1" applyAlignment="1" applyProtection="1">
      <alignment horizontal="right"/>
      <protection hidden="1"/>
    </xf>
    <xf numFmtId="164" fontId="38" fillId="16" borderId="1" xfId="0" applyNumberFormat="1" applyFont="1" applyFill="1" applyBorder="1" applyAlignment="1" applyProtection="1">
      <alignment horizontal="right"/>
      <protection hidden="1"/>
    </xf>
    <xf numFmtId="0" fontId="17" fillId="0" borderId="0" xfId="0" applyFont="1" applyFill="1" applyAlignment="1">
      <alignment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0" xfId="0" applyFont="1" applyFill="1"/>
    <xf numFmtId="3" fontId="20" fillId="0" borderId="24" xfId="0" applyNumberFormat="1" applyFont="1" applyFill="1" applyBorder="1" applyAlignment="1">
      <alignment horizontal="right" vertical="center" wrapText="1"/>
    </xf>
    <xf numFmtId="164" fontId="19" fillId="0" borderId="7" xfId="12" applyNumberFormat="1" applyFont="1" applyFill="1" applyBorder="1" applyAlignment="1" applyProtection="1">
      <alignment horizontal="center" wrapText="1"/>
      <protection locked="0" hidden="1"/>
    </xf>
    <xf numFmtId="0" fontId="20" fillId="0" borderId="0" xfId="0" applyFont="1" applyFill="1"/>
    <xf numFmtId="3" fontId="20" fillId="0" borderId="1" xfId="0" applyNumberFormat="1" applyFont="1" applyFill="1" applyBorder="1" applyAlignment="1">
      <alignment horizontal="right" vertical="center" wrapText="1"/>
    </xf>
    <xf numFmtId="0" fontId="19" fillId="0" borderId="0" xfId="0" applyFont="1" applyFill="1"/>
    <xf numFmtId="0" fontId="20" fillId="0" borderId="32" xfId="0" applyFont="1" applyFill="1" applyBorder="1"/>
    <xf numFmtId="0" fontId="20" fillId="0" borderId="1" xfId="0" applyFont="1" applyFill="1" applyBorder="1" applyAlignment="1">
      <alignment vertical="center" wrapText="1"/>
    </xf>
    <xf numFmtId="164" fontId="20" fillId="0" borderId="1" xfId="12" applyNumberFormat="1" applyFont="1" applyFill="1" applyBorder="1"/>
    <xf numFmtId="164" fontId="20" fillId="0" borderId="24" xfId="12" applyNumberFormat="1" applyFont="1" applyFill="1" applyBorder="1"/>
    <xf numFmtId="164" fontId="20" fillId="0" borderId="1" xfId="12" applyNumberFormat="1" applyFont="1" applyFill="1" applyBorder="1" applyAlignment="1">
      <alignment horizontal="right" vertical="center" wrapText="1"/>
    </xf>
    <xf numFmtId="164" fontId="20" fillId="0" borderId="1" xfId="12" applyNumberFormat="1" applyFont="1" applyFill="1" applyBorder="1" applyAlignment="1">
      <alignment horizontal="right" vertical="center"/>
    </xf>
    <xf numFmtId="164" fontId="20" fillId="0" borderId="24" xfId="12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wrapText="1"/>
    </xf>
    <xf numFmtId="3" fontId="20" fillId="0" borderId="1" xfId="0" applyNumberFormat="1" applyFont="1" applyFill="1" applyBorder="1"/>
    <xf numFmtId="1" fontId="20" fillId="0" borderId="32" xfId="0" applyNumberFormat="1" applyFont="1" applyFill="1" applyBorder="1" applyAlignment="1" applyProtection="1">
      <alignment horizontal="center" vertical="center"/>
      <protection locked="0" hidden="1"/>
    </xf>
    <xf numFmtId="0" fontId="20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justify" vertical="center" wrapText="1"/>
    </xf>
    <xf numFmtId="3" fontId="20" fillId="0" borderId="1" xfId="0" applyNumberFormat="1" applyFont="1" applyFill="1" applyBorder="1" applyAlignment="1">
      <alignment horizontal="right" vertical="center"/>
    </xf>
    <xf numFmtId="0" fontId="20" fillId="0" borderId="1" xfId="0" applyFont="1" applyFill="1" applyBorder="1" applyAlignment="1">
      <alignment vertical="top" wrapText="1"/>
    </xf>
    <xf numFmtId="0" fontId="20" fillId="0" borderId="0" xfId="0" applyFont="1" applyFill="1" applyBorder="1"/>
    <xf numFmtId="0" fontId="20" fillId="0" borderId="24" xfId="0" applyFont="1" applyFill="1" applyBorder="1" applyAlignment="1">
      <alignment wrapText="1"/>
    </xf>
    <xf numFmtId="3" fontId="20" fillId="0" borderId="2" xfId="0" applyNumberFormat="1" applyFont="1" applyFill="1" applyBorder="1" applyAlignment="1">
      <alignment horizontal="right" vertical="center"/>
    </xf>
    <xf numFmtId="0" fontId="19" fillId="0" borderId="32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vertical="center" wrapText="1"/>
    </xf>
    <xf numFmtId="0" fontId="20" fillId="0" borderId="1" xfId="0" applyFont="1" applyFill="1" applyBorder="1"/>
    <xf numFmtId="0" fontId="20" fillId="0" borderId="0" xfId="0" applyFont="1" applyFill="1" applyAlignment="1">
      <alignment wrapText="1"/>
    </xf>
    <xf numFmtId="43" fontId="20" fillId="0" borderId="0" xfId="12" applyNumberFormat="1" applyFont="1" applyAlignment="1" applyProtection="1">
      <alignment horizontal="right"/>
      <protection locked="0" hidden="1"/>
    </xf>
    <xf numFmtId="164" fontId="19" fillId="16" borderId="14" xfId="12" applyNumberFormat="1" applyFont="1" applyFill="1" applyBorder="1" applyAlignment="1" applyProtection="1">
      <alignment horizontal="center" vertical="top" wrapText="1"/>
      <protection locked="0" hidden="1"/>
    </xf>
    <xf numFmtId="164" fontId="27" fillId="16" borderId="11" xfId="12" applyNumberFormat="1" applyFont="1" applyFill="1" applyBorder="1" applyAlignment="1" applyProtection="1">
      <alignment vertical="center" wrapText="1"/>
      <protection locked="0" hidden="1"/>
    </xf>
    <xf numFmtId="164" fontId="17" fillId="16" borderId="0" xfId="12" applyNumberFormat="1" applyFont="1" applyFill="1" applyProtection="1">
      <protection locked="0" hidden="1"/>
    </xf>
    <xf numFmtId="164" fontId="19" fillId="16" borderId="0" xfId="12" applyNumberFormat="1" applyFont="1" applyFill="1" applyBorder="1" applyAlignment="1" applyProtection="1">
      <alignment horizontal="center" vertical="top" wrapText="1"/>
      <protection hidden="1"/>
    </xf>
    <xf numFmtId="164" fontId="19" fillId="16" borderId="16" xfId="12" applyNumberFormat="1" applyFont="1" applyFill="1" applyBorder="1" applyAlignment="1" applyProtection="1">
      <alignment horizontal="center" vertical="top" wrapText="1"/>
      <protection hidden="1"/>
    </xf>
    <xf numFmtId="164" fontId="19" fillId="16" borderId="14" xfId="12" applyNumberFormat="1" applyFont="1" applyFill="1" applyBorder="1" applyAlignment="1" applyProtection="1">
      <alignment horizontal="center" vertical="top" wrapText="1"/>
      <protection hidden="1"/>
    </xf>
    <xf numFmtId="164" fontId="28" fillId="16" borderId="11" xfId="12" applyNumberFormat="1" applyFont="1" applyFill="1" applyBorder="1" applyAlignment="1" applyProtection="1">
      <alignment horizontal="center" vertical="center" wrapText="1"/>
      <protection hidden="1"/>
    </xf>
    <xf numFmtId="164" fontId="28" fillId="16" borderId="7" xfId="12" applyNumberFormat="1" applyFont="1" applyFill="1" applyBorder="1" applyAlignment="1" applyProtection="1">
      <alignment horizontal="center" vertical="center" wrapText="1"/>
      <protection hidden="1"/>
    </xf>
    <xf numFmtId="164" fontId="27" fillId="16" borderId="1" xfId="12" applyNumberFormat="1" applyFont="1" applyFill="1" applyBorder="1" applyAlignment="1" applyProtection="1">
      <alignment horizontal="right" vertical="center"/>
      <protection hidden="1"/>
    </xf>
    <xf numFmtId="164" fontId="27" fillId="16" borderId="0" xfId="12" applyNumberFormat="1" applyFont="1" applyFill="1" applyBorder="1" applyAlignment="1" applyProtection="1">
      <alignment horizontal="right" vertical="center"/>
      <protection hidden="1"/>
    </xf>
    <xf numFmtId="164" fontId="27" fillId="16" borderId="24" xfId="12" applyNumberFormat="1" applyFont="1" applyFill="1" applyBorder="1" applyAlignment="1" applyProtection="1">
      <alignment horizontal="right" vertical="center"/>
      <protection hidden="1"/>
    </xf>
    <xf numFmtId="164" fontId="28" fillId="16" borderId="7" xfId="12" applyNumberFormat="1" applyFont="1" applyFill="1" applyBorder="1" applyAlignment="1" applyProtection="1">
      <alignment horizontal="right" vertical="center"/>
      <protection hidden="1"/>
    </xf>
    <xf numFmtId="164" fontId="19" fillId="0" borderId="22" xfId="12" applyNumberFormat="1" applyFont="1" applyFill="1" applyBorder="1" applyAlignment="1">
      <alignment horizontal="center" vertical="center" wrapText="1"/>
    </xf>
    <xf numFmtId="164" fontId="19" fillId="0" borderId="7" xfId="12" applyNumberFormat="1" applyFont="1" applyFill="1" applyBorder="1" applyAlignment="1">
      <alignment horizontal="center" vertical="center" wrapText="1"/>
    </xf>
    <xf numFmtId="0" fontId="25" fillId="16" borderId="13" xfId="7" applyFont="1" applyFill="1" applyBorder="1" applyAlignment="1" applyProtection="1">
      <alignment horizontal="center" vertical="top" wrapText="1"/>
      <protection locked="0" hidden="1"/>
    </xf>
    <xf numFmtId="164" fontId="25" fillId="16" borderId="14" xfId="12" applyNumberFormat="1" applyFont="1" applyFill="1" applyBorder="1" applyAlignment="1" applyProtection="1">
      <alignment horizontal="center" wrapText="1"/>
      <protection hidden="1"/>
    </xf>
    <xf numFmtId="43" fontId="25" fillId="16" borderId="14" xfId="12" applyFont="1" applyFill="1" applyBorder="1" applyAlignment="1" applyProtection="1">
      <alignment horizontal="center" wrapText="1"/>
      <protection hidden="1"/>
    </xf>
    <xf numFmtId="0" fontId="25" fillId="16" borderId="21" xfId="7" applyFont="1" applyFill="1" applyBorder="1" applyAlignment="1" applyProtection="1">
      <alignment vertical="top" wrapText="1"/>
      <protection locked="0" hidden="1"/>
    </xf>
    <xf numFmtId="164" fontId="25" fillId="16" borderId="4" xfId="12" applyNumberFormat="1" applyFont="1" applyFill="1" applyBorder="1" applyAlignment="1" applyProtection="1">
      <alignment horizontal="center" vertical="top" wrapText="1"/>
      <protection hidden="1"/>
    </xf>
    <xf numFmtId="43" fontId="25" fillId="16" borderId="4" xfId="12" applyFont="1" applyFill="1" applyBorder="1" applyAlignment="1" applyProtection="1">
      <alignment horizontal="center" vertical="top" wrapText="1"/>
      <protection hidden="1"/>
    </xf>
    <xf numFmtId="164" fontId="25" fillId="16" borderId="7" xfId="12" applyNumberFormat="1" applyFont="1" applyFill="1" applyBorder="1" applyAlignment="1" applyProtection="1">
      <alignment horizontal="center" vertical="top" wrapText="1"/>
      <protection hidden="1"/>
    </xf>
    <xf numFmtId="164" fontId="25" fillId="16" borderId="8" xfId="12" applyNumberFormat="1" applyFont="1" applyFill="1" applyBorder="1" applyAlignment="1" applyProtection="1">
      <alignment horizontal="center" vertical="top" wrapText="1"/>
      <protection hidden="1"/>
    </xf>
    <xf numFmtId="0" fontId="25" fillId="16" borderId="13" xfId="0" applyFont="1" applyFill="1" applyBorder="1" applyAlignment="1" applyProtection="1">
      <alignment horizontal="center" vertical="center" wrapText="1"/>
      <protection locked="0" hidden="1"/>
    </xf>
    <xf numFmtId="164" fontId="25" fillId="16" borderId="13" xfId="12" applyNumberFormat="1" applyFont="1" applyFill="1" applyBorder="1" applyAlignment="1" applyProtection="1">
      <alignment horizontal="center" vertical="center" wrapText="1"/>
      <protection hidden="1"/>
    </xf>
    <xf numFmtId="43" fontId="25" fillId="16" borderId="13" xfId="12" applyFont="1" applyFill="1" applyBorder="1" applyAlignment="1" applyProtection="1">
      <alignment horizontal="center" vertical="center" wrapText="1"/>
      <protection hidden="1"/>
    </xf>
    <xf numFmtId="43" fontId="25" fillId="16" borderId="15" xfId="12" applyFont="1" applyFill="1" applyBorder="1" applyAlignment="1" applyProtection="1">
      <alignment horizontal="center" vertical="center" wrapText="1"/>
      <protection hidden="1"/>
    </xf>
    <xf numFmtId="44" fontId="32" fillId="16" borderId="0" xfId="0" applyNumberFormat="1" applyFont="1" applyFill="1" applyBorder="1" applyProtection="1">
      <protection locked="0" hidden="1"/>
    </xf>
    <xf numFmtId="0" fontId="32" fillId="16" borderId="0" xfId="0" applyFont="1" applyFill="1" applyBorder="1" applyProtection="1">
      <protection locked="0" hidden="1"/>
    </xf>
    <xf numFmtId="0" fontId="32" fillId="0" borderId="1" xfId="0" applyFont="1" applyBorder="1" applyAlignment="1">
      <alignment vertical="center" wrapText="1"/>
    </xf>
    <xf numFmtId="164" fontId="32" fillId="16" borderId="36" xfId="12" applyNumberFormat="1" applyFont="1" applyFill="1" applyBorder="1" applyAlignment="1" applyProtection="1">
      <alignment horizontal="right" vertical="center" wrapText="1"/>
      <protection hidden="1"/>
    </xf>
    <xf numFmtId="164" fontId="32" fillId="16" borderId="1" xfId="12" applyNumberFormat="1" applyFont="1" applyFill="1" applyBorder="1" applyAlignment="1" applyProtection="1">
      <alignment horizontal="right" vertical="center" wrapText="1"/>
      <protection hidden="1"/>
    </xf>
    <xf numFmtId="164" fontId="32" fillId="16" borderId="47" xfId="12" applyNumberFormat="1" applyFont="1" applyFill="1" applyBorder="1" applyAlignment="1" applyProtection="1">
      <alignment horizontal="right" vertical="center" wrapText="1"/>
      <protection hidden="1"/>
    </xf>
    <xf numFmtId="0" fontId="32" fillId="0" borderId="24" xfId="0" applyFont="1" applyBorder="1" applyAlignment="1">
      <alignment vertical="center" wrapText="1"/>
    </xf>
    <xf numFmtId="0" fontId="25" fillId="16" borderId="7" xfId="0" applyFont="1" applyFill="1" applyBorder="1" applyAlignment="1" applyProtection="1">
      <alignment vertical="center" wrapText="1"/>
      <protection locked="0" hidden="1"/>
    </xf>
    <xf numFmtId="164" fontId="25" fillId="16" borderId="11" xfId="12" applyNumberFormat="1" applyFont="1" applyFill="1" applyBorder="1" applyAlignment="1" applyProtection="1">
      <alignment horizontal="right" vertical="center" wrapText="1"/>
      <protection hidden="1"/>
    </xf>
    <xf numFmtId="164" fontId="25" fillId="16" borderId="7" xfId="12" applyNumberFormat="1" applyFont="1" applyFill="1" applyBorder="1" applyAlignment="1" applyProtection="1">
      <alignment horizontal="right" vertical="center" wrapText="1"/>
      <protection hidden="1"/>
    </xf>
    <xf numFmtId="44" fontId="25" fillId="16" borderId="0" xfId="0" applyNumberFormat="1" applyFont="1" applyFill="1" applyBorder="1" applyProtection="1">
      <protection locked="0" hidden="1"/>
    </xf>
    <xf numFmtId="0" fontId="25" fillId="16" borderId="0" xfId="0" applyFont="1" applyFill="1" applyBorder="1" applyProtection="1">
      <protection locked="0" hidden="1"/>
    </xf>
    <xf numFmtId="0" fontId="25" fillId="16" borderId="0" xfId="0" applyFont="1" applyFill="1" applyBorder="1" applyAlignment="1" applyProtection="1">
      <alignment wrapText="1"/>
      <protection locked="0" hidden="1"/>
    </xf>
    <xf numFmtId="164" fontId="32" fillId="16" borderId="0" xfId="12" applyNumberFormat="1" applyFont="1" applyFill="1" applyBorder="1" applyAlignment="1" applyProtection="1">
      <alignment horizontal="right" wrapText="1"/>
      <protection hidden="1"/>
    </xf>
    <xf numFmtId="43" fontId="32" fillId="16" borderId="0" xfId="12" applyFont="1" applyFill="1" applyBorder="1" applyAlignment="1" applyProtection="1">
      <alignment horizontal="right" wrapText="1"/>
      <protection hidden="1"/>
    </xf>
    <xf numFmtId="164" fontId="25" fillId="16" borderId="0" xfId="12" applyNumberFormat="1" applyFont="1" applyFill="1" applyBorder="1" applyAlignment="1" applyProtection="1">
      <alignment horizontal="right" wrapText="1"/>
      <protection hidden="1"/>
    </xf>
    <xf numFmtId="43" fontId="32" fillId="16" borderId="6" xfId="12" applyFont="1" applyFill="1" applyBorder="1" applyAlignment="1" applyProtection="1">
      <alignment horizontal="right" wrapText="1"/>
      <protection hidden="1"/>
    </xf>
    <xf numFmtId="44" fontId="32" fillId="16" borderId="0" xfId="0" applyNumberFormat="1" applyFont="1" applyFill="1" applyBorder="1" applyAlignment="1" applyProtection="1">
      <protection locked="0" hidden="1"/>
    </xf>
    <xf numFmtId="0" fontId="32" fillId="16" borderId="0" xfId="0" applyFont="1" applyFill="1" applyBorder="1" applyAlignment="1" applyProtection="1">
      <protection locked="0" hidden="1"/>
    </xf>
    <xf numFmtId="164" fontId="25" fillId="16" borderId="42" xfId="12" applyNumberFormat="1" applyFont="1" applyFill="1" applyBorder="1" applyAlignment="1" applyProtection="1">
      <alignment horizontal="right" vertical="center" wrapText="1"/>
      <protection hidden="1"/>
    </xf>
    <xf numFmtId="164" fontId="25" fillId="16" borderId="4" xfId="12" applyNumberFormat="1" applyFont="1" applyFill="1" applyBorder="1" applyAlignment="1" applyProtection="1">
      <alignment horizontal="right" vertical="center" wrapText="1"/>
      <protection hidden="1"/>
    </xf>
    <xf numFmtId="43" fontId="25" fillId="16" borderId="4" xfId="12" applyFont="1" applyFill="1" applyBorder="1" applyAlignment="1" applyProtection="1">
      <alignment horizontal="right" vertical="top" wrapText="1"/>
      <protection hidden="1"/>
    </xf>
    <xf numFmtId="164" fontId="25" fillId="16" borderId="4" xfId="12" applyNumberFormat="1" applyFont="1" applyFill="1" applyBorder="1" applyAlignment="1" applyProtection="1">
      <alignment horizontal="right" vertical="top" wrapText="1"/>
      <protection hidden="1"/>
    </xf>
    <xf numFmtId="164" fontId="25" fillId="16" borderId="7" xfId="12" applyNumberFormat="1" applyFont="1" applyFill="1" applyBorder="1" applyAlignment="1" applyProtection="1">
      <alignment horizontal="right" vertical="top" wrapText="1"/>
      <protection hidden="1"/>
    </xf>
    <xf numFmtId="164" fontId="25" fillId="16" borderId="8" xfId="12" applyNumberFormat="1" applyFont="1" applyFill="1" applyBorder="1" applyAlignment="1" applyProtection="1">
      <alignment horizontal="right" vertical="top" wrapText="1"/>
      <protection hidden="1"/>
    </xf>
    <xf numFmtId="44" fontId="32" fillId="16" borderId="0" xfId="0" applyNumberFormat="1" applyFont="1" applyFill="1" applyProtection="1">
      <protection locked="0" hidden="1"/>
    </xf>
    <xf numFmtId="0" fontId="25" fillId="16" borderId="52" xfId="0" applyFont="1" applyFill="1" applyBorder="1" applyAlignment="1" applyProtection="1">
      <alignment vertical="center" wrapText="1"/>
      <protection locked="0" hidden="1"/>
    </xf>
    <xf numFmtId="164" fontId="25" fillId="16" borderId="52" xfId="12" applyNumberFormat="1" applyFont="1" applyFill="1" applyBorder="1" applyAlignment="1" applyProtection="1">
      <alignment horizontal="right" vertical="center" wrapText="1"/>
      <protection hidden="1"/>
    </xf>
    <xf numFmtId="43" fontId="25" fillId="16" borderId="52" xfId="12" applyFont="1" applyFill="1" applyBorder="1" applyAlignment="1" applyProtection="1">
      <alignment horizontal="right" vertical="center" wrapText="1"/>
      <protection hidden="1"/>
    </xf>
    <xf numFmtId="43" fontId="25" fillId="16" borderId="12" xfId="12" applyFont="1" applyFill="1" applyBorder="1" applyAlignment="1" applyProtection="1">
      <alignment horizontal="right" vertical="center" wrapText="1"/>
      <protection hidden="1"/>
    </xf>
    <xf numFmtId="164" fontId="32" fillId="16" borderId="1" xfId="12" applyNumberFormat="1" applyFont="1" applyFill="1" applyBorder="1" applyAlignment="1" applyProtection="1">
      <alignment horizontal="right" vertical="center"/>
      <protection hidden="1"/>
    </xf>
    <xf numFmtId="164" fontId="32" fillId="16" borderId="47" xfId="12" applyNumberFormat="1" applyFont="1" applyFill="1" applyBorder="1" applyAlignment="1" applyProtection="1">
      <alignment horizontal="right" vertical="center"/>
      <protection hidden="1"/>
    </xf>
    <xf numFmtId="164" fontId="32" fillId="16" borderId="24" xfId="12" applyNumberFormat="1" applyFont="1" applyFill="1" applyBorder="1" applyAlignment="1" applyProtection="1">
      <alignment horizontal="right" vertical="center"/>
      <protection hidden="1"/>
    </xf>
    <xf numFmtId="164" fontId="32" fillId="16" borderId="57" xfId="12" applyNumberFormat="1" applyFont="1" applyFill="1" applyBorder="1" applyAlignment="1" applyProtection="1">
      <alignment horizontal="right" vertical="center"/>
      <protection hidden="1"/>
    </xf>
    <xf numFmtId="0" fontId="25" fillId="16" borderId="42" xfId="0" applyFont="1" applyFill="1" applyBorder="1" applyAlignment="1" applyProtection="1">
      <alignment vertical="center" wrapText="1"/>
      <protection locked="0" hidden="1"/>
    </xf>
    <xf numFmtId="164" fontId="25" fillId="16" borderId="42" xfId="12" applyNumberFormat="1" applyFont="1" applyFill="1" applyBorder="1" applyAlignment="1" applyProtection="1">
      <alignment horizontal="right" vertical="center"/>
      <protection hidden="1"/>
    </xf>
    <xf numFmtId="164" fontId="25" fillId="16" borderId="43" xfId="12" applyNumberFormat="1" applyFont="1" applyFill="1" applyBorder="1" applyAlignment="1" applyProtection="1">
      <alignment horizontal="right" vertical="center"/>
      <protection hidden="1"/>
    </xf>
    <xf numFmtId="0" fontId="25" fillId="16" borderId="2" xfId="0" quotePrefix="1" applyFont="1" applyFill="1" applyBorder="1" applyAlignment="1" applyProtection="1">
      <alignment vertical="center" wrapText="1"/>
      <protection locked="0" hidden="1"/>
    </xf>
    <xf numFmtId="164" fontId="25" fillId="16" borderId="2" xfId="12" applyNumberFormat="1" applyFont="1" applyFill="1" applyBorder="1" applyAlignment="1" applyProtection="1">
      <alignment vertical="center" wrapText="1"/>
      <protection hidden="1"/>
    </xf>
    <xf numFmtId="43" fontId="25" fillId="16" borderId="2" xfId="12" applyFont="1" applyFill="1" applyBorder="1" applyAlignment="1" applyProtection="1">
      <alignment vertical="center" wrapText="1"/>
      <protection hidden="1"/>
    </xf>
    <xf numFmtId="43" fontId="25" fillId="16" borderId="56" xfId="12" applyFont="1" applyFill="1" applyBorder="1" applyAlignment="1" applyProtection="1">
      <alignment vertical="center" wrapText="1"/>
      <protection hidden="1"/>
    </xf>
    <xf numFmtId="164" fontId="32" fillId="16" borderId="2" xfId="12" applyNumberFormat="1" applyFont="1" applyFill="1" applyBorder="1" applyAlignment="1" applyProtection="1">
      <alignment horizontal="right" vertical="center" wrapText="1"/>
      <protection hidden="1"/>
    </xf>
    <xf numFmtId="164" fontId="32" fillId="16" borderId="56" xfId="12" applyNumberFormat="1" applyFont="1" applyFill="1" applyBorder="1" applyAlignment="1" applyProtection="1">
      <alignment horizontal="right" vertical="center" wrapText="1"/>
      <protection hidden="1"/>
    </xf>
    <xf numFmtId="0" fontId="25" fillId="16" borderId="21" xfId="0" applyFont="1" applyFill="1" applyBorder="1" applyAlignment="1" applyProtection="1">
      <alignment vertical="center" wrapText="1"/>
      <protection locked="0" hidden="1"/>
    </xf>
    <xf numFmtId="43" fontId="25" fillId="16" borderId="11" xfId="12" applyFont="1" applyFill="1" applyBorder="1" applyAlignment="1" applyProtection="1">
      <alignment horizontal="right" vertical="center" wrapText="1"/>
      <protection hidden="1"/>
    </xf>
    <xf numFmtId="43" fontId="25" fillId="16" borderId="7" xfId="12" applyFont="1" applyFill="1" applyBorder="1" applyAlignment="1" applyProtection="1">
      <alignment horizontal="right" vertical="center" wrapText="1"/>
      <protection hidden="1"/>
    </xf>
    <xf numFmtId="0" fontId="25" fillId="16" borderId="8" xfId="18" applyFont="1" applyFill="1" applyBorder="1" applyAlignment="1" applyProtection="1">
      <alignment vertical="center" wrapText="1"/>
      <protection locked="0" hidden="1"/>
    </xf>
    <xf numFmtId="164" fontId="25" fillId="16" borderId="11" xfId="12" applyNumberFormat="1" applyFont="1" applyFill="1" applyBorder="1" applyAlignment="1" applyProtection="1">
      <alignment horizontal="right" vertical="center"/>
      <protection hidden="1"/>
    </xf>
    <xf numFmtId="164" fontId="32" fillId="16" borderId="0" xfId="12" applyNumberFormat="1" applyFont="1" applyFill="1" applyProtection="1">
      <protection locked="0" hidden="1"/>
    </xf>
    <xf numFmtId="43" fontId="32" fillId="16" borderId="0" xfId="12" applyFont="1" applyFill="1" applyProtection="1">
      <protection locked="0" hidden="1"/>
    </xf>
    <xf numFmtId="164" fontId="32" fillId="16" borderId="0" xfId="12" applyNumberFormat="1" applyFont="1" applyFill="1" applyBorder="1" applyProtection="1">
      <protection locked="0" hidden="1"/>
    </xf>
    <xf numFmtId="0" fontId="32" fillId="0" borderId="1" xfId="0" applyFont="1" applyBorder="1" applyAlignment="1">
      <alignment vertical="center"/>
    </xf>
    <xf numFmtId="0" fontId="41" fillId="16" borderId="0" xfId="0" applyFont="1" applyFill="1"/>
    <xf numFmtId="0" fontId="52" fillId="0" borderId="0" xfId="0" applyFont="1"/>
    <xf numFmtId="0" fontId="15" fillId="16" borderId="0" xfId="0" applyFont="1" applyFill="1"/>
    <xf numFmtId="49" fontId="28" fillId="16" borderId="14" xfId="7" applyNumberFormat="1" applyFont="1" applyFill="1" applyBorder="1" applyAlignment="1" applyProtection="1">
      <alignment horizontal="center" vertical="center"/>
      <protection locked="0" hidden="1"/>
    </xf>
    <xf numFmtId="49" fontId="28" fillId="16" borderId="4" xfId="7" applyNumberFormat="1" applyFont="1" applyFill="1" applyBorder="1" applyAlignment="1" applyProtection="1">
      <alignment horizontal="center" vertical="center"/>
      <protection locked="0" hidden="1"/>
    </xf>
    <xf numFmtId="49" fontId="28" fillId="16" borderId="16" xfId="0" quotePrefix="1" applyNumberFormat="1" applyFont="1" applyFill="1" applyBorder="1" applyAlignment="1" applyProtection="1">
      <alignment horizontal="center" vertical="center"/>
      <protection locked="0" hidden="1"/>
    </xf>
    <xf numFmtId="49" fontId="27" fillId="0" borderId="24" xfId="0" applyNumberFormat="1" applyFont="1" applyBorder="1" applyAlignment="1">
      <alignment horizontal="center" vertical="center" wrapText="1"/>
    </xf>
    <xf numFmtId="49" fontId="28" fillId="16" borderId="0" xfId="0" quotePrefix="1" applyNumberFormat="1" applyFont="1" applyFill="1" applyBorder="1" applyAlignment="1" applyProtection="1">
      <alignment horizontal="center"/>
      <protection locked="0" hidden="1"/>
    </xf>
    <xf numFmtId="49" fontId="28" fillId="16" borderId="20" xfId="0" quotePrefix="1" applyNumberFormat="1" applyFont="1" applyFill="1" applyBorder="1" applyAlignment="1" applyProtection="1">
      <alignment horizontal="center" vertical="center"/>
      <protection locked="0" hidden="1"/>
    </xf>
    <xf numFmtId="49" fontId="27" fillId="0" borderId="54" xfId="0" applyNumberFormat="1" applyFont="1" applyBorder="1" applyAlignment="1">
      <alignment horizontal="center" vertical="center" wrapText="1"/>
    </xf>
    <xf numFmtId="49" fontId="27" fillId="0" borderId="65" xfId="0" applyNumberFormat="1" applyFont="1" applyBorder="1" applyAlignment="1">
      <alignment horizontal="center" vertical="center" wrapText="1"/>
    </xf>
    <xf numFmtId="49" fontId="27" fillId="16" borderId="41" xfId="0" quotePrefix="1" applyNumberFormat="1" applyFont="1" applyFill="1" applyBorder="1" applyAlignment="1" applyProtection="1">
      <alignment horizontal="center" vertical="center"/>
      <protection locked="0" hidden="1"/>
    </xf>
    <xf numFmtId="49" fontId="28" fillId="16" borderId="55" xfId="0" quotePrefix="1" applyNumberFormat="1" applyFont="1" applyFill="1" applyBorder="1" applyAlignment="1" applyProtection="1">
      <alignment horizontal="center" vertical="center"/>
      <protection locked="0" hidden="1"/>
    </xf>
    <xf numFmtId="49" fontId="27" fillId="16" borderId="0" xfId="0" applyNumberFormat="1" applyFont="1" applyFill="1" applyAlignment="1" applyProtection="1">
      <alignment horizontal="center" vertical="center"/>
      <protection locked="0" hidden="1"/>
    </xf>
    <xf numFmtId="164" fontId="25" fillId="16" borderId="7" xfId="12" applyNumberFormat="1" applyFont="1" applyFill="1" applyBorder="1" applyAlignment="1" applyProtection="1">
      <alignment horizontal="right" vertical="center"/>
      <protection hidden="1"/>
    </xf>
    <xf numFmtId="0" fontId="20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right" vertical="center" wrapText="1"/>
    </xf>
    <xf numFmtId="164" fontId="20" fillId="0" borderId="1" xfId="12" applyNumberFormat="1" applyFont="1" applyFill="1" applyBorder="1" applyAlignment="1">
      <alignment vertical="center" wrapText="1"/>
    </xf>
    <xf numFmtId="3" fontId="20" fillId="0" borderId="1" xfId="0" applyNumberFormat="1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3" fontId="19" fillId="0" borderId="7" xfId="12" applyNumberFormat="1" applyFont="1" applyFill="1" applyBorder="1" applyAlignment="1" applyProtection="1">
      <alignment horizontal="center" wrapText="1"/>
      <protection locked="0" hidden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164" fontId="19" fillId="0" borderId="1" xfId="12" applyNumberFormat="1" applyFont="1" applyFill="1" applyBorder="1" applyAlignment="1" applyProtection="1">
      <alignment horizontal="center" wrapText="1"/>
      <protection locked="0" hidden="1"/>
    </xf>
    <xf numFmtId="3" fontId="19" fillId="0" borderId="1" xfId="12" applyNumberFormat="1" applyFont="1" applyFill="1" applyBorder="1" applyAlignment="1" applyProtection="1">
      <alignment horizontal="center" wrapText="1"/>
      <protection locked="0" hidden="1"/>
    </xf>
    <xf numFmtId="0" fontId="20" fillId="0" borderId="24" xfId="0" applyFont="1" applyFill="1" applyBorder="1" applyAlignment="1">
      <alignment horizontal="justify" vertical="center" wrapText="1"/>
    </xf>
    <xf numFmtId="164" fontId="20" fillId="0" borderId="24" xfId="12" applyNumberFormat="1" applyFont="1" applyFill="1" applyBorder="1" applyAlignment="1">
      <alignment vertical="center" wrapText="1"/>
    </xf>
    <xf numFmtId="3" fontId="20" fillId="0" borderId="24" xfId="0" applyNumberFormat="1" applyFont="1" applyFill="1" applyBorder="1" applyAlignment="1">
      <alignment vertical="center" wrapText="1"/>
    </xf>
    <xf numFmtId="0" fontId="19" fillId="0" borderId="38" xfId="0" applyFont="1" applyFill="1" applyBorder="1" applyAlignment="1">
      <alignment horizontal="center" vertical="center" wrapText="1"/>
    </xf>
    <xf numFmtId="164" fontId="19" fillId="0" borderId="42" xfId="12" applyNumberFormat="1" applyFont="1" applyFill="1" applyBorder="1" applyAlignment="1">
      <alignment vertical="center" wrapText="1"/>
    </xf>
    <xf numFmtId="3" fontId="19" fillId="0" borderId="42" xfId="0" applyNumberFormat="1" applyFont="1" applyFill="1" applyBorder="1" applyAlignment="1">
      <alignment vertical="center" wrapText="1"/>
    </xf>
    <xf numFmtId="164" fontId="19" fillId="0" borderId="43" xfId="12" applyNumberFormat="1" applyFont="1" applyFill="1" applyBorder="1" applyAlignment="1">
      <alignment vertical="center" wrapText="1"/>
    </xf>
    <xf numFmtId="43" fontId="20" fillId="0" borderId="1" xfId="12" applyFont="1" applyFill="1" applyBorder="1" applyAlignment="1">
      <alignment horizontal="right" vertical="center"/>
    </xf>
    <xf numFmtId="164" fontId="20" fillId="0" borderId="1" xfId="12" applyNumberFormat="1" applyFont="1" applyFill="1" applyBorder="1" applyAlignment="1">
      <alignment vertical="center"/>
    </xf>
    <xf numFmtId="43" fontId="20" fillId="0" borderId="1" xfId="12" applyFont="1" applyFill="1" applyBorder="1" applyAlignment="1">
      <alignment vertical="center"/>
    </xf>
    <xf numFmtId="164" fontId="20" fillId="0" borderId="24" xfId="12" applyNumberFormat="1" applyFont="1" applyFill="1" applyBorder="1" applyAlignment="1">
      <alignment horizontal="right" vertical="top"/>
    </xf>
    <xf numFmtId="0" fontId="20" fillId="0" borderId="0" xfId="0" applyFont="1" applyFill="1" applyAlignment="1"/>
    <xf numFmtId="0" fontId="20" fillId="0" borderId="2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justify" vertical="center" wrapText="1"/>
    </xf>
    <xf numFmtId="0" fontId="19" fillId="0" borderId="23" xfId="0" applyFont="1" applyFill="1" applyBorder="1" applyAlignment="1">
      <alignment horizontal="center" vertical="center" wrapText="1"/>
    </xf>
    <xf numFmtId="164" fontId="19" fillId="0" borderId="1" xfId="12" applyNumberFormat="1" applyFont="1" applyFill="1" applyBorder="1" applyAlignment="1">
      <alignment horizontal="right" vertical="center" wrapText="1"/>
    </xf>
    <xf numFmtId="0" fontId="20" fillId="0" borderId="7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right" vertical="center" wrapText="1"/>
    </xf>
    <xf numFmtId="0" fontId="20" fillId="0" borderId="22" xfId="0" applyFont="1" applyFill="1" applyBorder="1" applyAlignment="1">
      <alignment vertical="center"/>
    </xf>
    <xf numFmtId="164" fontId="20" fillId="0" borderId="22" xfId="12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justify" vertical="center" wrapText="1"/>
    </xf>
    <xf numFmtId="0" fontId="19" fillId="0" borderId="2" xfId="0" applyFont="1" applyFill="1" applyBorder="1" applyAlignment="1">
      <alignment horizontal="right" vertical="center" wrapText="1"/>
    </xf>
    <xf numFmtId="0" fontId="20" fillId="0" borderId="2" xfId="0" applyFont="1" applyFill="1" applyBorder="1" applyAlignment="1">
      <alignment horizontal="right" vertical="center" wrapText="1"/>
    </xf>
    <xf numFmtId="164" fontId="19" fillId="0" borderId="2" xfId="12" applyNumberFormat="1" applyFont="1" applyFill="1" applyBorder="1" applyAlignment="1">
      <alignment horizontal="right" vertical="center" wrapText="1"/>
    </xf>
    <xf numFmtId="1" fontId="20" fillId="0" borderId="1" xfId="12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justify" vertical="top" wrapText="1"/>
    </xf>
    <xf numFmtId="164" fontId="20" fillId="0" borderId="1" xfId="12" applyNumberFormat="1" applyFont="1" applyFill="1" applyBorder="1" applyAlignment="1">
      <alignment horizontal="right" vertical="top" wrapText="1"/>
    </xf>
    <xf numFmtId="43" fontId="20" fillId="0" borderId="0" xfId="12" applyFont="1" applyFill="1" applyAlignment="1">
      <alignment vertical="center"/>
    </xf>
    <xf numFmtId="43" fontId="20" fillId="0" borderId="0" xfId="12" applyFont="1" applyFill="1" applyAlignment="1">
      <alignment wrapText="1"/>
    </xf>
    <xf numFmtId="164" fontId="20" fillId="0" borderId="24" xfId="12" applyNumberFormat="1" applyFont="1" applyFill="1" applyBorder="1" applyAlignment="1">
      <alignment horizontal="right" vertical="top" wrapText="1"/>
    </xf>
    <xf numFmtId="0" fontId="20" fillId="0" borderId="1" xfId="0" applyFont="1" applyFill="1" applyBorder="1" applyAlignment="1">
      <alignment horizontal="right" vertical="center" wrapText="1"/>
    </xf>
    <xf numFmtId="0" fontId="20" fillId="0" borderId="0" xfId="0" applyFont="1" applyFill="1" applyAlignment="1">
      <alignment vertical="center" wrapText="1"/>
    </xf>
    <xf numFmtId="0" fontId="20" fillId="0" borderId="1" xfId="0" applyFont="1" applyFill="1" applyBorder="1" applyAlignment="1">
      <alignment horizontal="right" vertical="center"/>
    </xf>
    <xf numFmtId="43" fontId="20" fillId="0" borderId="1" xfId="12" applyFont="1" applyFill="1" applyBorder="1" applyAlignment="1">
      <alignment horizontal="right" vertical="center" wrapText="1"/>
    </xf>
    <xf numFmtId="164" fontId="20" fillId="0" borderId="1" xfId="0" applyNumberFormat="1" applyFont="1" applyFill="1" applyBorder="1" applyAlignment="1">
      <alignment horizontal="right" vertical="center" wrapText="1"/>
    </xf>
    <xf numFmtId="2" fontId="20" fillId="0" borderId="1" xfId="12" applyNumberFormat="1" applyFont="1" applyFill="1" applyBorder="1" applyAlignment="1">
      <alignment horizontal="right" vertical="center"/>
    </xf>
    <xf numFmtId="164" fontId="20" fillId="0" borderId="24" xfId="12" applyNumberFormat="1" applyFont="1" applyFill="1" applyBorder="1" applyAlignment="1">
      <alignment horizontal="right" vertical="center"/>
    </xf>
    <xf numFmtId="43" fontId="19" fillId="0" borderId="1" xfId="12" applyFont="1" applyFill="1" applyBorder="1" applyAlignment="1">
      <alignment horizontal="center" vertical="center" wrapText="1"/>
    </xf>
    <xf numFmtId="43" fontId="20" fillId="0" borderId="32" xfId="12" applyFont="1" applyFill="1" applyBorder="1" applyAlignment="1">
      <alignment horizontal="justify" vertical="center" wrapText="1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justify" vertical="center" wrapText="1"/>
    </xf>
    <xf numFmtId="3" fontId="19" fillId="0" borderId="0" xfId="0" applyNumberFormat="1" applyFont="1" applyFill="1" applyBorder="1" applyAlignment="1">
      <alignment horizontal="right" vertical="center" wrapText="1"/>
    </xf>
    <xf numFmtId="164" fontId="19" fillId="0" borderId="0" xfId="12" applyNumberFormat="1" applyFont="1" applyFill="1" applyBorder="1" applyAlignment="1">
      <alignment horizontal="right" vertical="center" wrapText="1"/>
    </xf>
    <xf numFmtId="164" fontId="20" fillId="0" borderId="2" xfId="12" applyNumberFormat="1" applyFont="1" applyFill="1" applyBorder="1" applyAlignment="1">
      <alignment horizontal="right" vertical="center" wrapText="1"/>
    </xf>
    <xf numFmtId="4" fontId="20" fillId="0" borderId="1" xfId="0" applyNumberFormat="1" applyFont="1" applyFill="1" applyBorder="1" applyAlignment="1">
      <alignment horizontal="right" vertical="center" wrapText="1"/>
    </xf>
    <xf numFmtId="2" fontId="20" fillId="0" borderId="1" xfId="12" applyNumberFormat="1" applyFont="1" applyFill="1" applyBorder="1" applyAlignment="1">
      <alignment horizontal="right" vertical="center" wrapText="1"/>
    </xf>
    <xf numFmtId="49" fontId="20" fillId="0" borderId="1" xfId="12" applyNumberFormat="1" applyFont="1" applyFill="1" applyBorder="1" applyAlignment="1">
      <alignment horizontal="left" vertical="top" wrapText="1"/>
    </xf>
    <xf numFmtId="3" fontId="20" fillId="0" borderId="1" xfId="0" applyNumberFormat="1" applyFont="1" applyFill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justify" vertical="center" wrapText="1"/>
    </xf>
    <xf numFmtId="0" fontId="19" fillId="0" borderId="0" xfId="0" applyFont="1" applyFill="1" applyAlignment="1">
      <alignment wrapText="1"/>
    </xf>
    <xf numFmtId="164" fontId="19" fillId="0" borderId="24" xfId="12" applyNumberFormat="1" applyFont="1" applyFill="1" applyBorder="1" applyAlignment="1">
      <alignment horizontal="right" vertical="center" wrapText="1"/>
    </xf>
    <xf numFmtId="0" fontId="20" fillId="0" borderId="2" xfId="0" applyFont="1" applyFill="1" applyBorder="1" applyAlignment="1">
      <alignment horizontal="justify" vertical="center" wrapText="1"/>
    </xf>
    <xf numFmtId="2" fontId="20" fillId="0" borderId="2" xfId="12" applyNumberFormat="1" applyFont="1" applyFill="1" applyBorder="1" applyAlignment="1">
      <alignment horizontal="right" vertical="center" wrapText="1"/>
    </xf>
    <xf numFmtId="164" fontId="20" fillId="0" borderId="24" xfId="12" applyNumberFormat="1" applyFont="1" applyFill="1" applyBorder="1" applyAlignment="1">
      <alignment horizontal="right" vertical="center" wrapText="1"/>
    </xf>
    <xf numFmtId="0" fontId="20" fillId="0" borderId="32" xfId="0" applyFont="1" applyFill="1" applyBorder="1" applyAlignment="1">
      <alignment horizontal="justify" vertical="center" wrapText="1"/>
    </xf>
    <xf numFmtId="164" fontId="19" fillId="0" borderId="41" xfId="12" applyNumberFormat="1" applyFont="1" applyFill="1" applyBorder="1" applyAlignment="1">
      <alignment horizontal="right" vertical="center" wrapText="1"/>
    </xf>
    <xf numFmtId="164" fontId="19" fillId="0" borderId="42" xfId="12" applyNumberFormat="1" applyFont="1" applyFill="1" applyBorder="1" applyAlignment="1">
      <alignment horizontal="right" vertical="center" wrapText="1"/>
    </xf>
    <xf numFmtId="164" fontId="19" fillId="0" borderId="43" xfId="12" applyNumberFormat="1" applyFont="1" applyFill="1" applyBorder="1" applyAlignment="1">
      <alignment horizontal="right" vertical="center" wrapText="1"/>
    </xf>
    <xf numFmtId="0" fontId="19" fillId="0" borderId="1" xfId="0" applyFont="1" applyFill="1" applyBorder="1" applyAlignment="1">
      <alignment horizontal="justify" vertical="center" wrapText="1"/>
    </xf>
    <xf numFmtId="164" fontId="20" fillId="0" borderId="24" xfId="12" applyNumberFormat="1" applyFont="1" applyFill="1" applyBorder="1" applyAlignment="1">
      <alignment wrapText="1"/>
    </xf>
    <xf numFmtId="164" fontId="20" fillId="0" borderId="24" xfId="12" applyNumberFormat="1" applyFont="1" applyFill="1" applyBorder="1" applyAlignment="1"/>
    <xf numFmtId="164" fontId="19" fillId="0" borderId="43" xfId="12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vertical="center" wrapText="1"/>
    </xf>
    <xf numFmtId="164" fontId="19" fillId="0" borderId="0" xfId="12" applyNumberFormat="1" applyFont="1" applyFill="1" applyBorder="1" applyAlignment="1">
      <alignment vertical="center" wrapText="1"/>
    </xf>
    <xf numFmtId="3" fontId="19" fillId="0" borderId="0" xfId="0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wrapText="1"/>
    </xf>
    <xf numFmtId="0" fontId="19" fillId="0" borderId="24" xfId="0" applyFont="1" applyFill="1" applyBorder="1" applyAlignment="1">
      <alignment vertical="center" wrapText="1"/>
    </xf>
    <xf numFmtId="3" fontId="20" fillId="0" borderId="1" xfId="12" applyNumberFormat="1" applyFont="1" applyFill="1" applyBorder="1" applyAlignment="1">
      <alignment horizontal="right" vertical="center" wrapText="1"/>
    </xf>
    <xf numFmtId="164" fontId="20" fillId="0" borderId="1" xfId="12" applyNumberFormat="1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right" vertical="center"/>
    </xf>
    <xf numFmtId="3" fontId="20" fillId="0" borderId="1" xfId="12" applyNumberFormat="1" applyFont="1" applyFill="1" applyBorder="1" applyAlignment="1">
      <alignment horizontal="right" vertical="center"/>
    </xf>
    <xf numFmtId="164" fontId="20" fillId="0" borderId="1" xfId="12" applyNumberFormat="1" applyFont="1" applyFill="1" applyBorder="1" applyAlignment="1">
      <alignment horizontal="center" vertical="center"/>
    </xf>
    <xf numFmtId="2" fontId="20" fillId="0" borderId="1" xfId="12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2" fontId="20" fillId="0" borderId="24" xfId="12" applyNumberFormat="1" applyFont="1" applyFill="1" applyBorder="1" applyAlignment="1">
      <alignment vertical="center"/>
    </xf>
    <xf numFmtId="164" fontId="19" fillId="0" borderId="41" xfId="12" applyNumberFormat="1" applyFont="1" applyFill="1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164" fontId="20" fillId="0" borderId="0" xfId="12" applyNumberFormat="1" applyFont="1" applyFill="1" applyBorder="1" applyAlignment="1">
      <alignment vertical="center" wrapText="1"/>
    </xf>
    <xf numFmtId="3" fontId="20" fillId="0" borderId="0" xfId="0" applyNumberFormat="1" applyFont="1" applyFill="1" applyBorder="1" applyAlignment="1">
      <alignment vertical="center" wrapText="1"/>
    </xf>
    <xf numFmtId="164" fontId="19" fillId="0" borderId="2" xfId="12" applyNumberFormat="1" applyFont="1" applyFill="1" applyBorder="1" applyAlignment="1">
      <alignment vertical="center" wrapText="1"/>
    </xf>
    <xf numFmtId="3" fontId="19" fillId="0" borderId="2" xfId="0" applyNumberFormat="1" applyFont="1" applyFill="1" applyBorder="1" applyAlignment="1">
      <alignment vertical="center" wrapText="1"/>
    </xf>
    <xf numFmtId="164" fontId="19" fillId="0" borderId="1" xfId="12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top"/>
    </xf>
    <xf numFmtId="0" fontId="20" fillId="0" borderId="1" xfId="0" applyFont="1" applyFill="1" applyBorder="1" applyAlignment="1">
      <alignment horizontal="center" vertical="top" wrapText="1"/>
    </xf>
    <xf numFmtId="3" fontId="20" fillId="0" borderId="1" xfId="0" applyNumberFormat="1" applyFont="1" applyFill="1" applyBorder="1" applyAlignment="1">
      <alignment horizontal="right" vertical="top" wrapText="1"/>
    </xf>
    <xf numFmtId="0" fontId="20" fillId="0" borderId="1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vertical="top"/>
    </xf>
    <xf numFmtId="0" fontId="19" fillId="0" borderId="2" xfId="0" applyFont="1" applyFill="1" applyBorder="1" applyAlignment="1">
      <alignment horizontal="center" vertical="top"/>
    </xf>
    <xf numFmtId="0" fontId="19" fillId="0" borderId="32" xfId="0" applyFont="1" applyFill="1" applyBorder="1" applyAlignment="1">
      <alignment horizontal="justify" vertical="top" wrapText="1"/>
    </xf>
    <xf numFmtId="3" fontId="19" fillId="0" borderId="41" xfId="0" applyNumberFormat="1" applyFont="1" applyFill="1" applyBorder="1" applyAlignment="1">
      <alignment horizontal="right" vertical="top" wrapText="1"/>
    </xf>
    <xf numFmtId="164" fontId="19" fillId="0" borderId="41" xfId="12" applyNumberFormat="1" applyFont="1" applyFill="1" applyBorder="1" applyAlignment="1">
      <alignment horizontal="right" vertical="top" wrapText="1"/>
    </xf>
    <xf numFmtId="3" fontId="19" fillId="0" borderId="61" xfId="0" applyNumberFormat="1" applyFont="1" applyFill="1" applyBorder="1" applyAlignment="1">
      <alignment horizontal="right" vertical="top" wrapText="1"/>
    </xf>
    <xf numFmtId="3" fontId="19" fillId="0" borderId="23" xfId="0" applyNumberFormat="1" applyFont="1" applyFill="1" applyBorder="1" applyAlignment="1">
      <alignment horizontal="right" vertical="top" wrapText="1"/>
    </xf>
    <xf numFmtId="164" fontId="19" fillId="0" borderId="31" xfId="12" applyNumberFormat="1" applyFont="1" applyFill="1" applyBorder="1" applyAlignment="1">
      <alignment horizontal="right" vertical="top" wrapText="1"/>
    </xf>
    <xf numFmtId="3" fontId="20" fillId="0" borderId="1" xfId="12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justify" vertical="top"/>
    </xf>
    <xf numFmtId="0" fontId="20" fillId="0" borderId="32" xfId="0" applyFont="1" applyFill="1" applyBorder="1" applyAlignment="1">
      <alignment horizontal="justify" vertical="top" wrapText="1"/>
    </xf>
    <xf numFmtId="3" fontId="20" fillId="0" borderId="24" xfId="0" applyNumberFormat="1" applyFont="1" applyFill="1" applyBorder="1" applyAlignment="1">
      <alignment horizontal="right" vertical="top" wrapText="1"/>
    </xf>
    <xf numFmtId="3" fontId="20" fillId="0" borderId="24" xfId="12" applyNumberFormat="1" applyFont="1" applyFill="1" applyBorder="1" applyAlignment="1">
      <alignment horizontal="right" vertical="center" wrapText="1"/>
    </xf>
    <xf numFmtId="3" fontId="19" fillId="0" borderId="0" xfId="12" applyNumberFormat="1" applyFont="1" applyFill="1" applyBorder="1" applyAlignment="1">
      <alignment vertical="center" wrapText="1"/>
    </xf>
    <xf numFmtId="3" fontId="19" fillId="0" borderId="27" xfId="0" applyNumberFormat="1" applyFont="1" applyFill="1" applyBorder="1" applyAlignment="1">
      <alignment horizontal="right" vertical="top" wrapText="1"/>
    </xf>
    <xf numFmtId="43" fontId="19" fillId="0" borderId="27" xfId="12" applyFont="1" applyFill="1" applyBorder="1" applyAlignment="1">
      <alignment horizontal="right" vertical="top" wrapText="1"/>
    </xf>
    <xf numFmtId="164" fontId="19" fillId="0" borderId="27" xfId="12" applyNumberFormat="1" applyFont="1" applyFill="1" applyBorder="1" applyAlignment="1">
      <alignment horizontal="right" vertical="top" wrapText="1"/>
    </xf>
    <xf numFmtId="0" fontId="20" fillId="0" borderId="1" xfId="0" applyFont="1" applyFill="1" applyBorder="1" applyAlignment="1">
      <alignment horizontal="center"/>
    </xf>
    <xf numFmtId="164" fontId="20" fillId="0" borderId="1" xfId="0" applyNumberFormat="1" applyFont="1" applyFill="1" applyBorder="1" applyAlignment="1">
      <alignment horizontal="right"/>
    </xf>
    <xf numFmtId="164" fontId="20" fillId="0" borderId="1" xfId="12" applyNumberFormat="1" applyFont="1" applyFill="1" applyBorder="1" applyAlignment="1">
      <alignment horizontal="right"/>
    </xf>
    <xf numFmtId="0" fontId="20" fillId="0" borderId="1" xfId="0" applyFont="1" applyFill="1" applyBorder="1" applyAlignment="1">
      <alignment horizontal="center" vertical="top"/>
    </xf>
    <xf numFmtId="164" fontId="20" fillId="0" borderId="1" xfId="0" applyNumberFormat="1" applyFont="1" applyFill="1" applyBorder="1" applyAlignment="1">
      <alignment horizontal="right" vertical="top"/>
    </xf>
    <xf numFmtId="164" fontId="20" fillId="0" borderId="1" xfId="12" applyNumberFormat="1" applyFont="1" applyFill="1" applyBorder="1" applyAlignment="1">
      <alignment horizontal="right" vertical="top"/>
    </xf>
    <xf numFmtId="164" fontId="20" fillId="0" borderId="1" xfId="0" applyNumberFormat="1" applyFont="1" applyFill="1" applyBorder="1" applyAlignment="1">
      <alignment horizontal="right" vertical="top" wrapText="1"/>
    </xf>
    <xf numFmtId="0" fontId="19" fillId="0" borderId="1" xfId="0" applyFont="1" applyFill="1" applyBorder="1" applyAlignment="1">
      <alignment horizontal="center" vertical="top" wrapText="1"/>
    </xf>
    <xf numFmtId="164" fontId="19" fillId="0" borderId="1" xfId="0" applyNumberFormat="1" applyFont="1" applyFill="1" applyBorder="1" applyAlignment="1">
      <alignment horizontal="right" vertical="top" wrapText="1"/>
    </xf>
    <xf numFmtId="164" fontId="19" fillId="0" borderId="1" xfId="12" applyNumberFormat="1" applyFont="1" applyFill="1" applyBorder="1" applyAlignment="1">
      <alignment horizontal="right" vertical="top"/>
    </xf>
    <xf numFmtId="0" fontId="19" fillId="0" borderId="1" xfId="0" applyFont="1" applyFill="1" applyBorder="1" applyAlignment="1">
      <alignment vertical="center"/>
    </xf>
    <xf numFmtId="3" fontId="19" fillId="0" borderId="1" xfId="12" applyNumberFormat="1" applyFont="1" applyFill="1" applyBorder="1" applyAlignment="1">
      <alignment vertical="center" wrapText="1"/>
    </xf>
    <xf numFmtId="164" fontId="20" fillId="0" borderId="24" xfId="12" applyNumberFormat="1" applyFont="1" applyFill="1" applyBorder="1" applyAlignment="1">
      <alignment horizontal="center"/>
    </xf>
    <xf numFmtId="164" fontId="20" fillId="0" borderId="0" xfId="12" applyNumberFormat="1" applyFont="1" applyFill="1" applyAlignment="1">
      <alignment horizontal="right"/>
    </xf>
    <xf numFmtId="164" fontId="19" fillId="0" borderId="41" xfId="0" applyNumberFormat="1" applyFont="1" applyFill="1" applyBorder="1" applyAlignment="1">
      <alignment horizontal="right" vertical="top" wrapText="1"/>
    </xf>
    <xf numFmtId="164" fontId="19" fillId="0" borderId="42" xfId="0" applyNumberFormat="1" applyFont="1" applyFill="1" applyBorder="1" applyAlignment="1">
      <alignment horizontal="right" vertical="top" wrapText="1"/>
    </xf>
    <xf numFmtId="164" fontId="19" fillId="0" borderId="43" xfId="12" applyNumberFormat="1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right" vertical="top" wrapText="1"/>
    </xf>
    <xf numFmtId="164" fontId="19" fillId="0" borderId="0" xfId="12" applyNumberFormat="1" applyFont="1" applyFill="1" applyBorder="1" applyAlignment="1">
      <alignment horizontal="right" vertical="top" wrapText="1"/>
    </xf>
    <xf numFmtId="3" fontId="20" fillId="0" borderId="2" xfId="0" applyNumberFormat="1" applyFont="1" applyFill="1" applyBorder="1" applyAlignment="1">
      <alignment horizontal="right" vertical="center" wrapText="1"/>
    </xf>
    <xf numFmtId="164" fontId="20" fillId="0" borderId="2" xfId="12" applyNumberFormat="1" applyFont="1" applyFill="1" applyBorder="1" applyAlignment="1">
      <alignment horizontal="right" vertical="top" wrapText="1"/>
    </xf>
    <xf numFmtId="164" fontId="20" fillId="0" borderId="1" xfId="12" applyNumberFormat="1" applyFont="1" applyFill="1" applyBorder="1" applyAlignment="1">
      <alignment horizontal="center" vertical="top" wrapText="1"/>
    </xf>
    <xf numFmtId="0" fontId="20" fillId="0" borderId="2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vertical="center" wrapText="1"/>
    </xf>
    <xf numFmtId="164" fontId="19" fillId="0" borderId="28" xfId="12" applyNumberFormat="1" applyFont="1" applyFill="1" applyBorder="1" applyAlignment="1">
      <alignment vertical="center" wrapText="1"/>
    </xf>
    <xf numFmtId="3" fontId="19" fillId="0" borderId="28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/>
    </xf>
    <xf numFmtId="164" fontId="20" fillId="0" borderId="1" xfId="0" applyNumberFormat="1" applyFont="1" applyFill="1" applyBorder="1" applyAlignment="1">
      <alignment vertical="top"/>
    </xf>
    <xf numFmtId="0" fontId="20" fillId="0" borderId="1" xfId="0" applyFont="1" applyFill="1" applyBorder="1" applyAlignment="1">
      <alignment horizontal="left" vertical="top"/>
    </xf>
    <xf numFmtId="164" fontId="19" fillId="0" borderId="1" xfId="12" applyNumberFormat="1" applyFont="1" applyFill="1" applyBorder="1" applyAlignment="1">
      <alignment horizontal="right" vertical="top" wrapText="1"/>
    </xf>
    <xf numFmtId="164" fontId="20" fillId="0" borderId="1" xfId="12" applyNumberFormat="1" applyFont="1" applyFill="1" applyBorder="1" applyAlignment="1">
      <alignment vertical="top"/>
    </xf>
    <xf numFmtId="3" fontId="19" fillId="0" borderId="1" xfId="0" applyNumberFormat="1" applyFont="1" applyFill="1" applyBorder="1" applyAlignment="1">
      <alignment horizontal="right" vertical="top" wrapText="1"/>
    </xf>
    <xf numFmtId="3" fontId="19" fillId="0" borderId="1" xfId="12" applyNumberFormat="1" applyFont="1" applyFill="1" applyBorder="1" applyAlignment="1">
      <alignment horizontal="right" vertical="top" wrapText="1"/>
    </xf>
    <xf numFmtId="0" fontId="20" fillId="0" borderId="32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 wrapText="1"/>
    </xf>
    <xf numFmtId="3" fontId="20" fillId="0" borderId="0" xfId="12" applyNumberFormat="1" applyFont="1" applyFill="1"/>
    <xf numFmtId="3" fontId="19" fillId="0" borderId="11" xfId="0" applyNumberFormat="1" applyFont="1" applyFill="1" applyBorder="1" applyAlignment="1">
      <alignment horizontal="right" vertical="top" wrapText="1"/>
    </xf>
    <xf numFmtId="164" fontId="19" fillId="0" borderId="7" xfId="12" applyNumberFormat="1" applyFont="1" applyFill="1" applyBorder="1" applyAlignment="1">
      <alignment horizontal="right" vertical="top" wrapText="1"/>
    </xf>
    <xf numFmtId="164" fontId="20" fillId="0" borderId="2" xfId="12" applyNumberFormat="1" applyFont="1" applyFill="1" applyBorder="1" applyAlignment="1">
      <alignment vertical="center" wrapText="1"/>
    </xf>
    <xf numFmtId="3" fontId="20" fillId="0" borderId="32" xfId="0" applyNumberFormat="1" applyFont="1" applyFill="1" applyBorder="1" applyAlignment="1">
      <alignment horizontal="right" vertical="center" wrapText="1"/>
    </xf>
    <xf numFmtId="3" fontId="19" fillId="0" borderId="43" xfId="0" applyNumberFormat="1" applyFont="1" applyFill="1" applyBorder="1" applyAlignment="1">
      <alignment horizontal="right" vertical="top" wrapText="1"/>
    </xf>
    <xf numFmtId="0" fontId="20" fillId="0" borderId="0" xfId="0" applyFont="1" applyFill="1" applyBorder="1" applyAlignment="1">
      <alignment horizontal="justify" vertical="top" wrapText="1"/>
    </xf>
    <xf numFmtId="3" fontId="19" fillId="0" borderId="0" xfId="0" applyNumberFormat="1" applyFont="1" applyFill="1" applyBorder="1" applyAlignment="1">
      <alignment horizontal="right" vertical="top" wrapText="1"/>
    </xf>
    <xf numFmtId="0" fontId="19" fillId="0" borderId="41" xfId="46" applyFont="1" applyFill="1" applyBorder="1" applyAlignment="1">
      <alignment horizontal="center" vertical="center" wrapText="1"/>
    </xf>
    <xf numFmtId="0" fontId="19" fillId="0" borderId="42" xfId="46" applyFont="1" applyFill="1" applyBorder="1" applyAlignment="1">
      <alignment horizontal="center" vertical="center" wrapText="1"/>
    </xf>
    <xf numFmtId="3" fontId="19" fillId="0" borderId="42" xfId="46" applyNumberFormat="1" applyFont="1" applyFill="1" applyBorder="1" applyAlignment="1">
      <alignment horizontal="center" vertical="center" wrapText="1"/>
    </xf>
    <xf numFmtId="164" fontId="19" fillId="0" borderId="43" xfId="12" applyNumberFormat="1" applyFont="1" applyFill="1" applyBorder="1" applyAlignment="1">
      <alignment horizontal="center" vertical="center" wrapText="1"/>
    </xf>
    <xf numFmtId="0" fontId="20" fillId="0" borderId="2" xfId="46" applyFont="1" applyFill="1" applyBorder="1" applyAlignment="1">
      <alignment horizontal="center" vertical="center" wrapText="1"/>
    </xf>
    <xf numFmtId="0" fontId="20" fillId="0" borderId="2" xfId="46" applyFont="1" applyFill="1" applyBorder="1" applyAlignment="1">
      <alignment horizontal="center" vertical="top" wrapText="1"/>
    </xf>
    <xf numFmtId="0" fontId="20" fillId="0" borderId="2" xfId="46" applyFont="1" applyFill="1" applyBorder="1" applyAlignment="1">
      <alignment horizontal="justify" vertical="top" wrapText="1"/>
    </xf>
    <xf numFmtId="3" fontId="20" fillId="0" borderId="2" xfId="46" applyNumberFormat="1" applyFont="1" applyFill="1" applyBorder="1" applyAlignment="1">
      <alignment horizontal="right" vertical="center" wrapText="1"/>
    </xf>
    <xf numFmtId="0" fontId="20" fillId="0" borderId="1" xfId="46" applyFont="1" applyFill="1" applyBorder="1" applyAlignment="1">
      <alignment horizontal="center" vertical="center" wrapText="1"/>
    </xf>
    <xf numFmtId="0" fontId="20" fillId="0" borderId="1" xfId="46" applyFont="1" applyFill="1" applyBorder="1" applyAlignment="1">
      <alignment horizontal="center" vertical="top" wrapText="1"/>
    </xf>
    <xf numFmtId="0" fontId="20" fillId="0" borderId="1" xfId="46" applyFont="1" applyFill="1" applyBorder="1" applyAlignment="1">
      <alignment horizontal="justify" vertical="top" wrapText="1"/>
    </xf>
    <xf numFmtId="3" fontId="20" fillId="0" borderId="1" xfId="46" applyNumberFormat="1" applyFont="1" applyFill="1" applyBorder="1" applyAlignment="1">
      <alignment horizontal="right" vertical="center" wrapText="1"/>
    </xf>
    <xf numFmtId="3" fontId="20" fillId="0" borderId="0" xfId="46" applyNumberFormat="1" applyFont="1" applyFill="1"/>
    <xf numFmtId="3" fontId="19" fillId="0" borderId="41" xfId="46" applyNumberFormat="1" applyFont="1" applyFill="1" applyBorder="1" applyAlignment="1">
      <alignment horizontal="right" vertical="top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justify" vertical="top" wrapText="1"/>
    </xf>
    <xf numFmtId="0" fontId="20" fillId="0" borderId="27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top"/>
    </xf>
    <xf numFmtId="0" fontId="20" fillId="0" borderId="27" xfId="0" applyFont="1" applyFill="1" applyBorder="1" applyAlignment="1">
      <alignment horizontal="justify" vertical="top" wrapText="1"/>
    </xf>
    <xf numFmtId="3" fontId="19" fillId="0" borderId="27" xfId="12" applyNumberFormat="1" applyFont="1" applyFill="1" applyBorder="1" applyAlignment="1">
      <alignment horizontal="right" vertical="top" wrapText="1"/>
    </xf>
    <xf numFmtId="0" fontId="20" fillId="0" borderId="32" xfId="0" applyFont="1" applyFill="1" applyBorder="1" applyAlignment="1">
      <alignment horizontal="center" vertical="top"/>
    </xf>
    <xf numFmtId="3" fontId="20" fillId="0" borderId="38" xfId="0" applyNumberFormat="1" applyFont="1" applyFill="1" applyBorder="1" applyAlignment="1">
      <alignment horizontal="right" vertical="center" wrapText="1"/>
    </xf>
    <xf numFmtId="0" fontId="20" fillId="0" borderId="32" xfId="0" applyFont="1" applyFill="1" applyBorder="1" applyAlignment="1">
      <alignment horizontal="center" vertical="top" wrapText="1"/>
    </xf>
    <xf numFmtId="3" fontId="20" fillId="0" borderId="51" xfId="0" applyNumberFormat="1" applyFont="1" applyFill="1" applyBorder="1" applyAlignment="1">
      <alignment horizontal="right" vertical="center" wrapText="1"/>
    </xf>
    <xf numFmtId="0" fontId="19" fillId="0" borderId="38" xfId="0" applyFont="1" applyFill="1" applyBorder="1" applyAlignment="1">
      <alignment vertical="center" wrapText="1"/>
    </xf>
    <xf numFmtId="164" fontId="19" fillId="0" borderId="11" xfId="12" applyNumberFormat="1" applyFont="1" applyFill="1" applyBorder="1" applyAlignment="1">
      <alignment vertical="center" wrapText="1"/>
    </xf>
    <xf numFmtId="3" fontId="20" fillId="0" borderId="2" xfId="0" applyNumberFormat="1" applyFont="1" applyFill="1" applyBorder="1" applyAlignment="1">
      <alignment vertical="center" wrapText="1"/>
    </xf>
    <xf numFmtId="3" fontId="20" fillId="0" borderId="0" xfId="0" applyNumberFormat="1" applyFont="1" applyFill="1"/>
    <xf numFmtId="0" fontId="19" fillId="0" borderId="24" xfId="0" applyFont="1" applyFill="1" applyBorder="1" applyAlignment="1">
      <alignment horizontal="right" vertical="center" wrapText="1"/>
    </xf>
    <xf numFmtId="0" fontId="19" fillId="0" borderId="27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horizontal="left" vertical="center"/>
    </xf>
    <xf numFmtId="3" fontId="19" fillId="0" borderId="1" xfId="0" applyNumberFormat="1" applyFont="1" applyFill="1" applyBorder="1" applyAlignment="1">
      <alignment horizontal="center" vertical="center" wrapText="1"/>
    </xf>
    <xf numFmtId="164" fontId="20" fillId="0" borderId="1" xfId="12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vertical="top"/>
    </xf>
    <xf numFmtId="0" fontId="20" fillId="0" borderId="32" xfId="0" applyFont="1" applyFill="1" applyBorder="1" applyAlignment="1">
      <alignment horizontal="left" vertical="top"/>
    </xf>
    <xf numFmtId="3" fontId="20" fillId="0" borderId="24" xfId="0" applyNumberFormat="1" applyFont="1" applyFill="1" applyBorder="1" applyAlignment="1">
      <alignment vertical="top"/>
    </xf>
    <xf numFmtId="164" fontId="20" fillId="0" borderId="24" xfId="12" applyNumberFormat="1" applyFont="1" applyFill="1" applyBorder="1" applyAlignment="1">
      <alignment vertical="top"/>
    </xf>
    <xf numFmtId="3" fontId="19" fillId="0" borderId="28" xfId="12" applyNumberFormat="1" applyFont="1" applyFill="1" applyBorder="1" applyAlignment="1">
      <alignment vertical="center" wrapText="1"/>
    </xf>
    <xf numFmtId="0" fontId="20" fillId="0" borderId="1" xfId="0" quotePrefix="1" applyFont="1" applyFill="1" applyBorder="1" applyAlignment="1">
      <alignment horizontal="justify" vertical="top" wrapText="1"/>
    </xf>
    <xf numFmtId="0" fontId="20" fillId="0" borderId="0" xfId="0" applyFont="1" applyFill="1" applyAlignment="1">
      <alignment horizontal="right"/>
    </xf>
    <xf numFmtId="3" fontId="20" fillId="0" borderId="1" xfId="0" applyNumberFormat="1" applyFont="1" applyFill="1" applyBorder="1" applyAlignment="1">
      <alignment horizontal="right" vertical="top"/>
    </xf>
    <xf numFmtId="0" fontId="19" fillId="0" borderId="32" xfId="0" applyFont="1" applyFill="1" applyBorder="1" applyAlignment="1">
      <alignment horizontal="left" vertical="top"/>
    </xf>
    <xf numFmtId="0" fontId="19" fillId="0" borderId="36" xfId="0" applyFont="1" applyFill="1" applyBorder="1" applyAlignment="1">
      <alignment horizontal="left" vertical="top"/>
    </xf>
    <xf numFmtId="0" fontId="20" fillId="0" borderId="36" xfId="0" applyFont="1" applyFill="1" applyBorder="1" applyAlignment="1">
      <alignment horizontal="justify" vertical="top" wrapText="1"/>
    </xf>
    <xf numFmtId="0" fontId="20" fillId="0" borderId="2" xfId="0" applyFont="1" applyFill="1" applyBorder="1" applyAlignment="1"/>
    <xf numFmtId="164" fontId="20" fillId="0" borderId="2" xfId="12" applyNumberFormat="1" applyFont="1" applyFill="1" applyBorder="1" applyAlignment="1">
      <alignment horizontal="right"/>
    </xf>
    <xf numFmtId="3" fontId="20" fillId="0" borderId="2" xfId="12" applyNumberFormat="1" applyFont="1" applyFill="1" applyBorder="1" applyAlignment="1">
      <alignment horizontal="right" vertical="center" wrapText="1"/>
    </xf>
    <xf numFmtId="0" fontId="20" fillId="0" borderId="1" xfId="0" applyFont="1" applyFill="1" applyBorder="1" applyAlignment="1"/>
    <xf numFmtId="3" fontId="20" fillId="0" borderId="1" xfId="12" applyNumberFormat="1" applyFont="1" applyFill="1" applyBorder="1" applyAlignment="1">
      <alignment horizontal="right"/>
    </xf>
    <xf numFmtId="3" fontId="20" fillId="0" borderId="1" xfId="12" applyNumberFormat="1" applyFont="1" applyFill="1" applyBorder="1" applyAlignment="1">
      <alignment horizontal="right" vertical="top"/>
    </xf>
    <xf numFmtId="3" fontId="20" fillId="0" borderId="1" xfId="12" applyNumberFormat="1" applyFont="1" applyFill="1" applyBorder="1" applyAlignment="1">
      <alignment horizontal="right" wrapText="1"/>
    </xf>
    <xf numFmtId="164" fontId="20" fillId="0" borderId="1" xfId="12" applyNumberFormat="1" applyFont="1" applyFill="1" applyBorder="1" applyAlignment="1">
      <alignment horizontal="right" wrapText="1"/>
    </xf>
    <xf numFmtId="3" fontId="20" fillId="0" borderId="24" xfId="12" applyNumberFormat="1" applyFont="1" applyFill="1" applyBorder="1" applyAlignment="1">
      <alignment horizontal="right"/>
    </xf>
    <xf numFmtId="0" fontId="20" fillId="0" borderId="30" xfId="0" applyFont="1" applyFill="1" applyBorder="1"/>
    <xf numFmtId="3" fontId="20" fillId="0" borderId="2" xfId="0" applyNumberFormat="1" applyFont="1" applyFill="1" applyBorder="1" applyAlignment="1">
      <alignment horizontal="right" vertical="top" wrapText="1"/>
    </xf>
    <xf numFmtId="3" fontId="19" fillId="0" borderId="42" xfId="0" applyNumberFormat="1" applyFont="1" applyFill="1" applyBorder="1" applyAlignment="1">
      <alignment horizontal="right" vertical="top" wrapText="1"/>
    </xf>
    <xf numFmtId="0" fontId="19" fillId="0" borderId="24" xfId="0" applyFont="1" applyFill="1" applyBorder="1" applyAlignment="1">
      <alignment vertical="center"/>
    </xf>
    <xf numFmtId="3" fontId="20" fillId="0" borderId="2" xfId="0" applyNumberFormat="1" applyFont="1" applyFill="1" applyBorder="1" applyAlignment="1">
      <alignment vertical="top" wrapText="1"/>
    </xf>
    <xf numFmtId="164" fontId="20" fillId="0" borderId="1" xfId="12" applyNumberFormat="1" applyFont="1" applyFill="1" applyBorder="1" applyAlignment="1">
      <alignment vertical="top" wrapText="1"/>
    </xf>
    <xf numFmtId="3" fontId="20" fillId="0" borderId="1" xfId="0" applyNumberFormat="1" applyFont="1" applyFill="1" applyBorder="1" applyAlignment="1">
      <alignment vertical="top" wrapText="1"/>
    </xf>
    <xf numFmtId="43" fontId="20" fillId="0" borderId="2" xfId="12" applyFont="1" applyFill="1" applyBorder="1" applyAlignment="1">
      <alignment horizontal="right" vertical="center" wrapText="1"/>
    </xf>
    <xf numFmtId="3" fontId="20" fillId="0" borderId="1" xfId="12" applyNumberFormat="1" applyFont="1" applyFill="1" applyBorder="1" applyAlignment="1">
      <alignment vertical="top"/>
    </xf>
    <xf numFmtId="164" fontId="19" fillId="0" borderId="58" xfId="12" applyNumberFormat="1" applyFont="1" applyFill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19" fillId="0" borderId="50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3" fontId="20" fillId="0" borderId="2" xfId="12" applyNumberFormat="1" applyFont="1" applyFill="1" applyBorder="1" applyAlignment="1" applyProtection="1">
      <alignment horizontal="right" wrapText="1"/>
      <protection locked="0" hidden="1"/>
    </xf>
    <xf numFmtId="164" fontId="20" fillId="0" borderId="2" xfId="12" applyNumberFormat="1" applyFont="1" applyFill="1" applyBorder="1" applyAlignment="1" applyProtection="1">
      <alignment horizontal="left" wrapText="1"/>
      <protection locked="0" hidden="1"/>
    </xf>
    <xf numFmtId="3" fontId="20" fillId="0" borderId="1" xfId="12" applyNumberFormat="1" applyFont="1" applyFill="1" applyBorder="1" applyAlignment="1" applyProtection="1">
      <alignment horizontal="right" wrapText="1"/>
      <protection locked="0" hidden="1"/>
    </xf>
    <xf numFmtId="164" fontId="20" fillId="0" borderId="1" xfId="12" applyNumberFormat="1" applyFont="1" applyFill="1" applyBorder="1" applyAlignment="1" applyProtection="1">
      <alignment horizontal="left" wrapText="1"/>
      <protection locked="0" hidden="1"/>
    </xf>
    <xf numFmtId="164" fontId="20" fillId="0" borderId="1" xfId="12" applyNumberFormat="1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justify" vertical="top"/>
    </xf>
    <xf numFmtId="3" fontId="20" fillId="0" borderId="2" xfId="12" applyNumberFormat="1" applyFont="1" applyFill="1" applyBorder="1" applyAlignment="1">
      <alignment horizontal="right" vertical="top" wrapText="1"/>
    </xf>
    <xf numFmtId="3" fontId="19" fillId="0" borderId="7" xfId="12" applyNumberFormat="1" applyFont="1" applyFill="1" applyBorder="1" applyAlignment="1">
      <alignment horizontal="right" vertical="top" wrapText="1"/>
    </xf>
    <xf numFmtId="164" fontId="19" fillId="0" borderId="22" xfId="12" applyNumberFormat="1" applyFont="1" applyFill="1" applyBorder="1" applyAlignment="1">
      <alignment horizontal="right" vertical="top" wrapText="1"/>
    </xf>
    <xf numFmtId="0" fontId="19" fillId="0" borderId="24" xfId="0" applyFont="1" applyFill="1" applyBorder="1" applyAlignment="1">
      <alignment horizontal="right" vertical="center"/>
    </xf>
    <xf numFmtId="0" fontId="19" fillId="0" borderId="42" xfId="0" applyFont="1" applyFill="1" applyBorder="1" applyAlignment="1">
      <alignment horizontal="center" vertical="center" wrapText="1"/>
    </xf>
    <xf numFmtId="3" fontId="20" fillId="0" borderId="2" xfId="0" applyNumberFormat="1" applyFont="1" applyFill="1" applyBorder="1"/>
    <xf numFmtId="164" fontId="20" fillId="0" borderId="0" xfId="12" applyNumberFormat="1" applyFont="1" applyFill="1" applyAlignment="1">
      <alignment vertical="center" wrapText="1"/>
    </xf>
    <xf numFmtId="0" fontId="20" fillId="0" borderId="24" xfId="0" applyFont="1" applyFill="1" applyBorder="1" applyAlignment="1">
      <alignment horizontal="justify" vertical="top" wrapText="1"/>
    </xf>
    <xf numFmtId="164" fontId="19" fillId="0" borderId="42" xfId="12" applyNumberFormat="1" applyFont="1" applyFill="1" applyBorder="1" applyAlignment="1">
      <alignment horizontal="right" vertical="top" wrapText="1"/>
    </xf>
    <xf numFmtId="0" fontId="19" fillId="0" borderId="2" xfId="0" applyFont="1" applyFill="1" applyBorder="1" applyAlignment="1">
      <alignment vertical="center" wrapText="1"/>
    </xf>
    <xf numFmtId="164" fontId="19" fillId="0" borderId="42" xfId="12" applyNumberFormat="1" applyFont="1" applyFill="1" applyBorder="1" applyAlignment="1">
      <alignment horizontal="center" vertical="center" wrapText="1"/>
    </xf>
    <xf numFmtId="0" fontId="20" fillId="0" borderId="2" xfId="35" applyFont="1" applyFill="1" applyBorder="1" applyAlignment="1">
      <alignment horizontal="center" vertical="center"/>
    </xf>
    <xf numFmtId="0" fontId="20" fillId="0" borderId="2" xfId="35" applyFont="1" applyFill="1" applyBorder="1" applyAlignment="1">
      <alignment vertical="center"/>
    </xf>
    <xf numFmtId="3" fontId="20" fillId="0" borderId="2" xfId="35" applyNumberFormat="1" applyFont="1" applyFill="1" applyBorder="1" applyAlignment="1">
      <alignment vertical="center"/>
    </xf>
    <xf numFmtId="0" fontId="20" fillId="0" borderId="2" xfId="0" applyFont="1" applyFill="1" applyBorder="1"/>
    <xf numFmtId="0" fontId="20" fillId="0" borderId="2" xfId="0" applyFont="1" applyFill="1" applyBorder="1" applyAlignment="1">
      <alignment horizontal="center" vertical="top"/>
    </xf>
    <xf numFmtId="0" fontId="20" fillId="0" borderId="2" xfId="0" applyFont="1" applyFill="1" applyBorder="1" applyAlignment="1">
      <alignment horizontal="left" vertical="top" wrapText="1"/>
    </xf>
    <xf numFmtId="164" fontId="20" fillId="0" borderId="2" xfId="12" applyNumberFormat="1" applyFont="1" applyFill="1" applyBorder="1" applyAlignment="1">
      <alignment vertical="top"/>
    </xf>
    <xf numFmtId="0" fontId="20" fillId="0" borderId="2" xfId="0" applyFont="1" applyFill="1" applyBorder="1" applyAlignment="1">
      <alignment vertical="top"/>
    </xf>
    <xf numFmtId="3" fontId="20" fillId="0" borderId="2" xfId="12" applyNumberFormat="1" applyFont="1" applyFill="1" applyBorder="1" applyAlignment="1">
      <alignment vertical="top"/>
    </xf>
    <xf numFmtId="3" fontId="20" fillId="0" borderId="24" xfId="0" applyNumberFormat="1" applyFont="1" applyFill="1" applyBorder="1" applyAlignment="1">
      <alignment horizontal="right" vertical="top"/>
    </xf>
    <xf numFmtId="3" fontId="20" fillId="0" borderId="0" xfId="0" applyNumberFormat="1" applyFont="1" applyFill="1" applyAlignment="1">
      <alignment vertical="center" wrapText="1"/>
    </xf>
    <xf numFmtId="0" fontId="20" fillId="0" borderId="0" xfId="0" applyFont="1" applyFill="1" applyAlignment="1">
      <alignment horizontal="center" vertical="center" wrapText="1"/>
    </xf>
    <xf numFmtId="0" fontId="19" fillId="0" borderId="32" xfId="0" applyFont="1" applyFill="1" applyBorder="1" applyAlignment="1">
      <alignment vertical="top"/>
    </xf>
    <xf numFmtId="0" fontId="19" fillId="0" borderId="73" xfId="0" applyFont="1" applyFill="1" applyBorder="1" applyAlignment="1">
      <alignment vertical="top"/>
    </xf>
    <xf numFmtId="0" fontId="19" fillId="0" borderId="74" xfId="0" applyFont="1" applyFill="1" applyBorder="1" applyAlignment="1">
      <alignment vertical="top"/>
    </xf>
    <xf numFmtId="0" fontId="19" fillId="0" borderId="11" xfId="46" applyFont="1" applyFill="1" applyBorder="1" applyAlignment="1">
      <alignment vertical="top"/>
    </xf>
    <xf numFmtId="0" fontId="19" fillId="0" borderId="22" xfId="46" applyFont="1" applyFill="1" applyBorder="1" applyAlignment="1">
      <alignment vertical="top"/>
    </xf>
    <xf numFmtId="0" fontId="19" fillId="0" borderId="67" xfId="0" applyFont="1" applyFill="1" applyBorder="1" applyAlignment="1">
      <alignment vertical="top"/>
    </xf>
    <xf numFmtId="0" fontId="54" fillId="18" borderId="0" xfId="0" applyFont="1" applyFill="1"/>
    <xf numFmtId="0" fontId="55" fillId="18" borderId="0" xfId="0" applyFont="1" applyFill="1"/>
    <xf numFmtId="0" fontId="56" fillId="18" borderId="0" xfId="0" applyFont="1" applyFill="1" applyAlignment="1">
      <alignment horizontal="center" vertical="center"/>
    </xf>
    <xf numFmtId="164" fontId="61" fillId="16" borderId="1" xfId="12" applyNumberFormat="1" applyFont="1" applyFill="1" applyBorder="1" applyAlignment="1" applyProtection="1">
      <alignment horizontal="right" vertical="center"/>
      <protection hidden="1"/>
    </xf>
    <xf numFmtId="164" fontId="62" fillId="16" borderId="1" xfId="12" applyNumberFormat="1" applyFont="1" applyFill="1" applyBorder="1" applyAlignment="1" applyProtection="1">
      <alignment horizontal="right" vertical="center"/>
      <protection hidden="1"/>
    </xf>
    <xf numFmtId="164" fontId="61" fillId="16" borderId="24" xfId="12" applyNumberFormat="1" applyFont="1" applyFill="1" applyBorder="1" applyAlignment="1" applyProtection="1">
      <alignment horizontal="right" vertical="center"/>
      <protection hidden="1"/>
    </xf>
    <xf numFmtId="0" fontId="63" fillId="0" borderId="0" xfId="0" applyFont="1"/>
    <xf numFmtId="0" fontId="64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40" fillId="16" borderId="0" xfId="0" applyFont="1" applyFill="1" applyAlignment="1">
      <alignment vertical="center"/>
    </xf>
    <xf numFmtId="0" fontId="16" fillId="16" borderId="0" xfId="15" applyFont="1" applyFill="1" applyAlignment="1" applyProtection="1">
      <alignment horizontal="center"/>
      <protection locked="0"/>
    </xf>
    <xf numFmtId="0" fontId="16" fillId="16" borderId="14" xfId="36" applyFont="1" applyFill="1" applyBorder="1" applyAlignment="1" applyProtection="1">
      <alignment horizontal="center" vertical="center"/>
      <protection locked="0"/>
    </xf>
    <xf numFmtId="0" fontId="16" fillId="16" borderId="13" xfId="36" applyFont="1" applyFill="1" applyBorder="1" applyAlignment="1" applyProtection="1">
      <alignment vertical="center"/>
      <protection locked="0"/>
    </xf>
    <xf numFmtId="0" fontId="16" fillId="16" borderId="14" xfId="36" applyFont="1" applyFill="1" applyBorder="1" applyAlignment="1" applyProtection="1">
      <alignment horizontal="center" vertical="center" wrapText="1"/>
      <protection locked="0"/>
    </xf>
    <xf numFmtId="0" fontId="16" fillId="16" borderId="3" xfId="36" applyFont="1" applyFill="1" applyBorder="1" applyAlignment="1" applyProtection="1">
      <alignment horizontal="center" vertical="center"/>
      <protection locked="0"/>
    </xf>
    <xf numFmtId="0" fontId="16" fillId="16" borderId="0" xfId="36" applyFont="1" applyFill="1" applyBorder="1" applyAlignment="1" applyProtection="1">
      <alignment horizontal="center" vertical="center"/>
      <protection locked="0"/>
    </xf>
    <xf numFmtId="0" fontId="16" fillId="16" borderId="3" xfId="36" applyFont="1" applyFill="1" applyBorder="1" applyAlignment="1" applyProtection="1">
      <alignment vertical="center"/>
      <protection locked="0"/>
    </xf>
    <xf numFmtId="0" fontId="16" fillId="16" borderId="0" xfId="36" applyFont="1" applyFill="1" applyBorder="1" applyAlignment="1" applyProtection="1">
      <alignment vertical="center"/>
      <protection locked="0"/>
    </xf>
    <xf numFmtId="0" fontId="16" fillId="16" borderId="4" xfId="36" applyFont="1" applyFill="1" applyBorder="1" applyAlignment="1" applyProtection="1">
      <alignment vertical="center"/>
      <protection locked="0"/>
    </xf>
    <xf numFmtId="0" fontId="16" fillId="16" borderId="21" xfId="36" applyFont="1" applyFill="1" applyBorder="1" applyAlignment="1" applyProtection="1">
      <alignment vertical="center"/>
      <protection locked="0"/>
    </xf>
    <xf numFmtId="3" fontId="16" fillId="16" borderId="4" xfId="36" applyNumberFormat="1" applyFont="1" applyFill="1" applyBorder="1" applyAlignment="1" applyProtection="1">
      <alignment horizontal="center" vertical="center"/>
      <protection locked="0"/>
    </xf>
    <xf numFmtId="1" fontId="16" fillId="16" borderId="1" xfId="36" applyNumberFormat="1" applyFont="1" applyFill="1" applyBorder="1" applyAlignment="1" applyProtection="1">
      <alignment horizontal="center" vertical="center"/>
      <protection locked="0"/>
    </xf>
    <xf numFmtId="0" fontId="16" fillId="16" borderId="1" xfId="36" applyFont="1" applyFill="1" applyBorder="1" applyAlignment="1" applyProtection="1">
      <alignment vertical="center" wrapText="1"/>
      <protection locked="0"/>
    </xf>
    <xf numFmtId="1" fontId="16" fillId="16" borderId="0" xfId="36" applyNumberFormat="1" applyFont="1" applyFill="1" applyBorder="1" applyAlignment="1" applyProtection="1">
      <alignment horizontal="center" vertical="center"/>
      <protection locked="0"/>
    </xf>
    <xf numFmtId="0" fontId="16" fillId="16" borderId="0" xfId="36" applyFont="1" applyFill="1" applyBorder="1" applyAlignment="1" applyProtection="1">
      <alignment vertical="center" wrapText="1"/>
      <protection locked="0"/>
    </xf>
    <xf numFmtId="1" fontId="15" fillId="16" borderId="0" xfId="36" applyNumberFormat="1" applyFont="1" applyFill="1" applyBorder="1" applyAlignment="1" applyProtection="1">
      <alignment horizontal="center" vertical="center"/>
      <protection locked="0"/>
    </xf>
    <xf numFmtId="0" fontId="15" fillId="16" borderId="0" xfId="36" applyFont="1" applyFill="1" applyBorder="1" applyAlignment="1" applyProtection="1">
      <alignment vertical="center" wrapText="1"/>
      <protection locked="0"/>
    </xf>
    <xf numFmtId="1" fontId="16" fillId="16" borderId="1" xfId="36" applyNumberFormat="1" applyFont="1" applyFill="1" applyBorder="1" applyAlignment="1" applyProtection="1">
      <alignment horizontal="center"/>
      <protection locked="0"/>
    </xf>
    <xf numFmtId="0" fontId="16" fillId="16" borderId="1" xfId="36" applyFont="1" applyFill="1" applyBorder="1" applyAlignment="1" applyProtection="1">
      <alignment vertical="top" wrapText="1"/>
      <protection locked="0"/>
    </xf>
    <xf numFmtId="0" fontId="15" fillId="16" borderId="32" xfId="0" applyFont="1" applyFill="1" applyBorder="1" applyAlignment="1" applyProtection="1">
      <alignment vertical="center" wrapText="1"/>
      <protection locked="0"/>
    </xf>
    <xf numFmtId="164" fontId="15" fillId="16" borderId="1" xfId="12" applyNumberFormat="1" applyFont="1" applyFill="1" applyBorder="1" applyAlignment="1" applyProtection="1">
      <alignment vertical="center"/>
    </xf>
    <xf numFmtId="0" fontId="16" fillId="16" borderId="32" xfId="36" applyFont="1" applyFill="1" applyBorder="1" applyAlignment="1" applyProtection="1">
      <alignment vertical="center" wrapText="1"/>
      <protection locked="0"/>
    </xf>
    <xf numFmtId="164" fontId="15" fillId="16" borderId="24" xfId="12" applyNumberFormat="1" applyFont="1" applyFill="1" applyBorder="1" applyProtection="1">
      <protection locked="0"/>
    </xf>
    <xf numFmtId="1" fontId="16" fillId="16" borderId="2" xfId="36" applyNumberFormat="1" applyFont="1" applyFill="1" applyBorder="1" applyAlignment="1" applyProtection="1">
      <alignment horizontal="center"/>
      <protection locked="0"/>
    </xf>
    <xf numFmtId="0" fontId="16" fillId="16" borderId="32" xfId="36" applyFont="1" applyFill="1" applyBorder="1" applyAlignment="1" applyProtection="1">
      <alignment vertical="top" wrapText="1"/>
      <protection locked="0"/>
    </xf>
    <xf numFmtId="164" fontId="16" fillId="16" borderId="7" xfId="12" applyNumberFormat="1" applyFont="1" applyFill="1" applyBorder="1" applyProtection="1"/>
    <xf numFmtId="164" fontId="16" fillId="16" borderId="43" xfId="12" applyNumberFormat="1" applyFont="1" applyFill="1" applyBorder="1" applyProtection="1"/>
    <xf numFmtId="1" fontId="16" fillId="16" borderId="0" xfId="36" applyNumberFormat="1" applyFont="1" applyFill="1" applyBorder="1" applyAlignment="1" applyProtection="1">
      <alignment horizontal="center"/>
      <protection locked="0"/>
    </xf>
    <xf numFmtId="0" fontId="16" fillId="16" borderId="0" xfId="36" applyFont="1" applyFill="1" applyBorder="1" applyAlignment="1" applyProtection="1">
      <alignment vertical="top" wrapText="1"/>
      <protection locked="0"/>
    </xf>
    <xf numFmtId="1" fontId="16" fillId="16" borderId="2" xfId="36" applyNumberFormat="1" applyFont="1" applyFill="1" applyBorder="1" applyAlignment="1" applyProtection="1">
      <alignment horizontal="center" vertical="center"/>
      <protection locked="0"/>
    </xf>
    <xf numFmtId="0" fontId="16" fillId="16" borderId="2" xfId="36" applyFont="1" applyFill="1" applyBorder="1" applyAlignment="1" applyProtection="1">
      <alignment vertical="center" wrapText="1"/>
      <protection locked="0"/>
    </xf>
    <xf numFmtId="0" fontId="16" fillId="16" borderId="2" xfId="36" applyFont="1" applyFill="1" applyBorder="1" applyAlignment="1" applyProtection="1">
      <alignment vertical="top" wrapText="1"/>
      <protection locked="0"/>
    </xf>
    <xf numFmtId="1" fontId="15" fillId="16" borderId="24" xfId="0" applyNumberFormat="1" applyFont="1" applyFill="1" applyBorder="1" applyAlignment="1" applyProtection="1">
      <alignment horizontal="center"/>
      <protection locked="0"/>
    </xf>
    <xf numFmtId="0" fontId="15" fillId="16" borderId="24" xfId="0" applyFont="1" applyFill="1" applyBorder="1" applyAlignment="1" applyProtection="1">
      <alignment vertical="top" wrapText="1"/>
      <protection locked="0"/>
    </xf>
    <xf numFmtId="164" fontId="16" fillId="16" borderId="41" xfId="12" applyNumberFormat="1" applyFont="1" applyFill="1" applyBorder="1" applyProtection="1"/>
    <xf numFmtId="0" fontId="16" fillId="16" borderId="0" xfId="36" applyFont="1" applyFill="1" applyBorder="1" applyAlignment="1" applyProtection="1">
      <alignment horizontal="center" vertical="top" wrapText="1"/>
      <protection locked="0"/>
    </xf>
    <xf numFmtId="0" fontId="15" fillId="16" borderId="0" xfId="0" applyFont="1" applyFill="1" applyBorder="1" applyProtection="1">
      <protection locked="0"/>
    </xf>
    <xf numFmtId="164" fontId="15" fillId="16" borderId="1" xfId="12" applyNumberFormat="1" applyFont="1" applyFill="1" applyBorder="1" applyAlignment="1" applyProtection="1">
      <alignment vertical="top" wrapText="1"/>
      <protection locked="0"/>
    </xf>
    <xf numFmtId="1" fontId="15" fillId="16" borderId="2" xfId="36" applyNumberFormat="1" applyFont="1" applyFill="1" applyBorder="1" applyAlignment="1" applyProtection="1">
      <alignment horizontal="center"/>
      <protection locked="0"/>
    </xf>
    <xf numFmtId="1" fontId="15" fillId="16" borderId="0" xfId="36" applyNumberFormat="1" applyFont="1" applyFill="1" applyBorder="1" applyAlignment="1" applyProtection="1">
      <alignment horizontal="center"/>
      <protection locked="0"/>
    </xf>
    <xf numFmtId="0" fontId="15" fillId="16" borderId="0" xfId="36" applyFont="1" applyFill="1" applyBorder="1" applyAlignment="1" applyProtection="1">
      <alignment vertical="top" wrapText="1"/>
      <protection locked="0"/>
    </xf>
    <xf numFmtId="164" fontId="67" fillId="16" borderId="0" xfId="12" applyNumberFormat="1" applyFont="1" applyFill="1" applyBorder="1" applyProtection="1"/>
    <xf numFmtId="0" fontId="15" fillId="16" borderId="1" xfId="0" applyFont="1" applyFill="1" applyBorder="1"/>
    <xf numFmtId="3" fontId="16" fillId="16" borderId="0" xfId="0" applyNumberFormat="1" applyFont="1" applyFill="1"/>
    <xf numFmtId="3" fontId="16" fillId="16" borderId="1" xfId="0" applyNumberFormat="1" applyFont="1" applyFill="1" applyBorder="1"/>
    <xf numFmtId="0" fontId="33" fillId="16" borderId="0" xfId="0" applyFont="1" applyFill="1" applyProtection="1">
      <protection locked="0" hidden="1"/>
    </xf>
    <xf numFmtId="0" fontId="68" fillId="16" borderId="0" xfId="0" applyFont="1" applyFill="1" applyProtection="1">
      <protection locked="0" hidden="1"/>
    </xf>
    <xf numFmtId="0" fontId="69" fillId="16" borderId="0" xfId="0" applyFont="1" applyFill="1" applyProtection="1">
      <protection locked="0" hidden="1"/>
    </xf>
    <xf numFmtId="0" fontId="70" fillId="16" borderId="0" xfId="0" applyNumberFormat="1" applyFont="1" applyFill="1" applyAlignment="1" applyProtection="1">
      <alignment horizontal="center" vertical="center"/>
      <protection locked="0" hidden="1"/>
    </xf>
    <xf numFmtId="43" fontId="68" fillId="16" borderId="0" xfId="12" applyFont="1" applyFill="1" applyProtection="1">
      <protection hidden="1"/>
    </xf>
    <xf numFmtId="164" fontId="68" fillId="16" borderId="0" xfId="12" applyNumberFormat="1" applyFont="1" applyFill="1" applyProtection="1">
      <protection locked="0" hidden="1"/>
    </xf>
    <xf numFmtId="43" fontId="68" fillId="16" borderId="0" xfId="12" applyFont="1" applyFill="1" applyProtection="1">
      <protection locked="0" hidden="1"/>
    </xf>
    <xf numFmtId="164" fontId="71" fillId="16" borderId="0" xfId="12" applyNumberFormat="1" applyFont="1" applyFill="1" applyAlignment="1" applyProtection="1">
      <alignment horizontal="right" wrapText="1"/>
      <protection hidden="1"/>
    </xf>
    <xf numFmtId="164" fontId="20" fillId="0" borderId="31" xfId="12" applyNumberFormat="1" applyFont="1" applyFill="1" applyBorder="1" applyAlignment="1">
      <alignment horizontal="right" vertical="center" wrapText="1"/>
    </xf>
    <xf numFmtId="43" fontId="20" fillId="0" borderId="31" xfId="12" applyFont="1" applyFill="1" applyBorder="1" applyAlignment="1">
      <alignment horizontal="right" vertical="center" wrapText="1"/>
    </xf>
    <xf numFmtId="164" fontId="61" fillId="16" borderId="2" xfId="12" applyNumberFormat="1" applyFont="1" applyFill="1" applyBorder="1" applyAlignment="1" applyProtection="1">
      <alignment horizontal="right"/>
      <protection hidden="1"/>
    </xf>
    <xf numFmtId="43" fontId="61" fillId="16" borderId="1" xfId="12" applyFont="1" applyFill="1" applyBorder="1" applyAlignment="1" applyProtection="1">
      <alignment horizontal="right"/>
      <protection hidden="1"/>
    </xf>
    <xf numFmtId="164" fontId="61" fillId="16" borderId="1" xfId="12" applyNumberFormat="1" applyFont="1" applyFill="1" applyBorder="1" applyAlignment="1" applyProtection="1">
      <alignment horizontal="right"/>
      <protection hidden="1"/>
    </xf>
    <xf numFmtId="164" fontId="61" fillId="16" borderId="1" xfId="10" applyNumberFormat="1" applyFont="1" applyFill="1" applyBorder="1" applyAlignment="1" applyProtection="1">
      <alignment horizontal="right"/>
      <protection hidden="1"/>
    </xf>
    <xf numFmtId="43" fontId="61" fillId="16" borderId="36" xfId="12" applyFont="1" applyFill="1" applyBorder="1" applyAlignment="1" applyProtection="1">
      <alignment horizontal="right"/>
      <protection hidden="1"/>
    </xf>
    <xf numFmtId="164" fontId="61" fillId="16" borderId="1" xfId="2" applyNumberFormat="1" applyFont="1" applyFill="1" applyBorder="1" applyAlignment="1" applyProtection="1">
      <alignment horizontal="right"/>
      <protection hidden="1"/>
    </xf>
    <xf numFmtId="164" fontId="61" fillId="16" borderId="1" xfId="3" applyNumberFormat="1" applyFont="1" applyFill="1" applyBorder="1" applyAlignment="1" applyProtection="1">
      <alignment horizontal="right"/>
      <protection hidden="1"/>
    </xf>
    <xf numFmtId="164" fontId="61" fillId="16" borderId="1" xfId="4" applyNumberFormat="1" applyFont="1" applyFill="1" applyBorder="1" applyAlignment="1" applyProtection="1">
      <alignment horizontal="right" vertical="center"/>
      <protection hidden="1"/>
    </xf>
    <xf numFmtId="164" fontId="61" fillId="16" borderId="1" xfId="11" applyNumberFormat="1" applyFont="1" applyFill="1" applyBorder="1" applyAlignment="1" applyProtection="1">
      <alignment horizontal="right"/>
      <protection hidden="1"/>
    </xf>
    <xf numFmtId="164" fontId="28" fillId="16" borderId="51" xfId="12" applyNumberFormat="1" applyFont="1" applyFill="1" applyBorder="1" applyAlignment="1" applyProtection="1">
      <alignment horizontal="center" vertical="center" wrapText="1"/>
      <protection hidden="1"/>
    </xf>
    <xf numFmtId="164" fontId="28" fillId="16" borderId="24" xfId="12" applyNumberFormat="1" applyFont="1" applyFill="1" applyBorder="1" applyAlignment="1" applyProtection="1">
      <alignment horizontal="center" vertical="center" wrapText="1"/>
      <protection hidden="1"/>
    </xf>
    <xf numFmtId="164" fontId="28" fillId="16" borderId="25" xfId="12" applyNumberFormat="1" applyFont="1" applyFill="1" applyBorder="1" applyAlignment="1" applyProtection="1">
      <alignment horizontal="center" vertical="center" wrapText="1"/>
      <protection hidden="1"/>
    </xf>
    <xf numFmtId="0" fontId="28" fillId="16" borderId="24" xfId="9" applyFont="1" applyFill="1" applyBorder="1" applyAlignment="1" applyProtection="1">
      <alignment horizontal="center" vertical="center" wrapText="1"/>
      <protection hidden="1"/>
    </xf>
    <xf numFmtId="0" fontId="28" fillId="16" borderId="0" xfId="0" applyFont="1" applyFill="1" applyAlignment="1" applyProtection="1">
      <alignment horizontal="center" vertical="center"/>
      <protection hidden="1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16" borderId="32" xfId="2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/>
    <xf numFmtId="0" fontId="36" fillId="16" borderId="32" xfId="5" applyFont="1" applyFill="1" applyBorder="1" applyAlignment="1" applyProtection="1">
      <protection hidden="1"/>
    </xf>
    <xf numFmtId="0" fontId="28" fillId="16" borderId="32" xfId="4" applyFont="1" applyFill="1" applyBorder="1" applyAlignment="1" applyProtection="1">
      <protection hidden="1"/>
    </xf>
    <xf numFmtId="0" fontId="72" fillId="16" borderId="0" xfId="0" applyFont="1" applyFill="1" applyProtection="1">
      <protection locked="0" hidden="1"/>
    </xf>
    <xf numFmtId="164" fontId="28" fillId="16" borderId="1" xfId="12" applyNumberFormat="1" applyFont="1" applyFill="1" applyBorder="1" applyAlignment="1" applyProtection="1">
      <alignment horizontal="right" vertical="center"/>
      <protection hidden="1"/>
    </xf>
    <xf numFmtId="164" fontId="28" fillId="16" borderId="24" xfId="12" applyNumberFormat="1" applyFont="1" applyFill="1" applyBorder="1" applyAlignment="1" applyProtection="1">
      <alignment horizontal="right" vertical="center"/>
      <protection hidden="1"/>
    </xf>
    <xf numFmtId="164" fontId="28" fillId="16" borderId="7" xfId="12" applyNumberFormat="1" applyFont="1" applyFill="1" applyBorder="1" applyAlignment="1" applyProtection="1">
      <alignment horizontal="right" vertical="center"/>
      <protection locked="0" hidden="1"/>
    </xf>
    <xf numFmtId="164" fontId="28" fillId="16" borderId="22" xfId="12" applyNumberFormat="1" applyFont="1" applyFill="1" applyBorder="1" applyAlignment="1" applyProtection="1">
      <alignment horizontal="center" vertical="center"/>
      <protection hidden="1"/>
    </xf>
    <xf numFmtId="164" fontId="28" fillId="16" borderId="2" xfId="12" applyNumberFormat="1" applyFont="1" applyFill="1" applyBorder="1" applyAlignment="1" applyProtection="1">
      <alignment horizontal="right" vertical="center"/>
      <protection hidden="1"/>
    </xf>
    <xf numFmtId="0" fontId="20" fillId="0" borderId="24" xfId="0" applyFont="1" applyFill="1" applyBorder="1" applyAlignment="1">
      <alignment horizontal="center" vertical="center"/>
    </xf>
    <xf numFmtId="2" fontId="20" fillId="0" borderId="24" xfId="12" applyNumberFormat="1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horizontal="justify" vertical="center" wrapText="1"/>
    </xf>
    <xf numFmtId="164" fontId="19" fillId="0" borderId="0" xfId="12" applyNumberFormat="1" applyFont="1" applyFill="1" applyBorder="1" applyAlignment="1">
      <alignment wrapText="1"/>
    </xf>
    <xf numFmtId="0" fontId="19" fillId="0" borderId="0" xfId="0" applyFont="1" applyFill="1" applyBorder="1" applyAlignment="1">
      <alignment wrapText="1"/>
    </xf>
    <xf numFmtId="0" fontId="20" fillId="0" borderId="41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justify" vertical="center" wrapText="1"/>
    </xf>
    <xf numFmtId="0" fontId="28" fillId="16" borderId="32" xfId="4" applyFont="1" applyFill="1" applyBorder="1" applyAlignment="1" applyProtection="1">
      <alignment horizontal="center" vertical="center"/>
      <protection hidden="1"/>
    </xf>
    <xf numFmtId="43" fontId="61" fillId="16" borderId="36" xfId="12" applyFont="1" applyFill="1" applyBorder="1" applyAlignment="1" applyProtection="1">
      <alignment horizontal="right" vertical="center"/>
      <protection hidden="1"/>
    </xf>
    <xf numFmtId="164" fontId="73" fillId="16" borderId="1" xfId="12" applyNumberFormat="1" applyFont="1" applyFill="1" applyBorder="1" applyAlignment="1" applyProtection="1">
      <alignment horizontal="right" vertical="center"/>
      <protection hidden="1"/>
    </xf>
    <xf numFmtId="164" fontId="27" fillId="16" borderId="1" xfId="12" applyNumberFormat="1" applyFont="1" applyFill="1" applyBorder="1" applyAlignment="1" applyProtection="1">
      <alignment horizontal="right" vertical="center"/>
      <protection locked="0" hidden="1"/>
    </xf>
    <xf numFmtId="164" fontId="27" fillId="16" borderId="2" xfId="12" applyNumberFormat="1" applyFont="1" applyFill="1" applyBorder="1" applyAlignment="1" applyProtection="1">
      <alignment horizontal="right" vertical="center"/>
      <protection hidden="1"/>
    </xf>
    <xf numFmtId="164" fontId="27" fillId="16" borderId="2" xfId="12" applyNumberFormat="1" applyFont="1" applyFill="1" applyBorder="1" applyAlignment="1" applyProtection="1">
      <alignment horizontal="right" vertical="center"/>
      <protection locked="0" hidden="1"/>
    </xf>
    <xf numFmtId="164" fontId="28" fillId="16" borderId="22" xfId="12" applyNumberFormat="1" applyFont="1" applyFill="1" applyBorder="1" applyAlignment="1" applyProtection="1">
      <alignment horizontal="right" vertical="center"/>
      <protection locked="0" hidden="1"/>
    </xf>
    <xf numFmtId="164" fontId="28" fillId="16" borderId="11" xfId="12" applyNumberFormat="1" applyFont="1" applyFill="1" applyBorder="1" applyAlignment="1" applyProtection="1">
      <alignment horizontal="right" vertical="center"/>
      <protection locked="0" hidden="1"/>
    </xf>
    <xf numFmtId="164" fontId="28" fillId="16" borderId="8" xfId="12" applyNumberFormat="1" applyFont="1" applyFill="1" applyBorder="1" applyAlignment="1" applyProtection="1">
      <alignment horizontal="right" vertical="center"/>
      <protection hidden="1"/>
    </xf>
    <xf numFmtId="164" fontId="27" fillId="16" borderId="1" xfId="12" applyNumberFormat="1" applyFont="1" applyFill="1" applyBorder="1" applyAlignment="1" applyProtection="1">
      <protection locked="0" hidden="1"/>
    </xf>
    <xf numFmtId="164" fontId="27" fillId="16" borderId="0" xfId="12" applyNumberFormat="1" applyFont="1" applyFill="1" applyBorder="1" applyAlignment="1" applyProtection="1">
      <protection locked="0" hidden="1"/>
    </xf>
    <xf numFmtId="164" fontId="28" fillId="16" borderId="8" xfId="12" applyNumberFormat="1" applyFont="1" applyFill="1" applyBorder="1" applyAlignment="1" applyProtection="1">
      <alignment horizontal="right" vertical="center"/>
      <protection locked="0" hidden="1"/>
    </xf>
    <xf numFmtId="164" fontId="28" fillId="16" borderId="14" xfId="12" applyNumberFormat="1" applyFont="1" applyFill="1" applyBorder="1" applyAlignment="1" applyProtection="1">
      <alignment horizontal="right" vertical="center"/>
      <protection locked="0" hidden="1"/>
    </xf>
    <xf numFmtId="164" fontId="28" fillId="16" borderId="14" xfId="12" applyNumberFormat="1" applyFont="1" applyFill="1" applyBorder="1" applyAlignment="1" applyProtection="1">
      <alignment horizontal="right" vertical="center"/>
      <protection hidden="1"/>
    </xf>
    <xf numFmtId="164" fontId="27" fillId="16" borderId="11" xfId="12" applyNumberFormat="1" applyFont="1" applyFill="1" applyBorder="1" applyAlignment="1" applyProtection="1">
      <alignment horizontal="right" vertical="center"/>
      <protection locked="0" hidden="1"/>
    </xf>
    <xf numFmtId="164" fontId="27" fillId="16" borderId="7" xfId="12" applyNumberFormat="1" applyFont="1" applyFill="1" applyBorder="1" applyAlignment="1" applyProtection="1">
      <alignment horizontal="right" vertical="center"/>
      <protection hidden="1"/>
    </xf>
    <xf numFmtId="164" fontId="27" fillId="16" borderId="8" xfId="12" applyNumberFormat="1" applyFont="1" applyFill="1" applyBorder="1" applyAlignment="1" applyProtection="1">
      <alignment horizontal="right" vertical="center"/>
      <protection hidden="1"/>
    </xf>
    <xf numFmtId="164" fontId="22" fillId="0" borderId="14" xfId="38" applyNumberFormat="1" applyFont="1" applyFill="1" applyBorder="1" applyAlignment="1">
      <alignment horizontal="center"/>
    </xf>
    <xf numFmtId="164" fontId="22" fillId="0" borderId="3" xfId="38" applyNumberFormat="1" applyFont="1" applyFill="1" applyBorder="1" applyAlignment="1"/>
    <xf numFmtId="164" fontId="22" fillId="0" borderId="4" xfId="38" applyNumberFormat="1" applyFont="1" applyFill="1" applyBorder="1" applyAlignment="1">
      <alignment horizontal="center"/>
    </xf>
    <xf numFmtId="164" fontId="74" fillId="0" borderId="7" xfId="38" applyNumberFormat="1" applyFont="1" applyFill="1" applyBorder="1" applyAlignment="1">
      <alignment horizontal="right"/>
    </xf>
    <xf numFmtId="164" fontId="19" fillId="0" borderId="7" xfId="12" applyNumberFormat="1" applyFont="1" applyFill="1" applyBorder="1" applyAlignment="1">
      <alignment horizontal="right" vertical="center"/>
    </xf>
    <xf numFmtId="164" fontId="27" fillId="16" borderId="1" xfId="12" applyNumberFormat="1" applyFont="1" applyFill="1" applyBorder="1" applyAlignment="1" applyProtection="1">
      <protection hidden="1"/>
    </xf>
    <xf numFmtId="164" fontId="27" fillId="16" borderId="0" xfId="12" applyNumberFormat="1" applyFont="1" applyFill="1" applyBorder="1" applyAlignment="1" applyProtection="1">
      <alignment horizontal="right"/>
      <protection hidden="1"/>
    </xf>
    <xf numFmtId="0" fontId="20" fillId="0" borderId="82" xfId="22" applyFont="1" applyBorder="1" applyAlignment="1">
      <alignment horizontal="right" vertical="top"/>
    </xf>
    <xf numFmtId="0" fontId="20" fillId="16" borderId="83" xfId="3" applyFont="1" applyFill="1" applyBorder="1" applyAlignment="1" applyProtection="1">
      <alignment horizontal="right"/>
      <protection hidden="1"/>
    </xf>
    <xf numFmtId="0" fontId="20" fillId="0" borderId="83" xfId="0" applyFont="1" applyBorder="1" applyAlignment="1" applyProtection="1">
      <alignment horizontal="right" vertical="center"/>
      <protection locked="0" hidden="1"/>
    </xf>
    <xf numFmtId="0" fontId="19" fillId="16" borderId="83" xfId="0" applyFont="1" applyFill="1" applyBorder="1" applyAlignment="1" applyProtection="1">
      <alignment horizontal="center" vertical="center"/>
      <protection locked="0" hidden="1"/>
    </xf>
    <xf numFmtId="0" fontId="20" fillId="16" borderId="83" xfId="0" applyFont="1" applyFill="1" applyBorder="1" applyAlignment="1" applyProtection="1">
      <alignment horizontal="right" vertical="center"/>
      <protection locked="0" hidden="1"/>
    </xf>
    <xf numFmtId="0" fontId="20" fillId="16" borderId="83" xfId="0" applyFont="1" applyFill="1" applyBorder="1" applyAlignment="1" applyProtection="1">
      <alignment horizontal="center" vertical="center"/>
      <protection locked="0" hidden="1"/>
    </xf>
    <xf numFmtId="0" fontId="20" fillId="16" borderId="83" xfId="0" applyFont="1" applyFill="1" applyBorder="1" applyAlignment="1">
      <alignment horizontal="right"/>
    </xf>
    <xf numFmtId="0" fontId="20" fillId="16" borderId="83" xfId="0" applyFont="1" applyFill="1" applyBorder="1" applyAlignment="1">
      <alignment horizontal="right" vertical="top"/>
    </xf>
    <xf numFmtId="0" fontId="19" fillId="16" borderId="82" xfId="0" applyFont="1" applyFill="1" applyBorder="1" applyAlignment="1" applyProtection="1">
      <alignment horizontal="center" vertical="center"/>
      <protection locked="0" hidden="1"/>
    </xf>
    <xf numFmtId="0" fontId="20" fillId="16" borderId="84" xfId="0" applyFont="1" applyFill="1" applyBorder="1" applyAlignment="1" applyProtection="1">
      <alignment horizontal="right" vertical="center"/>
      <protection locked="0" hidden="1"/>
    </xf>
    <xf numFmtId="0" fontId="19" fillId="16" borderId="85" xfId="7" applyFont="1" applyFill="1" applyBorder="1" applyAlignment="1" applyProtection="1">
      <alignment horizontal="center" vertical="center" wrapText="1"/>
      <protection locked="0" hidden="1"/>
    </xf>
    <xf numFmtId="0" fontId="20" fillId="0" borderId="86" xfId="0" applyFont="1" applyBorder="1" applyAlignment="1" applyProtection="1">
      <alignment horizontal="center"/>
      <protection locked="0" hidden="1"/>
    </xf>
    <xf numFmtId="0" fontId="59" fillId="16" borderId="59" xfId="0" applyFont="1" applyFill="1" applyBorder="1" applyProtection="1">
      <protection locked="0" hidden="1"/>
    </xf>
    <xf numFmtId="0" fontId="32" fillId="16" borderId="2" xfId="0" applyFont="1" applyFill="1" applyBorder="1" applyAlignment="1" applyProtection="1">
      <alignment vertical="center" wrapText="1"/>
      <protection locked="0" hidden="1"/>
    </xf>
    <xf numFmtId="0" fontId="20" fillId="0" borderId="51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vertical="center" wrapText="1"/>
    </xf>
    <xf numFmtId="164" fontId="19" fillId="0" borderId="22" xfId="12" applyNumberFormat="1" applyFont="1" applyFill="1" applyBorder="1" applyAlignment="1">
      <alignment vertical="center" wrapText="1"/>
    </xf>
    <xf numFmtId="164" fontId="19" fillId="0" borderId="7" xfId="12" applyNumberFormat="1" applyFont="1" applyFill="1" applyBorder="1" applyAlignment="1">
      <alignment vertical="center" wrapText="1"/>
    </xf>
    <xf numFmtId="0" fontId="20" fillId="0" borderId="24" xfId="0" applyFont="1" applyFill="1" applyBorder="1" applyAlignment="1">
      <alignment horizontal="left" vertical="center" wrapText="1"/>
    </xf>
    <xf numFmtId="164" fontId="20" fillId="0" borderId="1" xfId="12" applyNumberFormat="1" applyFont="1" applyFill="1" applyBorder="1" applyAlignment="1" applyProtection="1">
      <alignment horizontal="right" vertical="center"/>
      <protection hidden="1"/>
    </xf>
    <xf numFmtId="164" fontId="32" fillId="16" borderId="2" xfId="12" applyNumberFormat="1" applyFont="1" applyFill="1" applyBorder="1" applyAlignment="1" applyProtection="1">
      <alignment horizontal="right" vertical="center"/>
      <protection hidden="1"/>
    </xf>
    <xf numFmtId="164" fontId="20" fillId="0" borderId="61" xfId="12" applyNumberFormat="1" applyFont="1" applyFill="1" applyBorder="1" applyAlignment="1">
      <alignment horizontal="right" vertical="center"/>
    </xf>
    <xf numFmtId="43" fontId="20" fillId="0" borderId="61" xfId="12" applyFont="1" applyFill="1" applyBorder="1" applyAlignment="1">
      <alignment horizontal="right" vertical="center"/>
    </xf>
    <xf numFmtId="164" fontId="19" fillId="0" borderId="7" xfId="12" applyNumberFormat="1" applyFont="1" applyFill="1" applyBorder="1" applyAlignment="1">
      <alignment horizontal="right" vertical="center" wrapText="1"/>
    </xf>
    <xf numFmtId="43" fontId="19" fillId="0" borderId="87" xfId="12" applyFont="1" applyBorder="1" applyAlignment="1" applyProtection="1">
      <alignment horizontal="right"/>
      <protection locked="0" hidden="1"/>
    </xf>
    <xf numFmtId="164" fontId="18" fillId="16" borderId="0" xfId="12" applyNumberFormat="1" applyFont="1" applyFill="1" applyProtection="1">
      <protection locked="0" hidden="1"/>
    </xf>
    <xf numFmtId="164" fontId="20" fillId="0" borderId="0" xfId="0" applyNumberFormat="1" applyFont="1" applyFill="1" applyAlignment="1">
      <alignment wrapText="1"/>
    </xf>
    <xf numFmtId="164" fontId="19" fillId="16" borderId="62" xfId="12" applyNumberFormat="1" applyFont="1" applyFill="1" applyBorder="1" applyAlignment="1" applyProtection="1">
      <alignment horizontal="center"/>
      <protection locked="0" hidden="1"/>
    </xf>
    <xf numFmtId="164" fontId="20" fillId="16" borderId="72" xfId="12" applyNumberFormat="1" applyFont="1" applyFill="1" applyBorder="1" applyAlignment="1" applyProtection="1">
      <alignment horizontal="right" vertical="center"/>
      <protection hidden="1"/>
    </xf>
    <xf numFmtId="164" fontId="20" fillId="16" borderId="59" xfId="12" applyNumberFormat="1" applyFont="1" applyFill="1" applyBorder="1" applyAlignment="1" applyProtection="1">
      <alignment horizontal="right" vertical="center"/>
      <protection hidden="1"/>
    </xf>
    <xf numFmtId="164" fontId="20" fillId="0" borderId="59" xfId="12" applyNumberFormat="1" applyFont="1" applyBorder="1" applyAlignment="1" applyProtection="1">
      <alignment horizontal="right" vertical="center"/>
      <protection hidden="1"/>
    </xf>
    <xf numFmtId="164" fontId="20" fillId="0" borderId="5" xfId="12" applyNumberFormat="1" applyFont="1" applyBorder="1" applyAlignment="1" applyProtection="1">
      <alignment horizontal="right" vertical="center"/>
      <protection hidden="1"/>
    </xf>
    <xf numFmtId="164" fontId="57" fillId="16" borderId="7" xfId="12" applyNumberFormat="1" applyFont="1" applyFill="1" applyBorder="1" applyAlignment="1" applyProtection="1">
      <alignment horizontal="right" vertical="center"/>
      <protection hidden="1"/>
    </xf>
    <xf numFmtId="164" fontId="20" fillId="16" borderId="5" xfId="12" applyNumberFormat="1" applyFont="1" applyFill="1" applyBorder="1" applyAlignment="1" applyProtection="1">
      <alignment horizontal="right" vertical="center"/>
      <protection hidden="1"/>
    </xf>
    <xf numFmtId="164" fontId="19" fillId="16" borderId="59" xfId="12" applyNumberFormat="1" applyFont="1" applyFill="1" applyBorder="1" applyAlignment="1" applyProtection="1">
      <alignment horizontal="right" vertical="center"/>
      <protection hidden="1"/>
    </xf>
    <xf numFmtId="164" fontId="20" fillId="17" borderId="59" xfId="12" applyNumberFormat="1" applyFont="1" applyFill="1" applyBorder="1" applyAlignment="1">
      <alignment horizontal="right" vertical="center"/>
    </xf>
    <xf numFmtId="164" fontId="20" fillId="0" borderId="3" xfId="12" applyNumberFormat="1" applyFont="1" applyBorder="1" applyProtection="1">
      <protection locked="0" hidden="1"/>
    </xf>
    <xf numFmtId="164" fontId="57" fillId="17" borderId="7" xfId="12" applyNumberFormat="1" applyFont="1" applyFill="1" applyBorder="1" applyAlignment="1">
      <alignment horizontal="right" vertical="center"/>
    </xf>
    <xf numFmtId="164" fontId="20" fillId="0" borderId="0" xfId="12" applyNumberFormat="1" applyFont="1" applyProtection="1">
      <protection hidden="1"/>
    </xf>
    <xf numFmtId="0" fontId="19" fillId="0" borderId="27" xfId="0" applyFont="1" applyFill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center"/>
    </xf>
    <xf numFmtId="49" fontId="27" fillId="16" borderId="1" xfId="0" applyNumberFormat="1" applyFont="1" applyFill="1" applyBorder="1" applyAlignment="1">
      <alignment horizontal="center" vertical="center" wrapText="1"/>
    </xf>
    <xf numFmtId="0" fontId="27" fillId="16" borderId="1" xfId="0" applyFont="1" applyFill="1" applyBorder="1" applyAlignment="1">
      <alignment vertical="center" wrapText="1"/>
    </xf>
    <xf numFmtId="43" fontId="20" fillId="0" borderId="24" xfId="12" applyFont="1" applyFill="1" applyBorder="1" applyAlignment="1">
      <alignment horizontal="right" vertical="center"/>
    </xf>
    <xf numFmtId="164" fontId="19" fillId="0" borderId="41" xfId="12" applyNumberFormat="1" applyFont="1" applyFill="1" applyBorder="1" applyAlignment="1">
      <alignment horizontal="right" vertical="center"/>
    </xf>
    <xf numFmtId="43" fontId="19" fillId="0" borderId="41" xfId="12" applyFont="1" applyFill="1" applyBorder="1" applyAlignment="1">
      <alignment horizontal="right" vertical="center"/>
    </xf>
    <xf numFmtId="0" fontId="20" fillId="0" borderId="32" xfId="0" applyFont="1" applyFill="1" applyBorder="1" applyAlignment="1">
      <alignment wrapText="1"/>
    </xf>
    <xf numFmtId="0" fontId="17" fillId="0" borderId="1" xfId="0" applyFont="1" applyFill="1" applyBorder="1" applyAlignment="1">
      <alignment horizontal="center"/>
    </xf>
    <xf numFmtId="0" fontId="17" fillId="0" borderId="1" xfId="24" applyFont="1" applyFill="1" applyBorder="1" applyAlignment="1">
      <alignment horizontal="center" vertical="top" wrapText="1"/>
    </xf>
    <xf numFmtId="164" fontId="17" fillId="0" borderId="1" xfId="12" applyNumberFormat="1" applyFont="1" applyFill="1" applyBorder="1" applyAlignment="1">
      <alignment horizontal="center"/>
    </xf>
    <xf numFmtId="164" fontId="17" fillId="0" borderId="24" xfId="12" applyNumberFormat="1" applyFont="1" applyFill="1" applyBorder="1" applyAlignment="1">
      <alignment horizontal="center"/>
    </xf>
    <xf numFmtId="0" fontId="18" fillId="0" borderId="1" xfId="0" applyFont="1" applyFill="1" applyBorder="1"/>
    <xf numFmtId="0" fontId="18" fillId="0" borderId="32" xfId="0" applyFont="1" applyFill="1" applyBorder="1" applyAlignment="1">
      <alignment horizontal="center"/>
    </xf>
    <xf numFmtId="0" fontId="18" fillId="0" borderId="0" xfId="0" applyFont="1" applyFill="1"/>
    <xf numFmtId="2" fontId="20" fillId="0" borderId="1" xfId="12" applyNumberFormat="1" applyFont="1" applyFill="1" applyBorder="1" applyAlignment="1" applyProtection="1">
      <alignment horizontal="right" vertical="center"/>
      <protection hidden="1"/>
    </xf>
    <xf numFmtId="43" fontId="20" fillId="0" borderId="1" xfId="12" applyNumberFormat="1" applyFont="1" applyFill="1" applyBorder="1" applyAlignment="1">
      <alignment vertical="center" wrapText="1"/>
    </xf>
    <xf numFmtId="43" fontId="20" fillId="0" borderId="1" xfId="12" applyNumberFormat="1" applyFont="1" applyFill="1" applyBorder="1" applyAlignment="1">
      <alignment vertical="top"/>
    </xf>
    <xf numFmtId="43" fontId="20" fillId="0" borderId="1" xfId="12" applyFont="1" applyFill="1" applyBorder="1" applyAlignment="1">
      <alignment vertical="top"/>
    </xf>
    <xf numFmtId="0" fontId="77" fillId="0" borderId="32" xfId="0" applyFont="1" applyFill="1" applyBorder="1"/>
    <xf numFmtId="0" fontId="78" fillId="0" borderId="27" xfId="0" applyFont="1" applyFill="1" applyBorder="1" applyAlignment="1">
      <alignment horizontal="right" vertical="top"/>
    </xf>
    <xf numFmtId="3" fontId="20" fillId="0" borderId="61" xfId="0" applyNumberFormat="1" applyFont="1" applyFill="1" applyBorder="1" applyAlignment="1">
      <alignment horizontal="right" vertical="center" wrapText="1"/>
    </xf>
    <xf numFmtId="3" fontId="20" fillId="0" borderId="23" xfId="0" applyNumberFormat="1" applyFont="1" applyFill="1" applyBorder="1" applyAlignment="1">
      <alignment horizontal="right" vertical="center" wrapText="1"/>
    </xf>
    <xf numFmtId="164" fontId="20" fillId="0" borderId="31" xfId="12" applyNumberFormat="1" applyFont="1" applyFill="1" applyBorder="1" applyAlignment="1">
      <alignment horizontal="right" vertical="top" wrapText="1"/>
    </xf>
    <xf numFmtId="0" fontId="20" fillId="0" borderId="38" xfId="0" applyFont="1" applyFill="1" applyBorder="1" applyAlignment="1">
      <alignment horizontal="justify" vertical="top" wrapText="1"/>
    </xf>
    <xf numFmtId="0" fontId="17" fillId="0" borderId="1" xfId="24" applyFont="1" applyFill="1" applyBorder="1" applyAlignment="1">
      <alignment horizontal="center" vertical="top"/>
    </xf>
    <xf numFmtId="0" fontId="20" fillId="0" borderId="2" xfId="0" applyFont="1" applyFill="1" applyBorder="1" applyAlignment="1">
      <alignment vertical="center" wrapText="1"/>
    </xf>
    <xf numFmtId="3" fontId="19" fillId="0" borderId="7" xfId="0" applyNumberFormat="1" applyFont="1" applyFill="1" applyBorder="1" applyAlignment="1">
      <alignment horizontal="right" vertical="top" wrapText="1"/>
    </xf>
    <xf numFmtId="164" fontId="20" fillId="0" borderId="23" xfId="12" applyNumberFormat="1" applyFont="1" applyFill="1" applyBorder="1" applyAlignment="1">
      <alignment horizontal="right" vertical="top" wrapText="1"/>
    </xf>
    <xf numFmtId="3" fontId="19" fillId="0" borderId="42" xfId="12" applyNumberFormat="1" applyFont="1" applyFill="1" applyBorder="1" applyAlignment="1">
      <alignment horizontal="right" vertical="top" wrapText="1"/>
    </xf>
    <xf numFmtId="0" fontId="19" fillId="0" borderId="27" xfId="0" applyFont="1" applyFill="1" applyBorder="1" applyAlignment="1">
      <alignment vertical="top"/>
    </xf>
    <xf numFmtId="43" fontId="19" fillId="0" borderId="7" xfId="12" applyFont="1" applyFill="1" applyBorder="1" applyAlignment="1">
      <alignment vertical="center"/>
    </xf>
    <xf numFmtId="164" fontId="19" fillId="0" borderId="11" xfId="12" applyNumberFormat="1" applyFont="1" applyFill="1" applyBorder="1" applyAlignment="1">
      <alignment vertical="center"/>
    </xf>
    <xf numFmtId="164" fontId="19" fillId="0" borderId="22" xfId="12" applyNumberFormat="1" applyFont="1" applyFill="1" applyBorder="1" applyAlignment="1">
      <alignment horizontal="right" vertical="center"/>
    </xf>
    <xf numFmtId="3" fontId="19" fillId="0" borderId="2" xfId="0" applyNumberFormat="1" applyFont="1" applyFill="1" applyBorder="1" applyAlignment="1">
      <alignment horizontal="right" vertical="top" wrapText="1"/>
    </xf>
    <xf numFmtId="164" fontId="19" fillId="0" borderId="2" xfId="12" applyNumberFormat="1" applyFont="1" applyFill="1" applyBorder="1" applyAlignment="1">
      <alignment horizontal="right" vertical="top" wrapText="1"/>
    </xf>
    <xf numFmtId="3" fontId="19" fillId="0" borderId="2" xfId="12" applyNumberFormat="1" applyFont="1" applyFill="1" applyBorder="1" applyAlignment="1">
      <alignment horizontal="right" vertical="top" wrapText="1"/>
    </xf>
    <xf numFmtId="2" fontId="20" fillId="0" borderId="1" xfId="12" applyNumberFormat="1" applyFont="1" applyFill="1" applyBorder="1" applyAlignment="1">
      <alignment horizontal="right"/>
    </xf>
    <xf numFmtId="164" fontId="25" fillId="16" borderId="0" xfId="12" applyNumberFormat="1" applyFont="1" applyFill="1" applyAlignment="1" applyProtection="1">
      <alignment horizontal="right" wrapText="1"/>
      <protection hidden="1"/>
    </xf>
    <xf numFmtId="43" fontId="20" fillId="0" borderId="74" xfId="12" applyFont="1" applyBorder="1" applyAlignment="1" applyProtection="1">
      <alignment horizontal="right"/>
      <protection locked="0" hidden="1"/>
    </xf>
    <xf numFmtId="43" fontId="20" fillId="0" borderId="10" xfId="12" applyFont="1" applyBorder="1" applyAlignment="1" applyProtection="1">
      <alignment horizontal="right"/>
      <protection locked="0" hidden="1"/>
    </xf>
    <xf numFmtId="43" fontId="20" fillId="0" borderId="87" xfId="12" applyFont="1" applyBorder="1" applyAlignment="1" applyProtection="1">
      <alignment horizontal="right"/>
      <protection locked="0" hidden="1"/>
    </xf>
    <xf numFmtId="43" fontId="59" fillId="0" borderId="22" xfId="12" applyFont="1" applyBorder="1" applyAlignment="1" applyProtection="1">
      <alignment horizontal="right"/>
      <protection locked="0" hidden="1"/>
    </xf>
    <xf numFmtId="164" fontId="32" fillId="16" borderId="32" xfId="12" applyNumberFormat="1" applyFont="1" applyFill="1" applyBorder="1" applyAlignment="1" applyProtection="1">
      <alignment horizontal="right" vertical="center"/>
      <protection hidden="1"/>
    </xf>
    <xf numFmtId="164" fontId="32" fillId="16" borderId="57" xfId="12" applyNumberFormat="1" applyFont="1" applyFill="1" applyBorder="1" applyAlignment="1" applyProtection="1">
      <alignment horizontal="right" vertical="center" wrapText="1"/>
      <protection hidden="1"/>
    </xf>
    <xf numFmtId="49" fontId="27" fillId="0" borderId="79" xfId="0" applyNumberFormat="1" applyFont="1" applyBorder="1" applyAlignment="1">
      <alignment horizontal="center" vertical="center" wrapText="1"/>
    </xf>
    <xf numFmtId="0" fontId="32" fillId="0" borderId="48" xfId="0" applyFont="1" applyBorder="1" applyAlignment="1">
      <alignment vertical="center" wrapText="1"/>
    </xf>
    <xf numFmtId="164" fontId="32" fillId="16" borderId="68" xfId="12" applyNumberFormat="1" applyFont="1" applyFill="1" applyBorder="1" applyAlignment="1" applyProtection="1">
      <alignment horizontal="right" vertical="center" wrapText="1"/>
      <protection hidden="1"/>
    </xf>
    <xf numFmtId="164" fontId="32" fillId="16" borderId="48" xfId="12" applyNumberFormat="1" applyFont="1" applyFill="1" applyBorder="1" applyAlignment="1" applyProtection="1">
      <alignment horizontal="right" vertical="center" wrapText="1"/>
      <protection hidden="1"/>
    </xf>
    <xf numFmtId="164" fontId="32" fillId="16" borderId="80" xfId="12" applyNumberFormat="1" applyFont="1" applyFill="1" applyBorder="1" applyAlignment="1" applyProtection="1">
      <alignment horizontal="right" vertical="center" wrapText="1"/>
      <protection hidden="1"/>
    </xf>
    <xf numFmtId="0" fontId="19" fillId="16" borderId="62" xfId="7" applyFont="1" applyFill="1" applyBorder="1" applyAlignment="1" applyProtection="1">
      <alignment horizontal="left" vertical="center"/>
      <protection locked="0" hidden="1"/>
    </xf>
    <xf numFmtId="0" fontId="20" fillId="16" borderId="72" xfId="0" applyFont="1" applyFill="1" applyBorder="1" applyProtection="1">
      <protection locked="0" hidden="1"/>
    </xf>
    <xf numFmtId="0" fontId="20" fillId="16" borderId="59" xfId="0" applyFont="1" applyFill="1" applyBorder="1" applyAlignment="1" applyProtection="1">
      <alignment wrapText="1"/>
      <protection locked="0" hidden="1"/>
    </xf>
    <xf numFmtId="0" fontId="20" fillId="0" borderId="59" xfId="0" applyFont="1" applyBorder="1"/>
    <xf numFmtId="0" fontId="20" fillId="0" borderId="59" xfId="0" applyFont="1" applyBorder="1" applyProtection="1">
      <protection locked="0" hidden="1"/>
    </xf>
    <xf numFmtId="0" fontId="19" fillId="16" borderId="59" xfId="0" applyFont="1" applyFill="1" applyBorder="1" applyProtection="1">
      <protection locked="0" hidden="1"/>
    </xf>
    <xf numFmtId="0" fontId="20" fillId="16" borderId="59" xfId="0" applyFont="1" applyFill="1" applyBorder="1" applyProtection="1">
      <protection locked="0" hidden="1"/>
    </xf>
    <xf numFmtId="43" fontId="19" fillId="16" borderId="74" xfId="12" applyFont="1" applyFill="1" applyBorder="1" applyAlignment="1" applyProtection="1">
      <alignment horizontal="right"/>
      <protection hidden="1"/>
    </xf>
    <xf numFmtId="43" fontId="19" fillId="16" borderId="10" xfId="12" applyFont="1" applyFill="1" applyBorder="1" applyAlignment="1" applyProtection="1">
      <alignment horizontal="right"/>
      <protection hidden="1"/>
    </xf>
    <xf numFmtId="43" fontId="19" fillId="0" borderId="74" xfId="12" applyFont="1" applyBorder="1" applyAlignment="1" applyProtection="1">
      <alignment horizontal="right"/>
      <protection locked="0" hidden="1"/>
    </xf>
    <xf numFmtId="43" fontId="19" fillId="0" borderId="10" xfId="12" applyFont="1" applyBorder="1" applyAlignment="1" applyProtection="1">
      <alignment horizontal="right"/>
      <protection locked="0" hidden="1"/>
    </xf>
    <xf numFmtId="0" fontId="20" fillId="0" borderId="3" xfId="0" applyFont="1" applyBorder="1" applyProtection="1">
      <protection locked="0" hidden="1"/>
    </xf>
    <xf numFmtId="43" fontId="19" fillId="0" borderId="74" xfId="12" applyFont="1" applyBorder="1" applyAlignment="1" applyProtection="1">
      <alignment horizontal="right"/>
      <protection hidden="1"/>
    </xf>
    <xf numFmtId="0" fontId="20" fillId="16" borderId="5" xfId="0" applyFont="1" applyFill="1" applyBorder="1" applyProtection="1">
      <protection locked="0" hidden="1"/>
    </xf>
    <xf numFmtId="43" fontId="19" fillId="0" borderId="10" xfId="12" applyFont="1" applyBorder="1" applyAlignment="1" applyProtection="1">
      <alignment horizontal="right"/>
      <protection hidden="1"/>
    </xf>
    <xf numFmtId="0" fontId="57" fillId="16" borderId="15" xfId="7" applyFont="1" applyFill="1" applyBorder="1" applyAlignment="1" applyProtection="1">
      <alignment horizontal="center" vertical="center"/>
      <protection locked="0" hidden="1"/>
    </xf>
    <xf numFmtId="0" fontId="57" fillId="16" borderId="14" xfId="7" applyFont="1" applyFill="1" applyBorder="1" applyAlignment="1" applyProtection="1">
      <alignment horizontal="center" vertical="center" wrapText="1"/>
      <protection locked="0" hidden="1"/>
    </xf>
    <xf numFmtId="164" fontId="57" fillId="16" borderId="14" xfId="12" applyNumberFormat="1" applyFont="1" applyFill="1" applyBorder="1" applyAlignment="1" applyProtection="1">
      <alignment horizontal="center" vertical="center" wrapText="1"/>
      <protection locked="0" hidden="1"/>
    </xf>
    <xf numFmtId="0" fontId="57" fillId="0" borderId="0" xfId="0" applyFont="1" applyAlignment="1" applyProtection="1">
      <alignment horizontal="center"/>
      <protection locked="0" hidden="1"/>
    </xf>
    <xf numFmtId="0" fontId="57" fillId="16" borderId="26" xfId="7" applyFont="1" applyFill="1" applyBorder="1" applyAlignment="1" applyProtection="1">
      <alignment horizontal="center" vertical="center"/>
      <protection locked="0" hidden="1"/>
    </xf>
    <xf numFmtId="0" fontId="57" fillId="16" borderId="30" xfId="7" applyFont="1" applyFill="1" applyBorder="1" applyAlignment="1" applyProtection="1">
      <alignment horizontal="center"/>
      <protection locked="0" hidden="1"/>
    </xf>
    <xf numFmtId="164" fontId="57" fillId="16" borderId="4" xfId="12" applyNumberFormat="1" applyFont="1" applyFill="1" applyBorder="1" applyAlignment="1" applyProtection="1">
      <alignment horizontal="center"/>
      <protection locked="0" hidden="1"/>
    </xf>
    <xf numFmtId="0" fontId="57" fillId="0" borderId="0" xfId="0" applyFont="1" applyProtection="1">
      <protection locked="0" hidden="1"/>
    </xf>
    <xf numFmtId="0" fontId="57" fillId="16" borderId="83" xfId="0" applyFont="1" applyFill="1" applyBorder="1" applyAlignment="1" applyProtection="1">
      <alignment horizontal="center"/>
      <protection locked="0" hidden="1"/>
    </xf>
    <xf numFmtId="0" fontId="57" fillId="16" borderId="59" xfId="0" applyFont="1" applyFill="1" applyBorder="1" applyProtection="1">
      <protection locked="0" hidden="1"/>
    </xf>
    <xf numFmtId="43" fontId="57" fillId="16" borderId="7" xfId="12" applyFont="1" applyFill="1" applyBorder="1" applyAlignment="1" applyProtection="1">
      <alignment horizontal="right" vertical="center"/>
      <protection hidden="1"/>
    </xf>
    <xf numFmtId="43" fontId="76" fillId="0" borderId="22" xfId="12" applyFont="1" applyBorder="1" applyAlignment="1" applyProtection="1">
      <alignment horizontal="right"/>
      <protection locked="0" hidden="1"/>
    </xf>
    <xf numFmtId="0" fontId="76" fillId="0" borderId="0" xfId="0" applyFont="1" applyProtection="1">
      <protection locked="0" hidden="1"/>
    </xf>
    <xf numFmtId="43" fontId="57" fillId="0" borderId="22" xfId="12" applyFont="1" applyBorder="1" applyAlignment="1" applyProtection="1">
      <alignment horizontal="right"/>
      <protection locked="0" hidden="1"/>
    </xf>
    <xf numFmtId="0" fontId="58" fillId="16" borderId="83" xfId="0" applyFont="1" applyFill="1" applyBorder="1" applyAlignment="1" applyProtection="1">
      <alignment horizontal="center"/>
      <protection locked="0" hidden="1"/>
    </xf>
    <xf numFmtId="0" fontId="58" fillId="16" borderId="59" xfId="0" applyFont="1" applyFill="1" applyBorder="1" applyProtection="1">
      <protection locked="0" hidden="1"/>
    </xf>
    <xf numFmtId="164" fontId="58" fillId="16" borderId="7" xfId="12" applyNumberFormat="1" applyFont="1" applyFill="1" applyBorder="1" applyAlignment="1" applyProtection="1">
      <alignment horizontal="right" vertical="center"/>
      <protection hidden="1"/>
    </xf>
    <xf numFmtId="43" fontId="58" fillId="0" borderId="22" xfId="12" applyFont="1" applyBorder="1" applyAlignment="1" applyProtection="1">
      <alignment horizontal="right"/>
      <protection locked="0" hidden="1"/>
    </xf>
    <xf numFmtId="0" fontId="79" fillId="0" borderId="0" xfId="0" applyFont="1" applyProtection="1">
      <protection locked="0" hidden="1"/>
    </xf>
    <xf numFmtId="0" fontId="60" fillId="16" borderId="84" xfId="0" applyFont="1" applyFill="1" applyBorder="1" applyAlignment="1" applyProtection="1">
      <alignment horizontal="center" vertical="center"/>
      <protection locked="0" hidden="1"/>
    </xf>
    <xf numFmtId="164" fontId="59" fillId="17" borderId="7" xfId="12" applyNumberFormat="1" applyFont="1" applyFill="1" applyBorder="1" applyAlignment="1">
      <alignment horizontal="right" vertical="center"/>
    </xf>
    <xf numFmtId="0" fontId="60" fillId="0" borderId="0" xfId="0" applyFont="1" applyProtection="1">
      <protection locked="0" hidden="1"/>
    </xf>
    <xf numFmtId="0" fontId="76" fillId="16" borderId="86" xfId="0" applyFont="1" applyFill="1" applyBorder="1" applyAlignment="1" applyProtection="1">
      <alignment horizontal="right"/>
      <protection locked="0" hidden="1"/>
    </xf>
    <xf numFmtId="0" fontId="57" fillId="16" borderId="30" xfId="0" applyFont="1" applyFill="1" applyBorder="1" applyAlignment="1" applyProtection="1">
      <alignment horizontal="center" vertical="center"/>
      <protection locked="0" hidden="1"/>
    </xf>
    <xf numFmtId="0" fontId="57" fillId="17" borderId="4" xfId="0" applyFont="1" applyFill="1" applyBorder="1" applyAlignment="1">
      <alignment vertical="center" wrapText="1"/>
    </xf>
    <xf numFmtId="1" fontId="19" fillId="16" borderId="28" xfId="12" applyNumberFormat="1" applyFont="1" applyFill="1" applyBorder="1" applyAlignment="1" applyProtection="1">
      <alignment horizontal="center"/>
      <protection locked="0" hidden="1"/>
    </xf>
    <xf numFmtId="0" fontId="61" fillId="16" borderId="45" xfId="8" applyFont="1" applyFill="1" applyBorder="1" applyProtection="1">
      <protection locked="0" hidden="1"/>
    </xf>
    <xf numFmtId="164" fontId="61" fillId="16" borderId="46" xfId="12" applyNumberFormat="1" applyFont="1" applyFill="1" applyBorder="1" applyAlignment="1" applyProtection="1">
      <alignment horizontal="right" vertical="center"/>
      <protection hidden="1"/>
    </xf>
    <xf numFmtId="0" fontId="61" fillId="16" borderId="0" xfId="0" applyFont="1" applyFill="1" applyProtection="1">
      <protection locked="0" hidden="1"/>
    </xf>
    <xf numFmtId="0" fontId="34" fillId="0" borderId="0" xfId="0" applyFont="1" applyFill="1" applyAlignment="1">
      <alignment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7" xfId="0" applyFont="1" applyFill="1" applyBorder="1" applyAlignment="1">
      <alignment horizontal="center" vertical="center" wrapText="1"/>
    </xf>
    <xf numFmtId="0" fontId="49" fillId="0" borderId="8" xfId="0" applyFont="1" applyFill="1" applyBorder="1" applyAlignment="1">
      <alignment horizontal="center" vertical="center" wrapText="1"/>
    </xf>
    <xf numFmtId="164" fontId="49" fillId="0" borderId="7" xfId="12" applyNumberFormat="1" applyFont="1" applyFill="1" applyBorder="1" applyAlignment="1" applyProtection="1">
      <alignment horizontal="center" vertical="center" wrapText="1"/>
      <protection locked="0" hidden="1"/>
    </xf>
    <xf numFmtId="0" fontId="24" fillId="0" borderId="7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vertical="center"/>
    </xf>
    <xf numFmtId="0" fontId="34" fillId="0" borderId="2" xfId="0" applyFont="1" applyFill="1" applyBorder="1" applyAlignment="1">
      <alignment horizontal="center" vertical="center"/>
    </xf>
    <xf numFmtId="0" fontId="34" fillId="0" borderId="2" xfId="0" quotePrefix="1" applyFont="1" applyFill="1" applyBorder="1" applyAlignment="1" applyProtection="1">
      <alignment horizontal="center" vertical="center"/>
      <protection locked="0" hidden="1"/>
    </xf>
    <xf numFmtId="0" fontId="34" fillId="0" borderId="2" xfId="0" applyFont="1" applyFill="1" applyBorder="1" applyAlignment="1" applyProtection="1">
      <alignment vertical="center"/>
      <protection locked="0" hidden="1"/>
    </xf>
    <xf numFmtId="164" fontId="34" fillId="0" borderId="2" xfId="12" applyNumberFormat="1" applyFont="1" applyFill="1" applyBorder="1" applyAlignment="1">
      <alignment vertical="center"/>
    </xf>
    <xf numFmtId="43" fontId="53" fillId="0" borderId="1" xfId="12" applyFont="1" applyFill="1" applyBorder="1" applyAlignment="1">
      <alignment vertical="center"/>
    </xf>
    <xf numFmtId="3" fontId="34" fillId="0" borderId="1" xfId="0" applyNumberFormat="1" applyFont="1" applyFill="1" applyBorder="1" applyAlignment="1">
      <alignment vertical="center"/>
    </xf>
    <xf numFmtId="0" fontId="34" fillId="0" borderId="1" xfId="0" applyFont="1" applyFill="1" applyBorder="1" applyAlignment="1">
      <alignment horizontal="center" vertical="center"/>
    </xf>
    <xf numFmtId="49" fontId="34" fillId="0" borderId="1" xfId="0" quotePrefix="1" applyNumberFormat="1" applyFont="1" applyFill="1" applyBorder="1" applyAlignment="1" applyProtection="1">
      <alignment horizontal="center" vertical="center"/>
      <protection locked="0" hidden="1"/>
    </xf>
    <xf numFmtId="0" fontId="34" fillId="0" borderId="1" xfId="0" applyFont="1" applyFill="1" applyBorder="1" applyAlignment="1" applyProtection="1">
      <alignment vertical="center"/>
      <protection locked="0" hidden="1"/>
    </xf>
    <xf numFmtId="164" fontId="34" fillId="0" borderId="1" xfId="12" applyNumberFormat="1" applyFont="1" applyFill="1" applyBorder="1" applyAlignment="1">
      <alignment vertical="center"/>
    </xf>
    <xf numFmtId="0" fontId="34" fillId="0" borderId="1" xfId="0" quotePrefix="1" applyFont="1" applyFill="1" applyBorder="1" applyAlignment="1" applyProtection="1">
      <alignment horizontal="center" vertical="center"/>
      <protection locked="0" hidden="1"/>
    </xf>
    <xf numFmtId="164" fontId="34" fillId="0" borderId="0" xfId="12" applyNumberFormat="1" applyFont="1" applyFill="1" applyAlignment="1">
      <alignment vertical="center"/>
    </xf>
    <xf numFmtId="0" fontId="34" fillId="0" borderId="1" xfId="0" applyFont="1" applyFill="1" applyBorder="1" applyAlignment="1" applyProtection="1">
      <alignment vertical="center" wrapText="1"/>
      <protection locked="0" hidden="1"/>
    </xf>
    <xf numFmtId="0" fontId="34" fillId="0" borderId="1" xfId="0" applyFont="1" applyFill="1" applyBorder="1" applyAlignment="1" applyProtection="1">
      <alignment horizontal="left" vertical="center"/>
      <protection locked="0" hidden="1"/>
    </xf>
    <xf numFmtId="0" fontId="34" fillId="0" borderId="1" xfId="0" applyFont="1" applyFill="1" applyBorder="1" applyAlignment="1">
      <alignment vertical="center" wrapText="1"/>
    </xf>
    <xf numFmtId="0" fontId="34" fillId="0" borderId="1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49" fontId="34" fillId="0" borderId="0" xfId="0" quotePrefix="1" applyNumberFormat="1" applyFont="1" applyFill="1" applyBorder="1" applyAlignment="1" applyProtection="1">
      <alignment horizontal="center" vertical="center"/>
      <protection locked="0" hidden="1"/>
    </xf>
    <xf numFmtId="0" fontId="34" fillId="0" borderId="0" xfId="0" applyFont="1" applyFill="1" applyBorder="1" applyAlignment="1" applyProtection="1">
      <alignment vertical="center"/>
      <protection locked="0" hidden="1"/>
    </xf>
    <xf numFmtId="164" fontId="34" fillId="0" borderId="0" xfId="12" applyNumberFormat="1" applyFont="1" applyFill="1" applyBorder="1" applyAlignment="1">
      <alignment vertical="center"/>
    </xf>
    <xf numFmtId="43" fontId="53" fillId="0" borderId="0" xfId="12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43" fontId="53" fillId="0" borderId="2" xfId="12" applyFont="1" applyFill="1" applyBorder="1" applyAlignment="1">
      <alignment vertical="center"/>
    </xf>
    <xf numFmtId="49" fontId="34" fillId="0" borderId="2" xfId="0" quotePrefix="1" applyNumberFormat="1" applyFont="1" applyFill="1" applyBorder="1" applyAlignment="1" applyProtection="1">
      <alignment horizontal="center" vertical="center"/>
      <protection locked="0" hidden="1"/>
    </xf>
    <xf numFmtId="3" fontId="34" fillId="0" borderId="0" xfId="0" applyNumberFormat="1" applyFont="1" applyFill="1" applyAlignment="1">
      <alignment vertical="center"/>
    </xf>
    <xf numFmtId="2" fontId="34" fillId="0" borderId="1" xfId="12" applyNumberFormat="1" applyFont="1" applyFill="1" applyBorder="1" applyAlignment="1">
      <alignment vertical="center"/>
    </xf>
    <xf numFmtId="0" fontId="31" fillId="0" borderId="1" xfId="0" applyFont="1" applyFill="1" applyBorder="1" applyAlignment="1">
      <alignment horizontal="center" vertical="center"/>
    </xf>
    <xf numFmtId="164" fontId="31" fillId="0" borderId="1" xfId="12" applyNumberFormat="1" applyFont="1" applyFill="1" applyBorder="1" applyAlignment="1">
      <alignment vertical="center"/>
    </xf>
    <xf numFmtId="43" fontId="24" fillId="0" borderId="1" xfId="12" applyFont="1" applyFill="1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164" fontId="31" fillId="0" borderId="0" xfId="12" applyNumberFormat="1" applyFont="1" applyFill="1" applyBorder="1" applyAlignment="1">
      <alignment vertical="center"/>
    </xf>
    <xf numFmtId="3" fontId="31" fillId="0" borderId="0" xfId="0" applyNumberFormat="1" applyFont="1" applyFill="1" applyBorder="1" applyAlignment="1">
      <alignment vertical="center"/>
    </xf>
    <xf numFmtId="43" fontId="24" fillId="0" borderId="0" xfId="12" applyFont="1" applyFill="1" applyBorder="1" applyAlignment="1">
      <alignment vertical="center"/>
    </xf>
    <xf numFmtId="0" fontId="49" fillId="0" borderId="1" xfId="0" applyFont="1" applyFill="1" applyBorder="1" applyAlignment="1">
      <alignment horizontal="center" vertical="center" wrapText="1"/>
    </xf>
    <xf numFmtId="0" fontId="49" fillId="0" borderId="7" xfId="36" applyFont="1" applyFill="1" applyBorder="1" applyAlignment="1" applyProtection="1">
      <alignment horizontal="center" vertical="center" wrapText="1"/>
      <protection locked="0" hidden="1"/>
    </xf>
    <xf numFmtId="0" fontId="34" fillId="0" borderId="1" xfId="0" applyFont="1" applyFill="1" applyBorder="1" applyAlignment="1">
      <alignment horizontal="justify" vertical="center" wrapText="1"/>
    </xf>
    <xf numFmtId="164" fontId="34" fillId="0" borderId="1" xfId="12" applyNumberFormat="1" applyFont="1" applyFill="1" applyBorder="1" applyAlignment="1">
      <alignment horizontal="right" vertical="center"/>
    </xf>
    <xf numFmtId="0" fontId="34" fillId="0" borderId="2" xfId="0" applyFont="1" applyFill="1" applyBorder="1" applyAlignment="1">
      <alignment vertical="center"/>
    </xf>
    <xf numFmtId="164" fontId="34" fillId="0" borderId="24" xfId="12" applyNumberFormat="1" applyFont="1" applyFill="1" applyBorder="1" applyAlignment="1">
      <alignment horizontal="right" vertical="center"/>
    </xf>
    <xf numFmtId="43" fontId="53" fillId="0" borderId="24" xfId="12" applyFont="1" applyFill="1" applyBorder="1" applyAlignment="1">
      <alignment vertical="center"/>
    </xf>
    <xf numFmtId="0" fontId="34" fillId="0" borderId="24" xfId="0" applyFont="1" applyFill="1" applyBorder="1" applyAlignment="1">
      <alignment horizontal="center" vertical="center"/>
    </xf>
    <xf numFmtId="0" fontId="31" fillId="0" borderId="24" xfId="0" applyFont="1" applyFill="1" applyBorder="1" applyAlignment="1">
      <alignment horizontal="center" vertical="center"/>
    </xf>
    <xf numFmtId="0" fontId="31" fillId="0" borderId="51" xfId="0" applyFont="1" applyFill="1" applyBorder="1" applyAlignment="1">
      <alignment vertical="center"/>
    </xf>
    <xf numFmtId="164" fontId="31" fillId="0" borderId="41" xfId="12" applyNumberFormat="1" applyFont="1" applyFill="1" applyBorder="1" applyAlignment="1">
      <alignment vertical="center"/>
    </xf>
    <xf numFmtId="3" fontId="31" fillId="0" borderId="42" xfId="0" applyNumberFormat="1" applyFont="1" applyFill="1" applyBorder="1" applyAlignment="1">
      <alignment vertical="center"/>
    </xf>
    <xf numFmtId="43" fontId="24" fillId="0" borderId="43" xfId="12" applyFont="1" applyFill="1" applyBorder="1" applyAlignment="1">
      <alignment vertical="center"/>
    </xf>
    <xf numFmtId="0" fontId="34" fillId="0" borderId="49" xfId="0" applyFont="1" applyFill="1" applyBorder="1" applyAlignment="1">
      <alignment horizontal="center" vertical="center"/>
    </xf>
    <xf numFmtId="0" fontId="34" fillId="0" borderId="75" xfId="0" applyFont="1" applyFill="1" applyBorder="1" applyAlignment="1">
      <alignment horizontal="center" vertical="center"/>
    </xf>
    <xf numFmtId="0" fontId="34" fillId="0" borderId="76" xfId="0" applyFont="1" applyFill="1" applyBorder="1" applyAlignment="1">
      <alignment vertical="center"/>
    </xf>
    <xf numFmtId="0" fontId="34" fillId="0" borderId="67" xfId="0" applyFont="1" applyFill="1" applyBorder="1" applyAlignment="1">
      <alignment horizontal="right" vertical="center"/>
    </xf>
    <xf numFmtId="164" fontId="31" fillId="0" borderId="58" xfId="12" applyNumberFormat="1" applyFont="1" applyFill="1" applyBorder="1" applyAlignment="1">
      <alignment vertical="center"/>
    </xf>
    <xf numFmtId="0" fontId="53" fillId="0" borderId="43" xfId="0" applyFont="1" applyFill="1" applyBorder="1" applyAlignment="1">
      <alignment vertical="center"/>
    </xf>
    <xf numFmtId="0" fontId="34" fillId="0" borderId="0" xfId="0" applyFont="1" applyFill="1" applyAlignment="1">
      <alignment horizontal="center" vertical="center"/>
    </xf>
    <xf numFmtId="164" fontId="75" fillId="0" borderId="0" xfId="12" applyNumberFormat="1" applyFont="1" applyFill="1" applyAlignment="1">
      <alignment vertical="center"/>
    </xf>
    <xf numFmtId="0" fontId="53" fillId="0" borderId="0" xfId="0" applyFont="1" applyFill="1" applyAlignment="1">
      <alignment vertical="center"/>
    </xf>
    <xf numFmtId="0" fontId="19" fillId="0" borderId="43" xfId="0" applyFont="1" applyFill="1" applyBorder="1" applyAlignment="1">
      <alignment horizontal="center" vertical="center" wrapText="1"/>
    </xf>
    <xf numFmtId="164" fontId="21" fillId="0" borderId="0" xfId="38" applyNumberFormat="1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0" fontId="23" fillId="0" borderId="0" xfId="0" applyFont="1" applyFill="1" applyAlignment="1">
      <alignment vertical="center" wrapText="1"/>
    </xf>
    <xf numFmtId="164" fontId="23" fillId="0" borderId="0" xfId="0" applyNumberFormat="1" applyFont="1" applyFill="1" applyAlignment="1">
      <alignment wrapText="1"/>
    </xf>
    <xf numFmtId="0" fontId="23" fillId="0" borderId="0" xfId="0" applyFont="1" applyFill="1" applyAlignment="1">
      <alignment wrapText="1"/>
    </xf>
    <xf numFmtId="3" fontId="21" fillId="0" borderId="0" xfId="0" applyNumberFormat="1" applyFont="1" applyFill="1" applyAlignment="1">
      <alignment wrapText="1"/>
    </xf>
    <xf numFmtId="164" fontId="21" fillId="0" borderId="0" xfId="0" applyNumberFormat="1" applyFont="1" applyFill="1" applyAlignment="1">
      <alignment wrapText="1"/>
    </xf>
    <xf numFmtId="164" fontId="21" fillId="0" borderId="3" xfId="12" applyNumberFormat="1" applyFont="1" applyFill="1" applyBorder="1" applyAlignment="1">
      <alignment horizontal="right"/>
    </xf>
    <xf numFmtId="164" fontId="21" fillId="0" borderId="4" xfId="12" applyNumberFormat="1" applyFont="1" applyFill="1" applyBorder="1" applyAlignment="1">
      <alignment horizontal="right"/>
    </xf>
    <xf numFmtId="0" fontId="74" fillId="0" borderId="79" xfId="0" applyFont="1" applyFill="1" applyBorder="1"/>
    <xf numFmtId="0" fontId="22" fillId="0" borderId="73" xfId="0" applyFont="1" applyFill="1" applyBorder="1"/>
    <xf numFmtId="1" fontId="74" fillId="0" borderId="81" xfId="0" applyNumberFormat="1" applyFont="1" applyFill="1" applyBorder="1" applyAlignment="1">
      <alignment horizontal="center"/>
    </xf>
    <xf numFmtId="3" fontId="74" fillId="0" borderId="68" xfId="0" applyNumberFormat="1" applyFont="1" applyFill="1" applyBorder="1"/>
    <xf numFmtId="1" fontId="74" fillId="0" borderId="48" xfId="0" applyNumberFormat="1" applyFont="1" applyFill="1" applyBorder="1" applyAlignment="1">
      <alignment horizontal="center"/>
    </xf>
    <xf numFmtId="164" fontId="74" fillId="0" borderId="80" xfId="12" applyNumberFormat="1" applyFont="1" applyFill="1" applyBorder="1"/>
    <xf numFmtId="0" fontId="74" fillId="0" borderId="0" xfId="0" applyFont="1" applyFill="1" applyBorder="1"/>
    <xf numFmtId="0" fontId="22" fillId="0" borderId="0" xfId="0" applyFont="1" applyFill="1" applyBorder="1"/>
    <xf numFmtId="1" fontId="74" fillId="0" borderId="0" xfId="0" applyNumberFormat="1" applyFont="1" applyFill="1" applyBorder="1" applyAlignment="1">
      <alignment horizontal="center"/>
    </xf>
    <xf numFmtId="3" fontId="74" fillId="0" borderId="0" xfId="0" applyNumberFormat="1" applyFont="1" applyFill="1" applyBorder="1"/>
    <xf numFmtId="164" fontId="74" fillId="0" borderId="0" xfId="12" applyNumberFormat="1" applyFont="1" applyFill="1" applyBorder="1"/>
    <xf numFmtId="0" fontId="22" fillId="0" borderId="0" xfId="0" applyFont="1" applyFill="1"/>
    <xf numFmtId="0" fontId="74" fillId="0" borderId="0" xfId="0" applyFont="1" applyFill="1"/>
    <xf numFmtId="0" fontId="22" fillId="0" borderId="0" xfId="0" applyNumberFormat="1" applyFont="1" applyFill="1" applyAlignment="1">
      <alignment horizontal="center"/>
    </xf>
    <xf numFmtId="0" fontId="22" fillId="0" borderId="14" xfId="0" applyFont="1" applyFill="1" applyBorder="1"/>
    <xf numFmtId="164" fontId="22" fillId="0" borderId="3" xfId="38" applyNumberFormat="1" applyFont="1" applyFill="1" applyBorder="1"/>
    <xf numFmtId="164" fontId="22" fillId="0" borderId="4" xfId="38" applyNumberFormat="1" applyFont="1" applyFill="1" applyBorder="1"/>
    <xf numFmtId="3" fontId="22" fillId="0" borderId="0" xfId="0" applyNumberFormat="1" applyFont="1" applyFill="1"/>
    <xf numFmtId="164" fontId="22" fillId="0" borderId="14" xfId="38" applyNumberFormat="1" applyFont="1" applyFill="1" applyBorder="1"/>
    <xf numFmtId="164" fontId="22" fillId="0" borderId="3" xfId="38" applyNumberFormat="1" applyFont="1" applyFill="1" applyBorder="1" applyAlignment="1">
      <alignment horizontal="center"/>
    </xf>
    <xf numFmtId="164" fontId="22" fillId="0" borderId="0" xfId="0" applyNumberFormat="1" applyFont="1" applyFill="1"/>
    <xf numFmtId="164" fontId="74" fillId="0" borderId="4" xfId="38" applyNumberFormat="1" applyFont="1" applyFill="1" applyBorder="1" applyAlignment="1">
      <alignment horizontal="center"/>
    </xf>
    <xf numFmtId="0" fontId="74" fillId="0" borderId="0" xfId="0" applyFont="1" applyFill="1" applyAlignment="1">
      <alignment horizontal="center"/>
    </xf>
    <xf numFmtId="0" fontId="22" fillId="0" borderId="51" xfId="0" applyNumberFormat="1" applyFont="1" applyFill="1" applyBorder="1" applyAlignment="1">
      <alignment horizontal="center"/>
    </xf>
    <xf numFmtId="164" fontId="22" fillId="0" borderId="0" xfId="38" applyNumberFormat="1" applyFont="1" applyFill="1"/>
    <xf numFmtId="0" fontId="22" fillId="0" borderId="0" xfId="0" applyFont="1" applyFill="1" applyBorder="1" applyAlignment="1">
      <alignment vertical="center"/>
    </xf>
    <xf numFmtId="0" fontId="74" fillId="0" borderId="7" xfId="19" applyFont="1" applyFill="1" applyBorder="1" applyAlignment="1">
      <alignment horizontal="center" vertical="center" wrapText="1"/>
    </xf>
    <xf numFmtId="0" fontId="74" fillId="0" borderId="8" xfId="19" applyFont="1" applyFill="1" applyBorder="1" applyAlignment="1">
      <alignment horizontal="center" vertical="center" wrapText="1"/>
    </xf>
    <xf numFmtId="0" fontId="74" fillId="0" borderId="7" xfId="19" applyNumberFormat="1" applyFont="1" applyFill="1" applyBorder="1" applyAlignment="1">
      <alignment horizontal="center" vertical="center" wrapText="1"/>
    </xf>
    <xf numFmtId="164" fontId="74" fillId="0" borderId="7" xfId="12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NumberFormat="1" applyFont="1" applyFill="1" applyBorder="1" applyAlignment="1">
      <alignment horizontal="center" vertical="center"/>
    </xf>
    <xf numFmtId="164" fontId="22" fillId="0" borderId="14" xfId="12" applyNumberFormat="1" applyFont="1" applyFill="1" applyBorder="1" applyAlignment="1">
      <alignment horizontal="right" vertical="center"/>
    </xf>
    <xf numFmtId="0" fontId="22" fillId="0" borderId="14" xfId="0" applyNumberFormat="1" applyFont="1" applyFill="1" applyBorder="1" applyAlignment="1">
      <alignment horizontal="center"/>
    </xf>
    <xf numFmtId="164" fontId="22" fillId="0" borderId="15" xfId="12" applyNumberFormat="1" applyFont="1" applyFill="1" applyBorder="1" applyAlignment="1">
      <alignment horizontal="right"/>
    </xf>
    <xf numFmtId="0" fontId="22" fillId="0" borderId="3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0" fontId="22" fillId="0" borderId="3" xfId="0" applyNumberFormat="1" applyFont="1" applyFill="1" applyBorder="1" applyAlignment="1">
      <alignment horizontal="center" vertical="center"/>
    </xf>
    <xf numFmtId="164" fontId="22" fillId="0" borderId="3" xfId="12" applyNumberFormat="1" applyFont="1" applyFill="1" applyBorder="1" applyAlignment="1">
      <alignment horizontal="right" vertical="center"/>
    </xf>
    <xf numFmtId="0" fontId="22" fillId="0" borderId="3" xfId="0" applyNumberFormat="1" applyFont="1" applyFill="1" applyBorder="1" applyAlignment="1">
      <alignment horizontal="center"/>
    </xf>
    <xf numFmtId="164" fontId="22" fillId="0" borderId="6" xfId="12" applyNumberFormat="1" applyFont="1" applyFill="1" applyBorder="1" applyAlignment="1">
      <alignment horizontal="right"/>
    </xf>
    <xf numFmtId="0" fontId="74" fillId="0" borderId="7" xfId="0" applyFont="1" applyFill="1" applyBorder="1" applyAlignment="1">
      <alignment vertical="center"/>
    </xf>
    <xf numFmtId="0" fontId="74" fillId="0" borderId="8" xfId="0" applyFont="1" applyFill="1" applyBorder="1" applyAlignment="1">
      <alignment horizontal="center" vertical="center" wrapText="1"/>
    </xf>
    <xf numFmtId="0" fontId="74" fillId="0" borderId="7" xfId="0" applyNumberFormat="1" applyFont="1" applyFill="1" applyBorder="1" applyAlignment="1">
      <alignment horizontal="center" vertical="center"/>
    </xf>
    <xf numFmtId="164" fontId="74" fillId="0" borderId="7" xfId="12" applyNumberFormat="1" applyFont="1" applyFill="1" applyBorder="1" applyAlignment="1">
      <alignment horizontal="right" vertical="center"/>
    </xf>
    <xf numFmtId="0" fontId="74" fillId="0" borderId="7" xfId="0" applyNumberFormat="1" applyFont="1" applyFill="1" applyBorder="1" applyAlignment="1">
      <alignment horizontal="center" vertical="center" wrapText="1"/>
    </xf>
    <xf numFmtId="164" fontId="74" fillId="0" borderId="22" xfId="12" applyNumberFormat="1" applyFont="1" applyFill="1" applyBorder="1" applyAlignment="1">
      <alignment horizontal="right"/>
    </xf>
    <xf numFmtId="0" fontId="74" fillId="0" borderId="7" xfId="0" applyNumberFormat="1" applyFont="1" applyFill="1" applyBorder="1" applyAlignment="1">
      <alignment horizontal="center"/>
    </xf>
    <xf numFmtId="164" fontId="74" fillId="0" borderId="15" xfId="12" applyNumberFormat="1" applyFont="1" applyFill="1" applyBorder="1" applyAlignment="1">
      <alignment horizontal="right"/>
    </xf>
    <xf numFmtId="0" fontId="22" fillId="0" borderId="18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 wrapText="1"/>
    </xf>
    <xf numFmtId="164" fontId="22" fillId="0" borderId="4" xfId="12" applyNumberFormat="1" applyFont="1" applyFill="1" applyBorder="1" applyAlignment="1">
      <alignment horizontal="right" vertical="center"/>
    </xf>
    <xf numFmtId="0" fontId="74" fillId="0" borderId="11" xfId="0" applyFont="1" applyFill="1" applyBorder="1" applyAlignment="1">
      <alignment vertical="center"/>
    </xf>
    <xf numFmtId="0" fontId="74" fillId="0" borderId="7" xfId="0" applyFont="1" applyFill="1" applyBorder="1" applyAlignment="1">
      <alignment horizontal="center" vertical="center" wrapText="1"/>
    </xf>
    <xf numFmtId="0" fontId="74" fillId="0" borderId="8" xfId="0" applyNumberFormat="1" applyFont="1" applyFill="1" applyBorder="1" applyAlignment="1">
      <alignment horizontal="center" vertical="center"/>
    </xf>
    <xf numFmtId="164" fontId="74" fillId="0" borderId="8" xfId="12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/>
    </xf>
    <xf numFmtId="0" fontId="22" fillId="0" borderId="18" xfId="0" applyNumberFormat="1" applyFont="1" applyFill="1" applyBorder="1" applyAlignment="1">
      <alignment horizontal="center"/>
    </xf>
    <xf numFmtId="164" fontId="22" fillId="0" borderId="14" xfId="12" applyNumberFormat="1" applyFont="1" applyFill="1" applyBorder="1" applyAlignment="1">
      <alignment horizontal="right"/>
    </xf>
    <xf numFmtId="164" fontId="22" fillId="0" borderId="3" xfId="12" applyNumberFormat="1" applyFont="1" applyFill="1" applyBorder="1" applyAlignment="1">
      <alignment horizontal="right"/>
    </xf>
    <xf numFmtId="0" fontId="74" fillId="0" borderId="11" xfId="0" applyNumberFormat="1" applyFont="1" applyFill="1" applyBorder="1" applyAlignment="1">
      <alignment horizontal="center" vertical="center"/>
    </xf>
    <xf numFmtId="0" fontId="74" fillId="0" borderId="11" xfId="0" applyNumberFormat="1" applyFont="1" applyFill="1" applyBorder="1" applyAlignment="1">
      <alignment horizontal="center"/>
    </xf>
    <xf numFmtId="164" fontId="74" fillId="0" borderId="7" xfId="12" applyNumberFormat="1" applyFont="1" applyFill="1" applyBorder="1" applyAlignment="1">
      <alignment horizontal="right"/>
    </xf>
    <xf numFmtId="0" fontId="74" fillId="0" borderId="11" xfId="12" applyNumberFormat="1" applyFont="1" applyFill="1" applyBorder="1" applyAlignment="1">
      <alignment horizontal="center" vertical="center"/>
    </xf>
    <xf numFmtId="0" fontId="74" fillId="0" borderId="11" xfId="12" applyNumberFormat="1" applyFont="1" applyFill="1" applyBorder="1" applyAlignment="1">
      <alignment horizont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wrapText="1"/>
    </xf>
    <xf numFmtId="0" fontId="22" fillId="0" borderId="3" xfId="12" applyNumberFormat="1" applyFont="1" applyFill="1" applyBorder="1" applyAlignment="1">
      <alignment horizontal="right"/>
    </xf>
    <xf numFmtId="0" fontId="22" fillId="0" borderId="3" xfId="0" applyFont="1" applyFill="1" applyBorder="1" applyAlignment="1">
      <alignment wrapText="1"/>
    </xf>
    <xf numFmtId="0" fontId="74" fillId="0" borderId="7" xfId="12" applyNumberFormat="1" applyFont="1" applyFill="1" applyBorder="1" applyAlignment="1">
      <alignment horizontal="center" vertical="center"/>
    </xf>
    <xf numFmtId="164" fontId="74" fillId="0" borderId="4" xfId="12" applyNumberFormat="1" applyFont="1" applyFill="1" applyBorder="1" applyAlignment="1">
      <alignment horizontal="right" vertical="center"/>
    </xf>
    <xf numFmtId="0" fontId="21" fillId="0" borderId="14" xfId="0" applyFont="1" applyFill="1" applyBorder="1" applyAlignment="1">
      <alignment vertical="center"/>
    </xf>
    <xf numFmtId="0" fontId="21" fillId="0" borderId="0" xfId="0" applyFont="1" applyFill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/>
    </xf>
    <xf numFmtId="164" fontId="21" fillId="0" borderId="0" xfId="12" applyNumberFormat="1" applyFont="1" applyFill="1" applyAlignment="1">
      <alignment horizontal="right" vertical="center"/>
    </xf>
    <xf numFmtId="164" fontId="21" fillId="0" borderId="3" xfId="12" applyNumberFormat="1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1" fillId="0" borderId="3" xfId="0" applyFont="1" applyFill="1" applyBorder="1" applyAlignment="1">
      <alignment vertical="center"/>
    </xf>
    <xf numFmtId="0" fontId="21" fillId="0" borderId="3" xfId="0" applyNumberFormat="1" applyFont="1" applyFill="1" applyBorder="1" applyAlignment="1">
      <alignment horizontal="center" vertical="center"/>
    </xf>
    <xf numFmtId="164" fontId="22" fillId="0" borderId="0" xfId="12" applyNumberFormat="1" applyFont="1" applyFill="1" applyAlignment="1">
      <alignment horizontal="right" vertical="center"/>
    </xf>
    <xf numFmtId="0" fontId="22" fillId="0" borderId="4" xfId="12" applyNumberFormat="1" applyFont="1" applyFill="1" applyBorder="1" applyAlignment="1">
      <alignment horizontal="right"/>
    </xf>
    <xf numFmtId="0" fontId="22" fillId="0" borderId="6" xfId="0" applyFont="1" applyFill="1" applyBorder="1" applyAlignment="1">
      <alignment wrapText="1"/>
    </xf>
    <xf numFmtId="164" fontId="22" fillId="0" borderId="4" xfId="12" applyNumberFormat="1" applyFont="1" applyFill="1" applyBorder="1" applyAlignment="1">
      <alignment horizontal="right"/>
    </xf>
    <xf numFmtId="164" fontId="74" fillId="0" borderId="7" xfId="12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 wrapText="1"/>
    </xf>
    <xf numFmtId="0" fontId="74" fillId="0" borderId="0" xfId="0" applyNumberFormat="1" applyFont="1" applyFill="1" applyBorder="1" applyAlignment="1">
      <alignment horizontal="center" vertical="center"/>
    </xf>
    <xf numFmtId="164" fontId="74" fillId="0" borderId="0" xfId="12" applyNumberFormat="1" applyFont="1" applyFill="1" applyBorder="1" applyAlignment="1">
      <alignment horizontal="right" vertical="center"/>
    </xf>
    <xf numFmtId="164" fontId="74" fillId="0" borderId="11" xfId="12" applyNumberFormat="1" applyFont="1" applyFill="1" applyBorder="1" applyAlignment="1">
      <alignment vertical="center"/>
    </xf>
    <xf numFmtId="164" fontId="74" fillId="0" borderId="8" xfId="12" applyNumberFormat="1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164" fontId="22" fillId="0" borderId="0" xfId="12" applyNumberFormat="1" applyFont="1" applyFill="1" applyBorder="1" applyAlignment="1">
      <alignment horizontal="right" vertical="center"/>
    </xf>
    <xf numFmtId="0" fontId="74" fillId="0" borderId="4" xfId="0" applyFont="1" applyFill="1" applyBorder="1" applyAlignment="1">
      <alignment vertical="center"/>
    </xf>
    <xf numFmtId="0" fontId="74" fillId="0" borderId="21" xfId="0" applyFont="1" applyFill="1" applyBorder="1" applyAlignment="1">
      <alignment horizontal="center" vertical="center" wrapText="1"/>
    </xf>
    <xf numFmtId="0" fontId="74" fillId="0" borderId="4" xfId="0" applyNumberFormat="1" applyFont="1" applyFill="1" applyBorder="1" applyAlignment="1">
      <alignment horizontal="center" vertical="center"/>
    </xf>
    <xf numFmtId="0" fontId="80" fillId="0" borderId="0" xfId="0" applyFont="1" applyFill="1" applyAlignment="1">
      <alignment vertical="center"/>
    </xf>
    <xf numFmtId="0" fontId="80" fillId="0" borderId="18" xfId="0" applyFont="1" applyFill="1" applyBorder="1" applyAlignment="1">
      <alignment horizontal="center" vertical="center" wrapText="1"/>
    </xf>
    <xf numFmtId="0" fontId="80" fillId="0" borderId="3" xfId="0" applyNumberFormat="1" applyFont="1" applyFill="1" applyBorder="1" applyAlignment="1">
      <alignment horizontal="center" vertical="center"/>
    </xf>
    <xf numFmtId="164" fontId="80" fillId="0" borderId="0" xfId="12" applyNumberFormat="1" applyFont="1" applyFill="1" applyAlignment="1">
      <alignment horizontal="right" vertical="center"/>
    </xf>
    <xf numFmtId="164" fontId="80" fillId="0" borderId="3" xfId="12" applyNumberFormat="1" applyFont="1" applyFill="1" applyBorder="1" applyAlignment="1">
      <alignment horizontal="right" vertical="center"/>
    </xf>
    <xf numFmtId="0" fontId="80" fillId="0" borderId="0" xfId="0" applyFont="1" applyFill="1" applyBorder="1" applyAlignment="1">
      <alignment vertical="center"/>
    </xf>
    <xf numFmtId="0" fontId="23" fillId="0" borderId="7" xfId="19" applyFont="1" applyFill="1" applyBorder="1" applyAlignment="1">
      <alignment horizontal="center" vertical="center" wrapText="1"/>
    </xf>
    <xf numFmtId="0" fontId="23" fillId="0" borderId="8" xfId="19" applyFont="1" applyFill="1" applyBorder="1" applyAlignment="1">
      <alignment horizontal="center" vertical="center" wrapText="1"/>
    </xf>
    <xf numFmtId="0" fontId="23" fillId="0" borderId="7" xfId="19" applyNumberFormat="1" applyFont="1" applyFill="1" applyBorder="1" applyAlignment="1">
      <alignment horizontal="center" vertical="center" wrapText="1"/>
    </xf>
    <xf numFmtId="164" fontId="23" fillId="0" borderId="8" xfId="12" applyNumberFormat="1" applyFont="1" applyFill="1" applyBorder="1" applyAlignment="1">
      <alignment horizontal="center" vertical="center" wrapText="1"/>
    </xf>
    <xf numFmtId="164" fontId="23" fillId="0" borderId="7" xfId="12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vertical="center"/>
    </xf>
    <xf numFmtId="0" fontId="81" fillId="0" borderId="3" xfId="0" applyFont="1" applyFill="1" applyBorder="1" applyAlignment="1">
      <alignment vertical="center"/>
    </xf>
    <xf numFmtId="0" fontId="81" fillId="0" borderId="0" xfId="0" applyFont="1" applyFill="1" applyAlignment="1">
      <alignment horizontal="center" vertical="center" wrapText="1"/>
    </xf>
    <xf numFmtId="0" fontId="81" fillId="0" borderId="3" xfId="0" applyNumberFormat="1" applyFont="1" applyFill="1" applyBorder="1" applyAlignment="1">
      <alignment horizontal="center" vertical="center"/>
    </xf>
    <xf numFmtId="164" fontId="81" fillId="0" borderId="0" xfId="12" applyNumberFormat="1" applyFont="1" applyFill="1" applyAlignment="1">
      <alignment horizontal="right" vertical="center"/>
    </xf>
    <xf numFmtId="0" fontId="81" fillId="0" borderId="0" xfId="0" applyFont="1" applyFill="1" applyBorder="1" applyAlignment="1">
      <alignment vertical="center"/>
    </xf>
    <xf numFmtId="164" fontId="81" fillId="0" borderId="3" xfId="12" applyNumberFormat="1" applyFont="1" applyFill="1" applyBorder="1" applyAlignment="1">
      <alignment horizontal="right" vertical="center"/>
    </xf>
    <xf numFmtId="0" fontId="82" fillId="0" borderId="7" xfId="0" applyFont="1" applyFill="1" applyBorder="1" applyAlignment="1">
      <alignment vertical="center"/>
    </xf>
    <xf numFmtId="0" fontId="82" fillId="0" borderId="8" xfId="0" applyFont="1" applyFill="1" applyBorder="1" applyAlignment="1">
      <alignment horizontal="center" vertical="center" wrapText="1"/>
    </xf>
    <xf numFmtId="0" fontId="82" fillId="0" borderId="7" xfId="12" applyNumberFormat="1" applyFont="1" applyFill="1" applyBorder="1" applyAlignment="1">
      <alignment horizontal="center" vertical="center"/>
    </xf>
    <xf numFmtId="164" fontId="82" fillId="0" borderId="7" xfId="12" applyNumberFormat="1" applyFont="1" applyFill="1" applyBorder="1" applyAlignment="1">
      <alignment horizontal="right" vertical="center"/>
    </xf>
    <xf numFmtId="0" fontId="82" fillId="0" borderId="7" xfId="0" applyNumberFormat="1" applyFont="1" applyFill="1" applyBorder="1" applyAlignment="1">
      <alignment horizontal="center" vertical="center"/>
    </xf>
    <xf numFmtId="164" fontId="82" fillId="0" borderId="8" xfId="12" applyNumberFormat="1" applyFont="1" applyFill="1" applyBorder="1" applyAlignment="1">
      <alignment horizontal="right" vertical="center"/>
    </xf>
    <xf numFmtId="0" fontId="82" fillId="0" borderId="14" xfId="12" applyNumberFormat="1" applyFont="1" applyFill="1" applyBorder="1" applyAlignment="1">
      <alignment horizontal="center" vertical="center"/>
    </xf>
    <xf numFmtId="164" fontId="82" fillId="0" borderId="14" xfId="12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vertical="center"/>
    </xf>
    <xf numFmtId="0" fontId="21" fillId="0" borderId="8" xfId="0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/>
    </xf>
    <xf numFmtId="164" fontId="21" fillId="0" borderId="7" xfId="12" applyNumberFormat="1" applyFont="1" applyFill="1" applyBorder="1" applyAlignment="1">
      <alignment horizontal="right" vertical="center"/>
    </xf>
    <xf numFmtId="0" fontId="23" fillId="0" borderId="30" xfId="0" applyFont="1" applyFill="1" applyBorder="1" applyAlignment="1">
      <alignment vertical="center"/>
    </xf>
    <xf numFmtId="0" fontId="23" fillId="0" borderId="21" xfId="0" applyFont="1" applyFill="1" applyBorder="1" applyAlignment="1">
      <alignment horizontal="center" vertical="center" wrapText="1"/>
    </xf>
    <xf numFmtId="0" fontId="23" fillId="0" borderId="30" xfId="0" applyNumberFormat="1" applyFont="1" applyFill="1" applyBorder="1" applyAlignment="1">
      <alignment horizontal="center" vertical="center"/>
    </xf>
    <xf numFmtId="164" fontId="23" fillId="0" borderId="4" xfId="12" applyNumberFormat="1" applyFont="1" applyFill="1" applyBorder="1" applyAlignment="1">
      <alignment horizontal="right" vertical="center"/>
    </xf>
    <xf numFmtId="0" fontId="23" fillId="0" borderId="4" xfId="12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 wrapText="1"/>
    </xf>
    <xf numFmtId="0" fontId="21" fillId="0" borderId="18" xfId="0" applyNumberFormat="1" applyFont="1" applyFill="1" applyBorder="1" applyAlignment="1">
      <alignment horizontal="center" vertical="center"/>
    </xf>
    <xf numFmtId="0" fontId="74" fillId="0" borderId="22" xfId="0" applyFont="1" applyFill="1" applyBorder="1" applyAlignment="1">
      <alignment horizontal="center" vertical="center" wrapText="1"/>
    </xf>
    <xf numFmtId="164" fontId="74" fillId="0" borderId="8" xfId="12" applyNumberFormat="1" applyFont="1" applyFill="1" applyBorder="1" applyAlignment="1">
      <alignment horizontal="right" vertical="center"/>
    </xf>
    <xf numFmtId="0" fontId="81" fillId="0" borderId="14" xfId="0" applyNumberFormat="1" applyFont="1" applyFill="1" applyBorder="1" applyAlignment="1">
      <alignment horizontal="center" vertical="center"/>
    </xf>
    <xf numFmtId="0" fontId="80" fillId="0" borderId="3" xfId="0" applyFont="1" applyFill="1" applyBorder="1" applyAlignment="1">
      <alignment vertical="center"/>
    </xf>
    <xf numFmtId="0" fontId="80" fillId="0" borderId="0" xfId="0" applyFont="1" applyFill="1" applyAlignment="1">
      <alignment horizontal="center" vertical="center" wrapText="1"/>
    </xf>
    <xf numFmtId="0" fontId="74" fillId="0" borderId="14" xfId="0" applyFont="1" applyFill="1" applyBorder="1" applyAlignment="1">
      <alignment vertical="center"/>
    </xf>
    <xf numFmtId="0" fontId="74" fillId="0" borderId="13" xfId="0" applyFont="1" applyFill="1" applyBorder="1" applyAlignment="1">
      <alignment horizontal="center" vertical="center" wrapText="1"/>
    </xf>
    <xf numFmtId="0" fontId="80" fillId="0" borderId="16" xfId="0" applyFont="1" applyFill="1" applyBorder="1" applyAlignment="1">
      <alignment vertical="center"/>
    </xf>
    <xf numFmtId="0" fontId="80" fillId="0" borderId="15" xfId="0" applyFont="1" applyFill="1" applyBorder="1" applyAlignment="1">
      <alignment horizontal="center" vertical="center" wrapText="1"/>
    </xf>
    <xf numFmtId="0" fontId="80" fillId="0" borderId="6" xfId="0" applyNumberFormat="1" applyFont="1" applyFill="1" applyBorder="1" applyAlignment="1">
      <alignment horizontal="center" vertical="center"/>
    </xf>
    <xf numFmtId="0" fontId="80" fillId="0" borderId="18" xfId="0" applyFont="1" applyFill="1" applyBorder="1" applyAlignment="1">
      <alignment vertical="center"/>
    </xf>
    <xf numFmtId="0" fontId="80" fillId="0" borderId="6" xfId="0" applyFont="1" applyFill="1" applyBorder="1" applyAlignment="1">
      <alignment horizontal="center" vertical="center" wrapText="1"/>
    </xf>
    <xf numFmtId="0" fontId="80" fillId="0" borderId="30" xfId="0" applyFont="1" applyFill="1" applyBorder="1" applyAlignment="1">
      <alignment vertical="center"/>
    </xf>
    <xf numFmtId="0" fontId="80" fillId="0" borderId="26" xfId="0" applyFont="1" applyFill="1" applyBorder="1" applyAlignment="1">
      <alignment horizontal="center" vertical="center" wrapText="1"/>
    </xf>
    <xf numFmtId="0" fontId="74" fillId="0" borderId="30" xfId="0" applyFont="1" applyFill="1" applyBorder="1" applyAlignment="1">
      <alignment vertical="center"/>
    </xf>
    <xf numFmtId="0" fontId="74" fillId="0" borderId="30" xfId="0" applyFont="1" applyFill="1" applyBorder="1" applyAlignment="1">
      <alignment horizontal="center" vertical="center" wrapText="1"/>
    </xf>
    <xf numFmtId="0" fontId="74" fillId="0" borderId="11" xfId="0" applyFont="1" applyFill="1" applyBorder="1" applyAlignment="1">
      <alignment horizontal="center" vertical="center" wrapText="1"/>
    </xf>
    <xf numFmtId="0" fontId="74" fillId="0" borderId="7" xfId="19" applyFont="1" applyFill="1" applyBorder="1" applyAlignment="1">
      <alignment horizontal="center" wrapText="1"/>
    </xf>
    <xf numFmtId="0" fontId="74" fillId="0" borderId="8" xfId="19" applyFont="1" applyFill="1" applyBorder="1" applyAlignment="1">
      <alignment horizontal="center" wrapText="1"/>
    </xf>
    <xf numFmtId="164" fontId="74" fillId="0" borderId="22" xfId="12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right" vertical="center" wrapText="1"/>
    </xf>
    <xf numFmtId="0" fontId="22" fillId="0" borderId="3" xfId="0" applyFont="1" applyFill="1" applyBorder="1"/>
    <xf numFmtId="3" fontId="22" fillId="0" borderId="3" xfId="0" applyNumberFormat="1" applyFont="1" applyFill="1" applyBorder="1" applyAlignment="1">
      <alignment horizontal="right" vertical="center" wrapText="1"/>
    </xf>
    <xf numFmtId="164" fontId="22" fillId="0" borderId="34" xfId="12" applyNumberFormat="1" applyFont="1" applyFill="1" applyBorder="1" applyAlignment="1">
      <alignment horizontal="right" vertical="center"/>
    </xf>
    <xf numFmtId="3" fontId="22" fillId="0" borderId="34" xfId="0" applyNumberFormat="1" applyFont="1" applyFill="1" applyBorder="1" applyAlignment="1">
      <alignment horizontal="right" vertical="center" wrapText="1"/>
    </xf>
    <xf numFmtId="0" fontId="74" fillId="0" borderId="7" xfId="0" applyFont="1" applyFill="1" applyBorder="1"/>
    <xf numFmtId="0" fontId="74" fillId="0" borderId="8" xfId="0" applyFont="1" applyFill="1" applyBorder="1" applyAlignment="1">
      <alignment horizontal="center" wrapText="1"/>
    </xf>
    <xf numFmtId="0" fontId="74" fillId="0" borderId="7" xfId="12" applyNumberFormat="1" applyFont="1" applyFill="1" applyBorder="1" applyAlignment="1">
      <alignment horizontal="center"/>
    </xf>
    <xf numFmtId="164" fontId="74" fillId="0" borderId="34" xfId="12" applyNumberFormat="1" applyFont="1" applyFill="1" applyBorder="1" applyAlignment="1">
      <alignment horizontal="right" vertical="center"/>
    </xf>
    <xf numFmtId="3" fontId="74" fillId="0" borderId="34" xfId="0" applyNumberFormat="1" applyFont="1" applyFill="1" applyBorder="1" applyAlignment="1">
      <alignment horizontal="right" vertical="center" wrapText="1"/>
    </xf>
    <xf numFmtId="3" fontId="74" fillId="0" borderId="7" xfId="0" applyNumberFormat="1" applyFont="1" applyFill="1" applyBorder="1" applyAlignment="1">
      <alignment horizontal="right" vertical="center" wrapText="1"/>
    </xf>
    <xf numFmtId="0" fontId="74" fillId="0" borderId="4" xfId="0" applyFont="1" applyFill="1" applyBorder="1"/>
    <xf numFmtId="0" fontId="74" fillId="0" borderId="21" xfId="0" applyFont="1" applyFill="1" applyBorder="1" applyAlignment="1">
      <alignment horizontal="center" wrapText="1"/>
    </xf>
    <xf numFmtId="0" fontId="74" fillId="0" borderId="4" xfId="0" applyNumberFormat="1" applyFont="1" applyFill="1" applyBorder="1" applyAlignment="1">
      <alignment horizontal="center"/>
    </xf>
    <xf numFmtId="164" fontId="74" fillId="0" borderId="4" xfId="12" applyNumberFormat="1" applyFont="1" applyFill="1" applyBorder="1" applyAlignment="1">
      <alignment horizontal="right"/>
    </xf>
    <xf numFmtId="0" fontId="74" fillId="0" borderId="11" xfId="0" applyFont="1" applyFill="1" applyBorder="1"/>
    <xf numFmtId="164" fontId="74" fillId="0" borderId="7" xfId="12" applyNumberFormat="1" applyFont="1" applyFill="1" applyBorder="1" applyAlignment="1"/>
    <xf numFmtId="3" fontId="74" fillId="0" borderId="7" xfId="0" applyNumberFormat="1" applyFont="1" applyFill="1" applyBorder="1"/>
    <xf numFmtId="0" fontId="74" fillId="0" borderId="0" xfId="0" applyFont="1" applyFill="1" applyBorder="1" applyAlignment="1">
      <alignment horizontal="center" wrapText="1"/>
    </xf>
    <xf numFmtId="0" fontId="74" fillId="0" borderId="0" xfId="0" applyNumberFormat="1" applyFont="1" applyFill="1" applyBorder="1" applyAlignment="1">
      <alignment horizontal="center"/>
    </xf>
    <xf numFmtId="164" fontId="74" fillId="0" borderId="0" xfId="12" applyNumberFormat="1" applyFont="1" applyFill="1" applyBorder="1" applyAlignment="1">
      <alignment horizontal="right"/>
    </xf>
    <xf numFmtId="164" fontId="74" fillId="0" borderId="26" xfId="12" applyNumberFormat="1" applyFont="1" applyFill="1" applyBorder="1" applyAlignment="1">
      <alignment horizontal="right"/>
    </xf>
    <xf numFmtId="164" fontId="74" fillId="0" borderId="16" xfId="12" applyNumberFormat="1" applyFont="1" applyFill="1" applyBorder="1" applyAlignment="1">
      <alignment vertical="center"/>
    </xf>
    <xf numFmtId="164" fontId="74" fillId="0" borderId="13" xfId="12" applyNumberFormat="1" applyFont="1" applyFill="1" applyBorder="1" applyAlignment="1">
      <alignment horizontal="center" vertical="center" wrapText="1"/>
    </xf>
    <xf numFmtId="0" fontId="74" fillId="0" borderId="14" xfId="12" applyNumberFormat="1" applyFont="1" applyFill="1" applyBorder="1" applyAlignment="1">
      <alignment horizontal="center" vertical="center"/>
    </xf>
    <xf numFmtId="164" fontId="74" fillId="0" borderId="14" xfId="12" applyNumberFormat="1" applyFont="1" applyFill="1" applyBorder="1" applyAlignment="1">
      <alignment horizontal="right" vertical="center"/>
    </xf>
    <xf numFmtId="0" fontId="22" fillId="0" borderId="8" xfId="0" applyFont="1" applyFill="1" applyBorder="1" applyAlignment="1">
      <alignment horizontal="center" vertical="center" wrapText="1"/>
    </xf>
    <xf numFmtId="0" fontId="22" fillId="0" borderId="7" xfId="0" applyNumberFormat="1" applyFont="1" applyFill="1" applyBorder="1" applyAlignment="1">
      <alignment horizontal="center" vertical="center"/>
    </xf>
    <xf numFmtId="0" fontId="22" fillId="0" borderId="7" xfId="0" applyFont="1" applyFill="1" applyBorder="1" applyAlignment="1">
      <alignment vertical="center"/>
    </xf>
    <xf numFmtId="164" fontId="22" fillId="0" borderId="7" xfId="12" applyNumberFormat="1" applyFont="1" applyFill="1" applyBorder="1" applyAlignment="1">
      <alignment horizontal="right" vertical="center"/>
    </xf>
    <xf numFmtId="164" fontId="74" fillId="0" borderId="22" xfId="12" applyNumberFormat="1" applyFont="1" applyFill="1" applyBorder="1" applyAlignment="1">
      <alignment horizontal="right" vertical="center"/>
    </xf>
    <xf numFmtId="0" fontId="22" fillId="0" borderId="16" xfId="0" applyFont="1" applyFill="1" applyBorder="1" applyAlignment="1">
      <alignment vertical="center"/>
    </xf>
    <xf numFmtId="164" fontId="22" fillId="0" borderId="13" xfId="12" applyNumberFormat="1" applyFont="1" applyFill="1" applyBorder="1" applyAlignment="1">
      <alignment horizontal="right" vertical="center"/>
    </xf>
    <xf numFmtId="0" fontId="22" fillId="0" borderId="30" xfId="0" applyFont="1" applyFill="1" applyBorder="1" applyAlignment="1">
      <alignment vertical="center"/>
    </xf>
    <xf numFmtId="0" fontId="22" fillId="0" borderId="21" xfId="0" applyFont="1" applyFill="1" applyBorder="1" applyAlignment="1">
      <alignment horizontal="center" vertical="center" wrapText="1"/>
    </xf>
    <xf numFmtId="0" fontId="22" fillId="0" borderId="4" xfId="0" applyNumberFormat="1" applyFont="1" applyFill="1" applyBorder="1" applyAlignment="1">
      <alignment horizontal="center" vertical="center"/>
    </xf>
    <xf numFmtId="164" fontId="22" fillId="0" borderId="21" xfId="12" applyNumberFormat="1" applyFont="1" applyFill="1" applyBorder="1" applyAlignment="1">
      <alignment horizontal="right" vertical="center"/>
    </xf>
    <xf numFmtId="0" fontId="22" fillId="0" borderId="35" xfId="0" applyNumberFormat="1" applyFont="1" applyFill="1" applyBorder="1" applyAlignment="1">
      <alignment horizontal="center" vertical="center" wrapText="1"/>
    </xf>
    <xf numFmtId="3" fontId="22" fillId="0" borderId="35" xfId="0" applyNumberFormat="1" applyFont="1" applyFill="1" applyBorder="1" applyAlignment="1">
      <alignment horizontal="right" vertical="center" wrapText="1"/>
    </xf>
    <xf numFmtId="0" fontId="22" fillId="0" borderId="35" xfId="0" applyNumberFormat="1" applyFont="1" applyFill="1" applyBorder="1" applyAlignment="1">
      <alignment horizontal="center" vertical="center"/>
    </xf>
    <xf numFmtId="164" fontId="22" fillId="0" borderId="35" xfId="0" applyNumberFormat="1" applyFont="1" applyFill="1" applyBorder="1" applyAlignment="1">
      <alignment horizontal="right" vertical="center" wrapText="1"/>
    </xf>
    <xf numFmtId="0" fontId="81" fillId="0" borderId="14" xfId="0" applyFont="1" applyFill="1" applyBorder="1" applyAlignment="1">
      <alignment vertical="center"/>
    </xf>
    <xf numFmtId="164" fontId="81" fillId="0" borderId="14" xfId="12" applyNumberFormat="1" applyFont="1" applyFill="1" applyBorder="1" applyAlignment="1">
      <alignment horizontal="right" vertical="center"/>
    </xf>
    <xf numFmtId="0" fontId="81" fillId="0" borderId="3" xfId="0" applyNumberFormat="1" applyFont="1" applyFill="1" applyBorder="1" applyAlignment="1">
      <alignment horizontal="center"/>
    </xf>
    <xf numFmtId="164" fontId="81" fillId="0" borderId="3" xfId="12" applyNumberFormat="1" applyFont="1" applyFill="1" applyBorder="1" applyAlignment="1">
      <alignment horizontal="right"/>
    </xf>
    <xf numFmtId="0" fontId="21" fillId="0" borderId="3" xfId="0" applyNumberFormat="1" applyFont="1" applyFill="1" applyBorder="1" applyAlignment="1">
      <alignment horizontal="center"/>
    </xf>
    <xf numFmtId="0" fontId="74" fillId="0" borderId="22" xfId="0" applyNumberFormat="1" applyFont="1" applyFill="1" applyBorder="1" applyAlignment="1">
      <alignment horizontal="center" vertical="center"/>
    </xf>
    <xf numFmtId="0" fontId="74" fillId="0" borderId="22" xfId="0" applyNumberFormat="1" applyFont="1" applyFill="1" applyBorder="1" applyAlignment="1">
      <alignment horizontal="center"/>
    </xf>
    <xf numFmtId="0" fontId="81" fillId="0" borderId="18" xfId="0" applyFont="1" applyFill="1" applyBorder="1" applyAlignment="1">
      <alignment vertical="center"/>
    </xf>
    <xf numFmtId="0" fontId="82" fillId="0" borderId="0" xfId="0" applyFont="1" applyFill="1" applyBorder="1" applyAlignment="1">
      <alignment horizontal="center" vertical="center"/>
    </xf>
    <xf numFmtId="0" fontId="82" fillId="0" borderId="18" xfId="16" applyNumberFormat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center" vertical="center" wrapText="1"/>
    </xf>
    <xf numFmtId="0" fontId="81" fillId="0" borderId="30" xfId="0" applyFont="1" applyFill="1" applyBorder="1" applyAlignment="1">
      <alignment vertical="center"/>
    </xf>
    <xf numFmtId="0" fontId="82" fillId="0" borderId="21" xfId="0" applyFont="1" applyFill="1" applyBorder="1" applyAlignment="1">
      <alignment horizontal="center" vertical="center" wrapText="1"/>
    </xf>
    <xf numFmtId="0" fontId="82" fillId="0" borderId="30" xfId="16" applyNumberFormat="1" applyFont="1" applyFill="1" applyBorder="1" applyAlignment="1">
      <alignment horizontal="center" vertical="center"/>
    </xf>
    <xf numFmtId="164" fontId="81" fillId="0" borderId="4" xfId="12" applyNumberFormat="1" applyFont="1" applyFill="1" applyBorder="1" applyAlignment="1">
      <alignment horizontal="right" vertical="center"/>
    </xf>
    <xf numFmtId="164" fontId="74" fillId="0" borderId="21" xfId="12" applyNumberFormat="1" applyFont="1" applyFill="1" applyBorder="1" applyAlignment="1">
      <alignment horizontal="right" vertical="center"/>
    </xf>
    <xf numFmtId="0" fontId="21" fillId="0" borderId="0" xfId="0" applyFont="1" applyFill="1" applyAlignment="1">
      <alignment vertical="center"/>
    </xf>
    <xf numFmtId="0" fontId="22" fillId="0" borderId="3" xfId="0" applyNumberFormat="1" applyFont="1" applyFill="1" applyBorder="1"/>
    <xf numFmtId="164" fontId="22" fillId="0" borderId="14" xfId="12" applyNumberFormat="1" applyFont="1" applyFill="1" applyBorder="1"/>
    <xf numFmtId="0" fontId="22" fillId="0" borderId="14" xfId="0" applyFont="1" applyFill="1" applyBorder="1" applyAlignment="1">
      <alignment horizontal="center"/>
    </xf>
    <xf numFmtId="164" fontId="22" fillId="0" borderId="3" xfId="12" applyNumberFormat="1" applyFont="1" applyFill="1" applyBorder="1" applyAlignment="1">
      <alignment horizontal="center"/>
    </xf>
    <xf numFmtId="164" fontId="22" fillId="0" borderId="3" xfId="12" applyNumberFormat="1" applyFont="1" applyFill="1" applyBorder="1"/>
    <xf numFmtId="0" fontId="22" fillId="0" borderId="3" xfId="0" applyFont="1" applyFill="1" applyBorder="1" applyAlignment="1">
      <alignment horizontal="center"/>
    </xf>
    <xf numFmtId="0" fontId="22" fillId="0" borderId="7" xfId="0" applyNumberFormat="1" applyFont="1" applyFill="1" applyBorder="1"/>
    <xf numFmtId="164" fontId="74" fillId="0" borderId="7" xfId="12" applyNumberFormat="1" applyFont="1" applyFill="1" applyBorder="1"/>
    <xf numFmtId="164" fontId="74" fillId="0" borderId="7" xfId="12" applyNumberFormat="1" applyFont="1" applyFill="1" applyBorder="1" applyAlignment="1">
      <alignment horizontal="center"/>
    </xf>
    <xf numFmtId="164" fontId="22" fillId="0" borderId="4" xfId="12" applyNumberFormat="1" applyFont="1" applyFill="1" applyBorder="1" applyAlignment="1">
      <alignment horizontal="center"/>
    </xf>
    <xf numFmtId="164" fontId="22" fillId="0" borderId="14" xfId="12" applyNumberFormat="1" applyFont="1" applyFill="1" applyBorder="1" applyAlignment="1">
      <alignment horizontal="center"/>
    </xf>
    <xf numFmtId="0" fontId="22" fillId="0" borderId="14" xfId="0" applyNumberFormat="1" applyFont="1" applyFill="1" applyBorder="1"/>
    <xf numFmtId="164" fontId="74" fillId="0" borderId="4" xfId="12" applyNumberFormat="1" applyFont="1" applyFill="1" applyBorder="1"/>
    <xf numFmtId="0" fontId="74" fillId="0" borderId="4" xfId="0" applyFont="1" applyFill="1" applyBorder="1" applyAlignment="1">
      <alignment horizontal="center"/>
    </xf>
    <xf numFmtId="164" fontId="74" fillId="0" borderId="4" xfId="12" applyNumberFormat="1" applyFont="1" applyFill="1" applyBorder="1" applyAlignment="1">
      <alignment horizontal="center"/>
    </xf>
    <xf numFmtId="0" fontId="74" fillId="0" borderId="7" xfId="0" applyNumberFormat="1" applyFont="1" applyFill="1" applyBorder="1"/>
    <xf numFmtId="0" fontId="74" fillId="0" borderId="7" xfId="0" applyFont="1" applyFill="1" applyBorder="1" applyAlignment="1">
      <alignment horizontal="center"/>
    </xf>
    <xf numFmtId="0" fontId="74" fillId="0" borderId="11" xfId="0" applyFont="1" applyFill="1" applyBorder="1" applyAlignment="1">
      <alignment horizontal="center"/>
    </xf>
    <xf numFmtId="0" fontId="22" fillId="0" borderId="4" xfId="0" applyNumberFormat="1" applyFont="1" applyFill="1" applyBorder="1"/>
    <xf numFmtId="3" fontId="22" fillId="0" borderId="14" xfId="0" applyNumberFormat="1" applyFont="1" applyFill="1" applyBorder="1" applyAlignment="1">
      <alignment wrapText="1"/>
    </xf>
    <xf numFmtId="0" fontId="22" fillId="0" borderId="3" xfId="0" applyNumberFormat="1" applyFont="1" applyFill="1" applyBorder="1" applyAlignment="1">
      <alignment horizontal="right"/>
    </xf>
    <xf numFmtId="0" fontId="22" fillId="0" borderId="3" xfId="0" applyFont="1" applyFill="1" applyBorder="1" applyAlignment="1">
      <alignment horizontal="right" wrapText="1"/>
    </xf>
    <xf numFmtId="3" fontId="22" fillId="0" borderId="3" xfId="0" applyNumberFormat="1" applyFont="1" applyFill="1" applyBorder="1" applyAlignment="1">
      <alignment wrapText="1"/>
    </xf>
    <xf numFmtId="0" fontId="74" fillId="0" borderId="7" xfId="12" applyNumberFormat="1" applyFont="1" applyFill="1" applyBorder="1"/>
    <xf numFmtId="0" fontId="74" fillId="0" borderId="4" xfId="0" applyNumberFormat="1" applyFont="1" applyFill="1" applyBorder="1"/>
    <xf numFmtId="164" fontId="74" fillId="0" borderId="4" xfId="0" applyNumberFormat="1" applyFont="1" applyFill="1" applyBorder="1"/>
    <xf numFmtId="0" fontId="74" fillId="0" borderId="7" xfId="12" applyNumberFormat="1" applyFont="1" applyFill="1" applyBorder="1" applyAlignment="1">
      <alignment horizontal="right"/>
    </xf>
    <xf numFmtId="0" fontId="22" fillId="0" borderId="0" xfId="0" applyNumberFormat="1" applyFont="1" applyFill="1"/>
    <xf numFmtId="0" fontId="22" fillId="0" borderId="14" xfId="0" applyNumberFormat="1" applyFont="1" applyFill="1" applyBorder="1" applyAlignment="1">
      <alignment horizontal="center" wrapText="1"/>
    </xf>
    <xf numFmtId="0" fontId="22" fillId="0" borderId="3" xfId="0" applyNumberFormat="1" applyFont="1" applyFill="1" applyBorder="1" applyAlignment="1">
      <alignment horizontal="center" wrapText="1"/>
    </xf>
    <xf numFmtId="3" fontId="22" fillId="0" borderId="3" xfId="0" applyNumberFormat="1" applyFont="1" applyFill="1" applyBorder="1"/>
    <xf numFmtId="0" fontId="74" fillId="0" borderId="11" xfId="0" applyFont="1" applyFill="1" applyBorder="1" applyAlignment="1">
      <alignment horizontal="left"/>
    </xf>
    <xf numFmtId="0" fontId="74" fillId="0" borderId="0" xfId="0" applyFont="1" applyFill="1" applyAlignment="1">
      <alignment vertical="center"/>
    </xf>
    <xf numFmtId="0" fontId="22" fillId="0" borderId="3" xfId="12" applyNumberFormat="1" applyFont="1" applyFill="1" applyBorder="1" applyAlignment="1">
      <alignment horizontal="center"/>
    </xf>
    <xf numFmtId="0" fontId="74" fillId="0" borderId="4" xfId="12" applyNumberFormat="1" applyFont="1" applyFill="1" applyBorder="1" applyAlignment="1">
      <alignment horizontal="center"/>
    </xf>
    <xf numFmtId="3" fontId="74" fillId="0" borderId="7" xfId="0" applyNumberFormat="1" applyFont="1" applyFill="1" applyBorder="1" applyAlignment="1">
      <alignment horizontal="center"/>
    </xf>
    <xf numFmtId="164" fontId="74" fillId="0" borderId="7" xfId="0" applyNumberFormat="1" applyFont="1" applyFill="1" applyBorder="1" applyAlignment="1">
      <alignment horizontal="right"/>
    </xf>
    <xf numFmtId="0" fontId="22" fillId="0" borderId="16" xfId="0" applyNumberFormat="1" applyFont="1" applyFill="1" applyBorder="1" applyAlignment="1">
      <alignment horizontal="center" vertical="center"/>
    </xf>
    <xf numFmtId="0" fontId="74" fillId="0" borderId="30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 wrapText="1"/>
    </xf>
    <xf numFmtId="164" fontId="22" fillId="0" borderId="3" xfId="0" applyNumberFormat="1" applyFont="1" applyFill="1" applyBorder="1" applyAlignment="1">
      <alignment horizontal="right" vertical="center" wrapText="1"/>
    </xf>
    <xf numFmtId="0" fontId="21" fillId="0" borderId="0" xfId="0" applyFont="1" applyFill="1"/>
    <xf numFmtId="0" fontId="23" fillId="0" borderId="8" xfId="0" applyFont="1" applyFill="1" applyBorder="1" applyAlignment="1">
      <alignment horizontal="center" wrapText="1"/>
    </xf>
    <xf numFmtId="0" fontId="22" fillId="0" borderId="16" xfId="0" applyFont="1" applyFill="1" applyBorder="1"/>
    <xf numFmtId="0" fontId="22" fillId="0" borderId="13" xfId="0" applyFont="1" applyFill="1" applyBorder="1" applyAlignment="1">
      <alignment horizontal="center" wrapText="1"/>
    </xf>
    <xf numFmtId="0" fontId="22" fillId="0" borderId="18" xfId="0" applyFont="1" applyFill="1" applyBorder="1"/>
    <xf numFmtId="0" fontId="22" fillId="0" borderId="0" xfId="0" applyFont="1" applyFill="1" applyBorder="1" applyAlignment="1">
      <alignment horizontal="center" wrapText="1"/>
    </xf>
    <xf numFmtId="164" fontId="22" fillId="0" borderId="0" xfId="12" applyNumberFormat="1" applyFont="1" applyFill="1" applyBorder="1" applyAlignment="1">
      <alignment horizontal="right"/>
    </xf>
    <xf numFmtId="0" fontId="74" fillId="0" borderId="16" xfId="0" applyFont="1" applyFill="1" applyBorder="1"/>
    <xf numFmtId="164" fontId="74" fillId="0" borderId="14" xfId="12" applyNumberFormat="1" applyFont="1" applyFill="1" applyBorder="1" applyAlignment="1">
      <alignment horizontal="right"/>
    </xf>
    <xf numFmtId="0" fontId="74" fillId="0" borderId="11" xfId="19" applyNumberFormat="1" applyFont="1" applyFill="1" applyBorder="1" applyAlignment="1">
      <alignment horizontal="center" vertical="center" wrapText="1"/>
    </xf>
    <xf numFmtId="164" fontId="22" fillId="0" borderId="3" xfId="33" applyNumberFormat="1" applyFont="1" applyFill="1" applyBorder="1" applyAlignment="1">
      <alignment horizontal="right"/>
    </xf>
    <xf numFmtId="0" fontId="74" fillId="0" borderId="7" xfId="33" applyNumberFormat="1" applyFont="1" applyFill="1" applyBorder="1" applyAlignment="1">
      <alignment horizontal="center"/>
    </xf>
    <xf numFmtId="164" fontId="74" fillId="0" borderId="7" xfId="33" applyNumberFormat="1" applyFont="1" applyFill="1" applyBorder="1" applyAlignment="1">
      <alignment horizontal="right"/>
    </xf>
    <xf numFmtId="164" fontId="22" fillId="0" borderId="6" xfId="33" applyNumberFormat="1" applyFont="1" applyFill="1" applyBorder="1" applyAlignment="1">
      <alignment horizontal="right"/>
    </xf>
    <xf numFmtId="0" fontId="74" fillId="0" borderId="14" xfId="0" applyNumberFormat="1" applyFont="1" applyFill="1" applyBorder="1" applyAlignment="1">
      <alignment horizontal="center"/>
    </xf>
    <xf numFmtId="164" fontId="74" fillId="0" borderId="14" xfId="33" applyNumberFormat="1" applyFont="1" applyFill="1" applyBorder="1" applyAlignment="1">
      <alignment horizontal="right"/>
    </xf>
    <xf numFmtId="0" fontId="74" fillId="0" borderId="8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vertical="center"/>
    </xf>
    <xf numFmtId="0" fontId="23" fillId="0" borderId="11" xfId="0" applyFont="1" applyFill="1" applyBorder="1" applyAlignment="1">
      <alignment vertical="center"/>
    </xf>
    <xf numFmtId="0" fontId="74" fillId="0" borderId="7" xfId="33" applyNumberFormat="1" applyFont="1" applyFill="1" applyBorder="1" applyAlignment="1">
      <alignment horizontal="center" vertical="center"/>
    </xf>
    <xf numFmtId="164" fontId="74" fillId="0" borderId="7" xfId="33" applyNumberFormat="1" applyFont="1" applyFill="1" applyBorder="1"/>
    <xf numFmtId="0" fontId="74" fillId="0" borderId="14" xfId="0" applyFont="1" applyFill="1" applyBorder="1" applyAlignment="1">
      <alignment horizontal="center"/>
    </xf>
    <xf numFmtId="164" fontId="22" fillId="0" borderId="16" xfId="12" applyNumberFormat="1" applyFont="1" applyFill="1" applyBorder="1" applyAlignment="1">
      <alignment horizontal="right" vertical="center"/>
    </xf>
    <xf numFmtId="164" fontId="22" fillId="0" borderId="18" xfId="12" applyNumberFormat="1" applyFont="1" applyFill="1" applyBorder="1" applyAlignment="1">
      <alignment horizontal="right" vertical="center"/>
    </xf>
    <xf numFmtId="0" fontId="22" fillId="0" borderId="4" xfId="0" applyFont="1" applyFill="1" applyBorder="1" applyAlignment="1">
      <alignment horizontal="center"/>
    </xf>
    <xf numFmtId="0" fontId="74" fillId="0" borderId="16" xfId="0" applyFont="1" applyFill="1" applyBorder="1" applyAlignment="1">
      <alignment vertical="center"/>
    </xf>
    <xf numFmtId="164" fontId="22" fillId="0" borderId="14" xfId="12" applyNumberFormat="1" applyFont="1" applyFill="1" applyBorder="1" applyAlignment="1">
      <alignment horizontal="right" vertical="center" wrapText="1"/>
    </xf>
    <xf numFmtId="0" fontId="22" fillId="0" borderId="14" xfId="12" applyNumberFormat="1" applyFont="1" applyFill="1" applyBorder="1" applyAlignment="1">
      <alignment horizontal="center" vertical="center"/>
    </xf>
    <xf numFmtId="164" fontId="22" fillId="0" borderId="3" xfId="12" applyNumberFormat="1" applyFont="1" applyFill="1" applyBorder="1" applyAlignment="1">
      <alignment horizontal="right" vertical="center" wrapText="1"/>
    </xf>
    <xf numFmtId="0" fontId="22" fillId="0" borderId="3" xfId="12" applyNumberFormat="1" applyFont="1" applyFill="1" applyBorder="1" applyAlignment="1">
      <alignment horizontal="center" vertical="center"/>
    </xf>
    <xf numFmtId="164" fontId="22" fillId="0" borderId="4" xfId="12" applyNumberFormat="1" applyFont="1" applyFill="1" applyBorder="1" applyAlignment="1">
      <alignment horizontal="right" vertical="center" wrapText="1"/>
    </xf>
    <xf numFmtId="164" fontId="74" fillId="0" borderId="7" xfId="12" applyNumberFormat="1" applyFont="1" applyFill="1" applyBorder="1" applyAlignment="1">
      <alignment vertical="center"/>
    </xf>
    <xf numFmtId="164" fontId="22" fillId="0" borderId="34" xfId="12" applyNumberFormat="1" applyFont="1" applyFill="1" applyBorder="1" applyAlignment="1">
      <alignment horizontal="right" vertical="center" wrapText="1"/>
    </xf>
    <xf numFmtId="164" fontId="74" fillId="0" borderId="13" xfId="12" applyNumberFormat="1" applyFont="1" applyFill="1" applyBorder="1" applyAlignment="1">
      <alignment vertical="center"/>
    </xf>
    <xf numFmtId="0" fontId="74" fillId="0" borderId="14" xfId="0" applyNumberFormat="1" applyFont="1" applyFill="1" applyBorder="1" applyAlignment="1">
      <alignment horizontal="center" vertical="center"/>
    </xf>
    <xf numFmtId="164" fontId="22" fillId="0" borderId="16" xfId="12" applyNumberFormat="1" applyFont="1" applyFill="1" applyBorder="1" applyAlignment="1">
      <alignment horizontal="right" vertical="center" wrapText="1"/>
    </xf>
    <xf numFmtId="164" fontId="22" fillId="0" borderId="15" xfId="12" applyNumberFormat="1" applyFont="1" applyFill="1" applyBorder="1" applyAlignment="1">
      <alignment horizontal="right" vertical="center" wrapText="1"/>
    </xf>
    <xf numFmtId="164" fontId="22" fillId="0" borderId="6" xfId="12" applyNumberFormat="1" applyFont="1" applyFill="1" applyBorder="1" applyAlignment="1">
      <alignment horizontal="right" vertical="center"/>
    </xf>
    <xf numFmtId="164" fontId="22" fillId="0" borderId="30" xfId="12" applyNumberFormat="1" applyFont="1" applyFill="1" applyBorder="1" applyAlignment="1">
      <alignment horizontal="right" vertical="center"/>
    </xf>
    <xf numFmtId="164" fontId="22" fillId="0" borderId="26" xfId="12" applyNumberFormat="1" applyFont="1" applyFill="1" applyBorder="1" applyAlignment="1">
      <alignment horizontal="right" vertical="center"/>
    </xf>
    <xf numFmtId="164" fontId="74" fillId="0" borderId="30" xfId="12" applyNumberFormat="1" applyFont="1" applyFill="1" applyBorder="1" applyAlignment="1">
      <alignment horizontal="right" vertical="center"/>
    </xf>
    <xf numFmtId="164" fontId="74" fillId="0" borderId="26" xfId="12" applyNumberFormat="1" applyFont="1" applyFill="1" applyBorder="1" applyAlignment="1">
      <alignment horizontal="right" vertical="center"/>
    </xf>
    <xf numFmtId="164" fontId="22" fillId="0" borderId="3" xfId="25" applyNumberFormat="1" applyFont="1" applyFill="1" applyBorder="1" applyAlignment="1">
      <alignment horizontal="right"/>
    </xf>
    <xf numFmtId="0" fontId="74" fillId="0" borderId="7" xfId="25" applyNumberFormat="1" applyFont="1" applyFill="1" applyBorder="1" applyAlignment="1">
      <alignment horizontal="center"/>
    </xf>
    <xf numFmtId="164" fontId="74" fillId="0" borderId="7" xfId="25" applyNumberFormat="1" applyFont="1" applyFill="1" applyBorder="1" applyAlignment="1">
      <alignment horizontal="center"/>
    </xf>
    <xf numFmtId="164" fontId="22" fillId="0" borderId="4" xfId="25" applyNumberFormat="1" applyFont="1" applyFill="1" applyBorder="1" applyAlignment="1">
      <alignment horizontal="right"/>
    </xf>
    <xf numFmtId="164" fontId="74" fillId="0" borderId="13" xfId="12" applyNumberFormat="1" applyFont="1" applyFill="1" applyBorder="1" applyAlignment="1">
      <alignment horizontal="right" vertical="center"/>
    </xf>
    <xf numFmtId="0" fontId="74" fillId="0" borderId="14" xfId="25" applyNumberFormat="1" applyFont="1" applyFill="1" applyBorder="1" applyAlignment="1">
      <alignment horizontal="center"/>
    </xf>
    <xf numFmtId="164" fontId="74" fillId="0" borderId="14" xfId="25" applyNumberFormat="1" applyFont="1" applyFill="1" applyBorder="1" applyAlignment="1">
      <alignment horizontal="right"/>
    </xf>
    <xf numFmtId="0" fontId="74" fillId="0" borderId="43" xfId="25" applyNumberFormat="1" applyFont="1" applyFill="1" applyBorder="1" applyAlignment="1">
      <alignment horizontal="center"/>
    </xf>
    <xf numFmtId="164" fontId="74" fillId="0" borderId="43" xfId="25" applyNumberFormat="1" applyFont="1" applyFill="1" applyBorder="1" applyAlignment="1">
      <alignment horizontal="center"/>
    </xf>
    <xf numFmtId="0" fontId="74" fillId="0" borderId="0" xfId="0" applyNumberFormat="1" applyFont="1" applyFill="1" applyBorder="1"/>
    <xf numFmtId="0" fontId="74" fillId="0" borderId="0" xfId="0" applyFont="1" applyFill="1" applyBorder="1" applyAlignment="1">
      <alignment horizontal="center"/>
    </xf>
    <xf numFmtId="0" fontId="74" fillId="0" borderId="0" xfId="12" applyNumberFormat="1" applyFont="1" applyFill="1" applyBorder="1" applyAlignment="1">
      <alignment horizontal="center"/>
    </xf>
    <xf numFmtId="164" fontId="74" fillId="0" borderId="0" xfId="0" applyNumberFormat="1" applyFont="1" applyFill="1"/>
    <xf numFmtId="0" fontId="83" fillId="0" borderId="7" xfId="19" applyFont="1" applyFill="1" applyBorder="1" applyAlignment="1">
      <alignment horizontal="center" vertical="center" wrapText="1"/>
    </xf>
    <xf numFmtId="0" fontId="83" fillId="0" borderId="8" xfId="19" applyFont="1" applyFill="1" applyBorder="1" applyAlignment="1">
      <alignment horizontal="center" vertical="center" wrapText="1"/>
    </xf>
    <xf numFmtId="0" fontId="83" fillId="0" borderId="7" xfId="19" applyNumberFormat="1" applyFont="1" applyFill="1" applyBorder="1" applyAlignment="1">
      <alignment horizontal="center" vertical="center" wrapText="1"/>
    </xf>
    <xf numFmtId="164" fontId="83" fillId="0" borderId="7" xfId="12" applyNumberFormat="1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/>
    </xf>
    <xf numFmtId="0" fontId="84" fillId="0" borderId="14" xfId="0" applyFont="1" applyFill="1" applyBorder="1" applyAlignment="1">
      <alignment vertical="center"/>
    </xf>
    <xf numFmtId="0" fontId="84" fillId="0" borderId="0" xfId="0" applyFont="1" applyFill="1" applyAlignment="1">
      <alignment horizontal="center" vertical="center" wrapText="1"/>
    </xf>
    <xf numFmtId="0" fontId="84" fillId="0" borderId="14" xfId="0" applyNumberFormat="1" applyFont="1" applyFill="1" applyBorder="1" applyAlignment="1">
      <alignment horizontal="center" vertical="center"/>
    </xf>
    <xf numFmtId="164" fontId="84" fillId="0" borderId="0" xfId="12" applyNumberFormat="1" applyFont="1" applyFill="1" applyAlignment="1">
      <alignment horizontal="right" vertical="center"/>
    </xf>
    <xf numFmtId="164" fontId="84" fillId="0" borderId="3" xfId="12" applyNumberFormat="1" applyFont="1" applyFill="1" applyBorder="1" applyAlignment="1">
      <alignment horizontal="right" vertical="center"/>
    </xf>
    <xf numFmtId="0" fontId="84" fillId="0" borderId="0" xfId="0" applyFont="1" applyFill="1" applyBorder="1" applyAlignment="1">
      <alignment vertical="center"/>
    </xf>
    <xf numFmtId="0" fontId="84" fillId="0" borderId="3" xfId="0" applyFont="1" applyFill="1" applyBorder="1" applyAlignment="1">
      <alignment vertical="center"/>
    </xf>
    <xf numFmtId="0" fontId="84" fillId="0" borderId="3" xfId="0" applyNumberFormat="1" applyFont="1" applyFill="1" applyBorder="1" applyAlignment="1">
      <alignment horizontal="center" vertical="center"/>
    </xf>
    <xf numFmtId="164" fontId="84" fillId="0" borderId="3" xfId="12" applyNumberFormat="1" applyFont="1" applyFill="1" applyBorder="1" applyAlignment="1">
      <alignment horizontal="right"/>
    </xf>
    <xf numFmtId="0" fontId="85" fillId="0" borderId="7" xfId="0" applyFont="1" applyFill="1" applyBorder="1" applyAlignment="1">
      <alignment vertical="center"/>
    </xf>
    <xf numFmtId="0" fontId="85" fillId="0" borderId="8" xfId="0" applyFont="1" applyFill="1" applyBorder="1" applyAlignment="1">
      <alignment horizontal="center" vertical="center" wrapText="1"/>
    </xf>
    <xf numFmtId="0" fontId="85" fillId="0" borderId="7" xfId="12" applyNumberFormat="1" applyFont="1" applyFill="1" applyBorder="1" applyAlignment="1">
      <alignment horizontal="center" vertical="center"/>
    </xf>
    <xf numFmtId="164" fontId="85" fillId="0" borderId="7" xfId="12" applyNumberFormat="1" applyFont="1" applyFill="1" applyBorder="1" applyAlignment="1">
      <alignment horizontal="right" vertical="center"/>
    </xf>
    <xf numFmtId="0" fontId="85" fillId="0" borderId="14" xfId="0" applyFont="1" applyFill="1" applyBorder="1" applyAlignment="1">
      <alignment vertical="center"/>
    </xf>
    <xf numFmtId="0" fontId="85" fillId="0" borderId="13" xfId="0" applyFont="1" applyFill="1" applyBorder="1" applyAlignment="1">
      <alignment horizontal="center" vertical="center" wrapText="1"/>
    </xf>
    <xf numFmtId="0" fontId="85" fillId="0" borderId="7" xfId="0" applyNumberFormat="1" applyFont="1" applyFill="1" applyBorder="1" applyAlignment="1">
      <alignment horizontal="center" vertical="center"/>
    </xf>
    <xf numFmtId="164" fontId="85" fillId="0" borderId="8" xfId="12" applyNumberFormat="1" applyFont="1" applyFill="1" applyBorder="1" applyAlignment="1">
      <alignment horizontal="right" vertical="center"/>
    </xf>
    <xf numFmtId="0" fontId="85" fillId="0" borderId="14" xfId="0" applyNumberFormat="1" applyFont="1" applyFill="1" applyBorder="1" applyAlignment="1">
      <alignment horizontal="center" vertical="center"/>
    </xf>
    <xf numFmtId="0" fontId="84" fillId="0" borderId="0" xfId="0" applyFont="1" applyFill="1" applyAlignment="1">
      <alignment vertical="center"/>
    </xf>
    <xf numFmtId="0" fontId="85" fillId="0" borderId="16" xfId="0" applyFont="1" applyFill="1" applyBorder="1" applyAlignment="1">
      <alignment horizontal="center" vertical="center" wrapText="1"/>
    </xf>
    <xf numFmtId="164" fontId="85" fillId="0" borderId="16" xfId="12" applyNumberFormat="1" applyFont="1" applyFill="1" applyBorder="1" applyAlignment="1">
      <alignment horizontal="right" vertical="center"/>
    </xf>
    <xf numFmtId="164" fontId="85" fillId="0" borderId="14" xfId="12" applyNumberFormat="1" applyFont="1" applyFill="1" applyBorder="1" applyAlignment="1">
      <alignment horizontal="right" vertical="center"/>
    </xf>
    <xf numFmtId="0" fontId="84" fillId="0" borderId="18" xfId="0" applyFont="1" applyFill="1" applyBorder="1" applyAlignment="1">
      <alignment horizontal="center" vertical="center" wrapText="1"/>
    </xf>
    <xf numFmtId="0" fontId="84" fillId="0" borderId="3" xfId="0" applyNumberFormat="1" applyFont="1" applyFill="1" applyBorder="1" applyAlignment="1">
      <alignment vertical="center"/>
    </xf>
    <xf numFmtId="164" fontId="84" fillId="0" borderId="18" xfId="12" applyNumberFormat="1" applyFont="1" applyFill="1" applyBorder="1" applyAlignment="1">
      <alignment horizontal="right" vertical="center"/>
    </xf>
    <xf numFmtId="4" fontId="85" fillId="0" borderId="3" xfId="0" applyNumberFormat="1" applyFont="1" applyFill="1" applyBorder="1"/>
    <xf numFmtId="0" fontId="85" fillId="0" borderId="11" xfId="0" applyFont="1" applyFill="1" applyBorder="1" applyAlignment="1">
      <alignment vertical="center"/>
    </xf>
    <xf numFmtId="0" fontId="85" fillId="0" borderId="8" xfId="0" applyNumberFormat="1" applyFont="1" applyFill="1" applyBorder="1" applyAlignment="1">
      <alignment horizontal="center" vertical="center"/>
    </xf>
    <xf numFmtId="0" fontId="84" fillId="0" borderId="18" xfId="0" applyNumberFormat="1" applyFont="1" applyFill="1" applyBorder="1" applyAlignment="1">
      <alignment horizontal="center" vertical="center"/>
    </xf>
    <xf numFmtId="164" fontId="84" fillId="0" borderId="4" xfId="12" applyNumberFormat="1" applyFont="1" applyFill="1" applyBorder="1" applyAlignment="1">
      <alignment horizontal="right" vertical="center"/>
    </xf>
    <xf numFmtId="0" fontId="83" fillId="0" borderId="11" xfId="0" applyFont="1" applyFill="1" applyBorder="1" applyAlignment="1">
      <alignment vertical="center"/>
    </xf>
    <xf numFmtId="0" fontId="80" fillId="0" borderId="8" xfId="0" applyFont="1" applyFill="1" applyBorder="1" applyAlignment="1">
      <alignment horizontal="center" vertical="center" wrapText="1"/>
    </xf>
    <xf numFmtId="0" fontId="80" fillId="0" borderId="7" xfId="12" applyNumberFormat="1" applyFont="1" applyFill="1" applyBorder="1" applyAlignment="1">
      <alignment horizontal="center" vertical="center"/>
    </xf>
    <xf numFmtId="164" fontId="83" fillId="0" borderId="7" xfId="12" applyNumberFormat="1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center" vertical="center"/>
    </xf>
    <xf numFmtId="164" fontId="74" fillId="0" borderId="0" xfId="12" applyNumberFormat="1" applyFont="1" applyFill="1" applyAlignment="1">
      <alignment horizontal="right" vertical="center"/>
    </xf>
    <xf numFmtId="0" fontId="23" fillId="0" borderId="16" xfId="36" applyFont="1" applyFill="1" applyBorder="1" applyAlignment="1">
      <alignment horizontal="center" vertical="center" wrapText="1"/>
    </xf>
    <xf numFmtId="0" fontId="23" fillId="0" borderId="14" xfId="36" applyFont="1" applyFill="1" applyBorder="1" applyAlignment="1">
      <alignment horizontal="center" vertical="center" wrapText="1"/>
    </xf>
    <xf numFmtId="0" fontId="23" fillId="0" borderId="13" xfId="36" applyFont="1" applyFill="1" applyBorder="1" applyAlignment="1">
      <alignment horizontal="center" vertical="center" wrapText="1"/>
    </xf>
    <xf numFmtId="0" fontId="23" fillId="0" borderId="14" xfId="36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wrapText="1"/>
    </xf>
    <xf numFmtId="0" fontId="21" fillId="0" borderId="14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164" fontId="21" fillId="0" borderId="14" xfId="12" applyNumberFormat="1" applyFont="1" applyFill="1" applyBorder="1" applyAlignment="1">
      <alignment horizontal="right" wrapText="1"/>
    </xf>
    <xf numFmtId="164" fontId="21" fillId="0" borderId="15" xfId="38" applyNumberFormat="1" applyFont="1" applyFill="1" applyBorder="1" applyAlignment="1">
      <alignment horizontal="right" wrapText="1"/>
    </xf>
    <xf numFmtId="0" fontId="21" fillId="0" borderId="18" xfId="0" applyFont="1" applyFill="1" applyBorder="1" applyAlignment="1">
      <alignment horizontal="center" wrapText="1"/>
    </xf>
    <xf numFmtId="0" fontId="21" fillId="0" borderId="3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164" fontId="21" fillId="0" borderId="3" xfId="38" applyNumberFormat="1" applyFont="1" applyFill="1" applyBorder="1" applyAlignment="1">
      <alignment horizontal="right" wrapText="1"/>
    </xf>
    <xf numFmtId="164" fontId="21" fillId="0" borderId="6" xfId="38" applyNumberFormat="1" applyFont="1" applyFill="1" applyBorder="1" applyAlignment="1">
      <alignment horizontal="right" wrapText="1"/>
    </xf>
    <xf numFmtId="0" fontId="23" fillId="0" borderId="11" xfId="0" applyFont="1" applyFill="1" applyBorder="1" applyAlignment="1">
      <alignment wrapText="1"/>
    </xf>
    <xf numFmtId="0" fontId="23" fillId="0" borderId="7" xfId="0" applyFont="1" applyFill="1" applyBorder="1" applyAlignment="1">
      <alignment horizontal="center" wrapText="1"/>
    </xf>
    <xf numFmtId="0" fontId="23" fillId="0" borderId="11" xfId="38" applyNumberFormat="1" applyFont="1" applyFill="1" applyBorder="1" applyAlignment="1">
      <alignment horizontal="center" wrapText="1"/>
    </xf>
    <xf numFmtId="164" fontId="23" fillId="0" borderId="7" xfId="38" applyNumberFormat="1" applyFont="1" applyFill="1" applyBorder="1" applyAlignment="1">
      <alignment horizontal="right" wrapText="1"/>
    </xf>
    <xf numFmtId="0" fontId="23" fillId="0" borderId="7" xfId="38" applyNumberFormat="1" applyFont="1" applyFill="1" applyBorder="1" applyAlignment="1">
      <alignment horizontal="center" wrapText="1"/>
    </xf>
    <xf numFmtId="164" fontId="23" fillId="0" borderId="22" xfId="38" applyNumberFormat="1" applyFont="1" applyFill="1" applyBorder="1" applyAlignment="1">
      <alignment horizontal="right" wrapText="1"/>
    </xf>
    <xf numFmtId="164" fontId="23" fillId="0" borderId="7" xfId="38" applyNumberFormat="1" applyFont="1" applyFill="1" applyBorder="1" applyAlignment="1">
      <alignment horizontal="center" wrapText="1"/>
    </xf>
    <xf numFmtId="0" fontId="23" fillId="0" borderId="30" xfId="0" applyFont="1" applyFill="1" applyBorder="1" applyAlignment="1">
      <alignment wrapText="1"/>
    </xf>
    <xf numFmtId="0" fontId="23" fillId="0" borderId="4" xfId="0" applyFont="1" applyFill="1" applyBorder="1" applyAlignment="1">
      <alignment horizontal="center" wrapText="1"/>
    </xf>
    <xf numFmtId="0" fontId="23" fillId="0" borderId="21" xfId="0" applyFont="1" applyFill="1" applyBorder="1" applyAlignment="1">
      <alignment horizontal="center" wrapText="1"/>
    </xf>
    <xf numFmtId="164" fontId="23" fillId="0" borderId="4" xfId="38" applyNumberFormat="1" applyFont="1" applyFill="1" applyBorder="1" applyAlignment="1">
      <alignment horizontal="center" wrapText="1"/>
    </xf>
    <xf numFmtId="0" fontId="21" fillId="0" borderId="18" xfId="0" applyFont="1" applyFill="1" applyBorder="1" applyAlignment="1">
      <alignment wrapText="1"/>
    </xf>
    <xf numFmtId="0" fontId="21" fillId="0" borderId="18" xfId="0" applyFont="1" applyFill="1" applyBorder="1" applyAlignment="1"/>
    <xf numFmtId="0" fontId="23" fillId="0" borderId="8" xfId="38" applyNumberFormat="1" applyFont="1" applyFill="1" applyBorder="1" applyAlignment="1">
      <alignment horizontal="center" wrapText="1"/>
    </xf>
    <xf numFmtId="0" fontId="21" fillId="0" borderId="15" xfId="0" applyFont="1" applyFill="1" applyBorder="1" applyAlignment="1">
      <alignment horizontal="center" wrapText="1"/>
    </xf>
    <xf numFmtId="0" fontId="21" fillId="0" borderId="6" xfId="0" applyFont="1" applyFill="1" applyBorder="1" applyAlignment="1">
      <alignment horizontal="center" wrapText="1"/>
    </xf>
    <xf numFmtId="164" fontId="23" fillId="0" borderId="4" xfId="38" applyNumberFormat="1" applyFont="1" applyFill="1" applyBorder="1" applyAlignment="1">
      <alignment horizontal="right" wrapText="1"/>
    </xf>
    <xf numFmtId="0" fontId="23" fillId="0" borderId="11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164" fontId="23" fillId="0" borderId="0" xfId="38" applyNumberFormat="1" applyFont="1" applyFill="1" applyBorder="1" applyAlignment="1">
      <alignment horizontal="center" wrapText="1"/>
    </xf>
    <xf numFmtId="4" fontId="22" fillId="0" borderId="3" xfId="0" applyNumberFormat="1" applyFont="1" applyFill="1" applyBorder="1" applyAlignment="1">
      <alignment vertical="center"/>
    </xf>
    <xf numFmtId="164" fontId="74" fillId="0" borderId="4" xfId="12" applyNumberFormat="1" applyFont="1" applyFill="1" applyBorder="1" applyAlignment="1">
      <alignment horizontal="center" vertical="center"/>
    </xf>
    <xf numFmtId="0" fontId="22" fillId="0" borderId="14" xfId="19" applyNumberFormat="1" applyFont="1" applyFill="1" applyBorder="1" applyAlignment="1">
      <alignment horizontal="center" vertical="center" wrapText="1"/>
    </xf>
    <xf numFmtId="0" fontId="74" fillId="0" borderId="4" xfId="12" applyNumberFormat="1" applyFont="1" applyFill="1" applyBorder="1" applyAlignment="1">
      <alignment horizontal="center" vertical="center"/>
    </xf>
    <xf numFmtId="0" fontId="22" fillId="0" borderId="6" xfId="0" applyNumberFormat="1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left" vertical="center"/>
    </xf>
    <xf numFmtId="0" fontId="22" fillId="0" borderId="11" xfId="0" applyNumberFormat="1" applyFont="1" applyFill="1" applyBorder="1" applyAlignment="1">
      <alignment horizontal="center" vertical="center"/>
    </xf>
    <xf numFmtId="164" fontId="74" fillId="0" borderId="7" xfId="0" applyNumberFormat="1" applyFont="1" applyFill="1" applyBorder="1" applyAlignment="1">
      <alignment horizontal="right" vertical="center" wrapText="1"/>
    </xf>
    <xf numFmtId="0" fontId="74" fillId="0" borderId="0" xfId="12" applyNumberFormat="1" applyFont="1" applyFill="1" applyBorder="1" applyAlignment="1">
      <alignment horizontal="right" vertical="center"/>
    </xf>
    <xf numFmtId="0" fontId="74" fillId="0" borderId="0" xfId="12" applyNumberFormat="1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74" fillId="0" borderId="41" xfId="0" applyFont="1" applyFill="1" applyBorder="1" applyAlignment="1">
      <alignment vertical="center"/>
    </xf>
    <xf numFmtId="0" fontId="22" fillId="0" borderId="50" xfId="0" applyFont="1" applyFill="1" applyBorder="1" applyAlignment="1">
      <alignment horizontal="center" vertical="center" wrapText="1"/>
    </xf>
    <xf numFmtId="0" fontId="22" fillId="0" borderId="42" xfId="0" applyNumberFormat="1" applyFont="1" applyFill="1" applyBorder="1" applyAlignment="1">
      <alignment horizontal="center" vertical="center"/>
    </xf>
    <xf numFmtId="164" fontId="74" fillId="0" borderId="43" xfId="12" applyNumberFormat="1" applyFont="1" applyFill="1" applyBorder="1" applyAlignment="1">
      <alignment horizontal="right" vertical="center"/>
    </xf>
    <xf numFmtId="0" fontId="22" fillId="0" borderId="50" xfId="0" applyNumberFormat="1" applyFont="1" applyFill="1" applyBorder="1" applyAlignment="1">
      <alignment horizontal="center" vertical="center"/>
    </xf>
    <xf numFmtId="0" fontId="74" fillId="0" borderId="14" xfId="19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74" fillId="0" borderId="22" xfId="12" applyNumberFormat="1" applyFont="1" applyFill="1" applyBorder="1" applyAlignment="1">
      <alignment horizontal="center" vertical="center"/>
    </xf>
    <xf numFmtId="164" fontId="74" fillId="0" borderId="22" xfId="12" applyNumberFormat="1" applyFont="1" applyFill="1" applyBorder="1" applyAlignment="1">
      <alignment horizontal="center" vertical="center"/>
    </xf>
    <xf numFmtId="164" fontId="22" fillId="0" borderId="15" xfId="12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7" xfId="0" applyFont="1" applyFill="1" applyBorder="1" applyAlignment="1">
      <alignment vertical="center"/>
    </xf>
    <xf numFmtId="0" fontId="23" fillId="0" borderId="8" xfId="0" applyFont="1" applyFill="1" applyBorder="1" applyAlignment="1">
      <alignment horizontal="center" vertical="center" wrapText="1"/>
    </xf>
    <xf numFmtId="0" fontId="23" fillId="0" borderId="7" xfId="0" applyNumberFormat="1" applyFont="1" applyFill="1" applyBorder="1" applyAlignment="1">
      <alignment horizontal="center" vertical="center"/>
    </xf>
    <xf numFmtId="164" fontId="23" fillId="0" borderId="8" xfId="12" applyNumberFormat="1" applyFont="1" applyFill="1" applyBorder="1" applyAlignment="1">
      <alignment horizontal="right" vertical="center"/>
    </xf>
    <xf numFmtId="164" fontId="23" fillId="0" borderId="7" xfId="12" applyNumberFormat="1" applyFont="1" applyFill="1" applyBorder="1" applyAlignment="1">
      <alignment horizontal="right" vertical="center"/>
    </xf>
    <xf numFmtId="0" fontId="23" fillId="0" borderId="4" xfId="0" applyFont="1" applyFill="1" applyBorder="1" applyAlignment="1">
      <alignment vertical="center"/>
    </xf>
    <xf numFmtId="0" fontId="23" fillId="0" borderId="4" xfId="0" applyNumberFormat="1" applyFont="1" applyFill="1" applyBorder="1" applyAlignment="1">
      <alignment horizontal="center" vertical="center"/>
    </xf>
    <xf numFmtId="164" fontId="23" fillId="0" borderId="21" xfId="12" applyNumberFormat="1" applyFont="1" applyFill="1" applyBorder="1" applyAlignment="1">
      <alignment horizontal="right" vertical="center"/>
    </xf>
    <xf numFmtId="0" fontId="23" fillId="0" borderId="22" xfId="12" applyNumberFormat="1" applyFont="1" applyFill="1" applyBorder="1" applyAlignment="1">
      <alignment horizontal="right" vertical="center"/>
    </xf>
    <xf numFmtId="164" fontId="23" fillId="0" borderId="22" xfId="12" applyNumberFormat="1" applyFont="1" applyFill="1" applyBorder="1" applyAlignment="1">
      <alignment horizontal="right" vertical="center"/>
    </xf>
    <xf numFmtId="0" fontId="23" fillId="0" borderId="22" xfId="12" applyNumberFormat="1" applyFont="1" applyFill="1" applyBorder="1" applyAlignment="1">
      <alignment horizontal="center" vertical="center"/>
    </xf>
    <xf numFmtId="0" fontId="23" fillId="0" borderId="7" xfId="12" applyNumberFormat="1" applyFont="1" applyFill="1" applyBorder="1" applyAlignment="1">
      <alignment horizontal="center" vertical="center"/>
    </xf>
    <xf numFmtId="0" fontId="74" fillId="0" borderId="7" xfId="19" applyNumberFormat="1" applyFont="1" applyFill="1" applyBorder="1" applyAlignment="1">
      <alignment horizontal="center" wrapText="1"/>
    </xf>
    <xf numFmtId="0" fontId="74" fillId="0" borderId="3" xfId="0" applyFont="1" applyFill="1" applyBorder="1"/>
    <xf numFmtId="0" fontId="74" fillId="0" borderId="18" xfId="0" applyNumberFormat="1" applyFont="1" applyFill="1" applyBorder="1"/>
    <xf numFmtId="164" fontId="74" fillId="0" borderId="14" xfId="0" applyNumberFormat="1" applyFont="1" applyFill="1" applyBorder="1"/>
    <xf numFmtId="0" fontId="74" fillId="0" borderId="6" xfId="0" applyFont="1" applyFill="1" applyBorder="1" applyAlignment="1">
      <alignment horizontal="center"/>
    </xf>
    <xf numFmtId="164" fontId="74" fillId="0" borderId="3" xfId="12" applyNumberFormat="1" applyFont="1" applyFill="1" applyBorder="1" applyAlignment="1">
      <alignment horizontal="right"/>
    </xf>
    <xf numFmtId="0" fontId="74" fillId="0" borderId="14" xfId="0" applyFont="1" applyFill="1" applyBorder="1" applyAlignment="1">
      <alignment horizontal="center" wrapText="1"/>
    </xf>
    <xf numFmtId="0" fontId="74" fillId="0" borderId="14" xfId="12" applyNumberFormat="1" applyFont="1" applyFill="1" applyBorder="1"/>
    <xf numFmtId="164" fontId="22" fillId="0" borderId="13" xfId="12" applyNumberFormat="1" applyFont="1" applyFill="1" applyBorder="1" applyAlignment="1">
      <alignment horizontal="right"/>
    </xf>
    <xf numFmtId="0" fontId="74" fillId="0" borderId="3" xfId="0" applyFont="1" applyFill="1" applyBorder="1" applyAlignment="1">
      <alignment horizontal="center" wrapText="1"/>
    </xf>
    <xf numFmtId="0" fontId="74" fillId="0" borderId="3" xfId="12" applyNumberFormat="1" applyFont="1" applyFill="1" applyBorder="1"/>
    <xf numFmtId="164" fontId="22" fillId="0" borderId="6" xfId="12" applyNumberFormat="1" applyFont="1" applyFill="1" applyBorder="1" applyAlignment="1">
      <alignment horizontal="right" wrapText="1"/>
    </xf>
    <xf numFmtId="0" fontId="22" fillId="0" borderId="3" xfId="0" applyFont="1" applyFill="1" applyBorder="1" applyAlignment="1">
      <alignment horizontal="center" wrapText="1"/>
    </xf>
    <xf numFmtId="164" fontId="22" fillId="0" borderId="0" xfId="12" applyNumberFormat="1" applyFont="1" applyFill="1" applyBorder="1" applyAlignment="1">
      <alignment wrapText="1"/>
    </xf>
    <xf numFmtId="164" fontId="22" fillId="0" borderId="6" xfId="12" applyNumberFormat="1" applyFont="1" applyFill="1" applyBorder="1" applyAlignment="1"/>
    <xf numFmtId="0" fontId="22" fillId="0" borderId="30" xfId="0" applyFont="1" applyFill="1" applyBorder="1"/>
    <xf numFmtId="0" fontId="22" fillId="0" borderId="4" xfId="0" applyFont="1" applyFill="1" applyBorder="1" applyAlignment="1">
      <alignment horizontal="center" wrapText="1"/>
    </xf>
    <xf numFmtId="164" fontId="22" fillId="0" borderId="21" xfId="12" applyNumberFormat="1" applyFont="1" applyFill="1" applyBorder="1" applyAlignment="1">
      <alignment wrapText="1"/>
    </xf>
    <xf numFmtId="164" fontId="22" fillId="0" borderId="26" xfId="12" applyNumberFormat="1" applyFont="1" applyFill="1" applyBorder="1" applyAlignment="1"/>
    <xf numFmtId="0" fontId="22" fillId="0" borderId="21" xfId="0" applyFont="1" applyFill="1" applyBorder="1" applyAlignment="1">
      <alignment horizontal="center" wrapText="1"/>
    </xf>
    <xf numFmtId="164" fontId="74" fillId="0" borderId="30" xfId="0" applyNumberFormat="1" applyFont="1" applyFill="1" applyBorder="1" applyAlignment="1">
      <alignment wrapText="1"/>
    </xf>
    <xf numFmtId="0" fontId="74" fillId="0" borderId="7" xfId="0" applyFont="1" applyFill="1" applyBorder="1" applyAlignment="1">
      <alignment horizontal="left"/>
    </xf>
    <xf numFmtId="164" fontId="74" fillId="0" borderId="7" xfId="0" applyNumberFormat="1" applyFont="1" applyFill="1" applyBorder="1"/>
    <xf numFmtId="0" fontId="22" fillId="0" borderId="3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 vertical="center" wrapText="1"/>
    </xf>
    <xf numFmtId="0" fontId="22" fillId="0" borderId="7" xfId="0" applyNumberFormat="1" applyFont="1" applyFill="1" applyBorder="1" applyAlignment="1">
      <alignment horizontal="center" vertical="center" wrapText="1"/>
    </xf>
    <xf numFmtId="3" fontId="74" fillId="0" borderId="8" xfId="0" applyNumberFormat="1" applyFont="1" applyFill="1" applyBorder="1" applyAlignment="1">
      <alignment horizontal="right" vertical="center" wrapText="1"/>
    </xf>
    <xf numFmtId="164" fontId="22" fillId="0" borderId="3" xfId="12" applyNumberFormat="1" applyFont="1" applyFill="1" applyBorder="1" applyAlignment="1">
      <alignment horizontal="center" vertical="center"/>
    </xf>
    <xf numFmtId="3" fontId="74" fillId="0" borderId="0" xfId="0" applyNumberFormat="1" applyFont="1" applyFill="1" applyBorder="1" applyAlignment="1">
      <alignment horizontal="center"/>
    </xf>
    <xf numFmtId="0" fontId="22" fillId="0" borderId="4" xfId="0" applyNumberFormat="1" applyFont="1" applyFill="1" applyBorder="1" applyAlignment="1">
      <alignment horizontal="center"/>
    </xf>
    <xf numFmtId="0" fontId="22" fillId="0" borderId="3" xfId="33" applyNumberFormat="1" applyFont="1" applyFill="1" applyBorder="1" applyAlignment="1">
      <alignment horizontal="center"/>
    </xf>
    <xf numFmtId="164" fontId="22" fillId="0" borderId="3" xfId="0" applyNumberFormat="1" applyFont="1" applyFill="1" applyBorder="1" applyAlignment="1">
      <alignment horizontal="center"/>
    </xf>
    <xf numFmtId="164" fontId="22" fillId="0" borderId="3" xfId="33" applyNumberFormat="1" applyFont="1" applyFill="1" applyBorder="1" applyAlignment="1">
      <alignment horizontal="center"/>
    </xf>
    <xf numFmtId="164" fontId="22" fillId="0" borderId="4" xfId="33" applyNumberFormat="1" applyFont="1" applyFill="1" applyBorder="1" applyAlignment="1">
      <alignment horizontal="center"/>
    </xf>
    <xf numFmtId="164" fontId="74" fillId="0" borderId="7" xfId="33" applyNumberFormat="1" applyFont="1" applyFill="1" applyBorder="1" applyAlignment="1">
      <alignment horizontal="center"/>
    </xf>
    <xf numFmtId="0" fontId="22" fillId="0" borderId="7" xfId="12" applyNumberFormat="1" applyFont="1" applyFill="1" applyBorder="1" applyAlignment="1">
      <alignment horizontal="center" vertical="center"/>
    </xf>
    <xf numFmtId="164" fontId="22" fillId="0" borderId="7" xfId="33" applyNumberFormat="1" applyFont="1" applyFill="1" applyBorder="1" applyAlignment="1">
      <alignment horizontal="center"/>
    </xf>
    <xf numFmtId="0" fontId="74" fillId="0" borderId="7" xfId="36" applyFont="1" applyFill="1" applyBorder="1" applyAlignment="1">
      <alignment horizontal="center" vertical="top" wrapText="1"/>
    </xf>
    <xf numFmtId="0" fontId="74" fillId="0" borderId="8" xfId="36" applyFont="1" applyFill="1" applyBorder="1" applyAlignment="1">
      <alignment horizontal="center" vertical="top" wrapText="1"/>
    </xf>
    <xf numFmtId="0" fontId="74" fillId="0" borderId="7" xfId="36" applyNumberFormat="1" applyFont="1" applyFill="1" applyBorder="1" applyAlignment="1">
      <alignment horizontal="center" vertical="top" wrapText="1"/>
    </xf>
    <xf numFmtId="164" fontId="74" fillId="0" borderId="7" xfId="38" applyNumberFormat="1" applyFont="1" applyFill="1" applyBorder="1" applyAlignment="1">
      <alignment horizontal="center" vertical="top" wrapText="1"/>
    </xf>
    <xf numFmtId="0" fontId="86" fillId="0" borderId="0" xfId="0" applyFont="1" applyFill="1"/>
    <xf numFmtId="49" fontId="22" fillId="0" borderId="0" xfId="0" applyNumberFormat="1" applyFont="1" applyFill="1" applyAlignment="1">
      <alignment horizontal="center" wrapText="1"/>
    </xf>
    <xf numFmtId="164" fontId="22" fillId="0" borderId="3" xfId="38" applyNumberFormat="1" applyFont="1" applyFill="1" applyBorder="1" applyAlignment="1">
      <alignment wrapText="1"/>
    </xf>
    <xf numFmtId="164" fontId="22" fillId="0" borderId="3" xfId="38" applyNumberFormat="1" applyFont="1" applyFill="1" applyBorder="1" applyAlignment="1">
      <alignment horizontal="right"/>
    </xf>
    <xf numFmtId="3" fontId="22" fillId="0" borderId="3" xfId="0" applyNumberFormat="1" applyFont="1" applyFill="1" applyBorder="1" applyAlignment="1">
      <alignment horizontal="center" vertical="center"/>
    </xf>
    <xf numFmtId="49" fontId="74" fillId="0" borderId="8" xfId="0" applyNumberFormat="1" applyFont="1" applyFill="1" applyBorder="1" applyAlignment="1">
      <alignment horizontal="center" wrapText="1"/>
    </xf>
    <xf numFmtId="1" fontId="74" fillId="0" borderId="7" xfId="38" applyNumberFormat="1" applyFont="1" applyFill="1" applyBorder="1" applyAlignment="1">
      <alignment horizontal="center" vertical="center"/>
    </xf>
    <xf numFmtId="3" fontId="74" fillId="0" borderId="7" xfId="38" applyNumberFormat="1" applyFont="1" applyFill="1" applyBorder="1"/>
    <xf numFmtId="1" fontId="74" fillId="0" borderId="7" xfId="38" applyNumberFormat="1" applyFont="1" applyFill="1" applyBorder="1" applyAlignment="1">
      <alignment horizontal="center"/>
    </xf>
    <xf numFmtId="1" fontId="74" fillId="0" borderId="14" xfId="38" applyNumberFormat="1" applyFont="1" applyFill="1" applyBorder="1" applyAlignment="1">
      <alignment horizontal="center" vertical="center"/>
    </xf>
    <xf numFmtId="3" fontId="22" fillId="0" borderId="14" xfId="0" applyNumberFormat="1" applyFont="1" applyFill="1" applyBorder="1" applyAlignment="1">
      <alignment horizontal="center" vertical="center"/>
    </xf>
    <xf numFmtId="3" fontId="22" fillId="0" borderId="6" xfId="0" applyNumberFormat="1" applyFont="1" applyFill="1" applyBorder="1" applyAlignment="1">
      <alignment wrapText="1"/>
    </xf>
    <xf numFmtId="1" fontId="74" fillId="0" borderId="4" xfId="0" applyNumberFormat="1" applyFont="1" applyFill="1" applyBorder="1" applyAlignment="1">
      <alignment horizontal="center" vertical="center"/>
    </xf>
    <xf numFmtId="3" fontId="74" fillId="0" borderId="4" xfId="0" applyNumberFormat="1" applyFont="1" applyFill="1" applyBorder="1"/>
    <xf numFmtId="1" fontId="74" fillId="0" borderId="4" xfId="0" applyNumberFormat="1" applyFont="1" applyFill="1" applyBorder="1" applyAlignment="1">
      <alignment horizontal="center"/>
    </xf>
    <xf numFmtId="0" fontId="74" fillId="0" borderId="16" xfId="0" applyFont="1" applyFill="1" applyBorder="1" applyAlignment="1">
      <alignment horizontal="left"/>
    </xf>
    <xf numFmtId="0" fontId="74" fillId="0" borderId="13" xfId="0" applyFont="1" applyFill="1" applyBorder="1" applyAlignment="1">
      <alignment horizontal="center" wrapText="1"/>
    </xf>
    <xf numFmtId="3" fontId="74" fillId="0" borderId="14" xfId="0" applyNumberFormat="1" applyFont="1" applyFill="1" applyBorder="1" applyAlignment="1">
      <alignment horizontal="center" vertical="center"/>
    </xf>
    <xf numFmtId="3" fontId="74" fillId="0" borderId="15" xfId="0" applyNumberFormat="1" applyFont="1" applyFill="1" applyBorder="1"/>
    <xf numFmtId="1" fontId="74" fillId="0" borderId="14" xfId="0" applyNumberFormat="1" applyFont="1" applyFill="1" applyBorder="1" applyAlignment="1">
      <alignment horizontal="center"/>
    </xf>
    <xf numFmtId="3" fontId="22" fillId="0" borderId="3" xfId="0" applyNumberFormat="1" applyFont="1" applyFill="1" applyBorder="1" applyAlignment="1">
      <alignment vertical="center"/>
    </xf>
    <xf numFmtId="164" fontId="22" fillId="0" borderId="3" xfId="38" applyNumberFormat="1" applyFont="1" applyFill="1" applyBorder="1" applyAlignment="1">
      <alignment horizontal="right" vertical="center"/>
    </xf>
    <xf numFmtId="164" fontId="74" fillId="0" borderId="7" xfId="38" applyNumberFormat="1" applyFont="1" applyFill="1" applyBorder="1" applyAlignment="1">
      <alignment vertical="center"/>
    </xf>
    <xf numFmtId="0" fontId="74" fillId="0" borderId="7" xfId="38" applyNumberFormat="1" applyFont="1" applyFill="1" applyBorder="1" applyAlignment="1">
      <alignment horizontal="center" vertical="center"/>
    </xf>
    <xf numFmtId="164" fontId="74" fillId="0" borderId="7" xfId="38" applyNumberFormat="1" applyFont="1" applyFill="1" applyBorder="1" applyAlignment="1">
      <alignment horizontal="right" vertical="center"/>
    </xf>
    <xf numFmtId="164" fontId="22" fillId="0" borderId="4" xfId="38" applyNumberFormat="1" applyFont="1" applyFill="1" applyBorder="1" applyAlignment="1">
      <alignment horizontal="right" vertical="center"/>
    </xf>
    <xf numFmtId="164" fontId="22" fillId="0" borderId="14" xfId="38" applyNumberFormat="1" applyFont="1" applyFill="1" applyBorder="1" applyAlignment="1">
      <alignment horizontal="right" vertical="center"/>
    </xf>
    <xf numFmtId="164" fontId="74" fillId="0" borderId="4" xfId="0" applyNumberFormat="1" applyFont="1" applyFill="1" applyBorder="1" applyAlignment="1">
      <alignment vertical="center"/>
    </xf>
    <xf numFmtId="164" fontId="74" fillId="0" borderId="4" xfId="38" applyNumberFormat="1" applyFont="1" applyFill="1" applyBorder="1" applyAlignment="1">
      <alignment horizontal="right" vertical="center"/>
    </xf>
    <xf numFmtId="3" fontId="87" fillId="0" borderId="0" xfId="0" applyNumberFormat="1" applyFont="1" applyFill="1" applyBorder="1" applyAlignment="1">
      <alignment vertical="center"/>
    </xf>
    <xf numFmtId="164" fontId="74" fillId="0" borderId="4" xfId="33" applyNumberFormat="1" applyFont="1" applyFill="1" applyBorder="1" applyAlignment="1">
      <alignment horizontal="right"/>
    </xf>
    <xf numFmtId="164" fontId="22" fillId="0" borderId="16" xfId="12" applyNumberFormat="1" applyFont="1" applyFill="1" applyBorder="1"/>
    <xf numFmtId="0" fontId="22" fillId="0" borderId="14" xfId="0" applyFont="1" applyFill="1" applyBorder="1" applyAlignment="1">
      <alignment wrapText="1"/>
    </xf>
    <xf numFmtId="0" fontId="22" fillId="0" borderId="13" xfId="0" applyFont="1" applyFill="1" applyBorder="1" applyAlignment="1">
      <alignment horizontal="center"/>
    </xf>
    <xf numFmtId="164" fontId="22" fillId="0" borderId="14" xfId="33" applyNumberFormat="1" applyFont="1" applyFill="1" applyBorder="1" applyAlignment="1">
      <alignment horizontal="right"/>
    </xf>
    <xf numFmtId="164" fontId="22" fillId="0" borderId="18" xfId="12" applyNumberFormat="1" applyFont="1" applyFill="1" applyBorder="1"/>
    <xf numFmtId="0" fontId="22" fillId="0" borderId="0" xfId="0" applyFont="1" applyFill="1" applyBorder="1" applyAlignment="1">
      <alignment horizontal="center"/>
    </xf>
    <xf numFmtId="164" fontId="22" fillId="0" borderId="3" xfId="0" applyNumberFormat="1" applyFont="1" applyFill="1" applyBorder="1" applyAlignment="1">
      <alignment vertical="center"/>
    </xf>
    <xf numFmtId="4" fontId="22" fillId="0" borderId="4" xfId="0" applyNumberFormat="1" applyFont="1" applyFill="1" applyBorder="1" applyAlignment="1">
      <alignment vertical="center"/>
    </xf>
    <xf numFmtId="164" fontId="22" fillId="0" borderId="4" xfId="0" applyNumberFormat="1" applyFont="1" applyFill="1" applyBorder="1" applyAlignment="1">
      <alignment vertical="center"/>
    </xf>
    <xf numFmtId="164" fontId="74" fillId="0" borderId="11" xfId="12" applyNumberFormat="1" applyFont="1" applyFill="1" applyBorder="1"/>
    <xf numFmtId="4" fontId="74" fillId="0" borderId="7" xfId="33" applyNumberFormat="1" applyFont="1" applyFill="1" applyBorder="1"/>
    <xf numFmtId="0" fontId="74" fillId="0" borderId="8" xfId="33" applyNumberFormat="1" applyFont="1" applyFill="1" applyBorder="1" applyAlignment="1">
      <alignment horizontal="center"/>
    </xf>
    <xf numFmtId="4" fontId="22" fillId="0" borderId="14" xfId="0" applyNumberFormat="1" applyFont="1" applyFill="1" applyBorder="1" applyAlignment="1">
      <alignment vertical="center"/>
    </xf>
    <xf numFmtId="164" fontId="22" fillId="0" borderId="14" xfId="0" applyNumberFormat="1" applyFont="1" applyFill="1" applyBorder="1" applyAlignment="1">
      <alignment vertical="center"/>
    </xf>
    <xf numFmtId="0" fontId="74" fillId="0" borderId="13" xfId="33" applyNumberFormat="1" applyFont="1" applyFill="1" applyBorder="1" applyAlignment="1">
      <alignment horizontal="center"/>
    </xf>
    <xf numFmtId="4" fontId="22" fillId="0" borderId="16" xfId="0" applyNumberFormat="1" applyFont="1" applyFill="1" applyBorder="1" applyAlignment="1">
      <alignment vertical="center"/>
    </xf>
    <xf numFmtId="4" fontId="22" fillId="0" borderId="18" xfId="0" applyNumberFormat="1" applyFont="1" applyFill="1" applyBorder="1" applyAlignment="1">
      <alignment vertical="center"/>
    </xf>
    <xf numFmtId="0" fontId="22" fillId="0" borderId="3" xfId="0" applyFont="1" applyFill="1" applyBorder="1" applyAlignment="1">
      <alignment horizontal="center" vertical="center"/>
    </xf>
    <xf numFmtId="4" fontId="22" fillId="0" borderId="30" xfId="0" applyNumberFormat="1" applyFont="1" applyFill="1" applyBorder="1" applyAlignment="1">
      <alignment vertical="center"/>
    </xf>
    <xf numFmtId="0" fontId="74" fillId="0" borderId="21" xfId="33" applyNumberFormat="1" applyFont="1" applyFill="1" applyBorder="1" applyAlignment="1">
      <alignment horizontal="center"/>
    </xf>
    <xf numFmtId="164" fontId="74" fillId="0" borderId="30" xfId="12" applyNumberFormat="1" applyFont="1" applyFill="1" applyBorder="1"/>
    <xf numFmtId="4" fontId="74" fillId="0" borderId="7" xfId="0" applyNumberFormat="1" applyFont="1" applyFill="1" applyBorder="1"/>
    <xf numFmtId="164" fontId="22" fillId="0" borderId="18" xfId="12" applyNumberFormat="1" applyFont="1" applyFill="1" applyBorder="1" applyAlignment="1">
      <alignment horizontal="right"/>
    </xf>
    <xf numFmtId="164" fontId="22" fillId="0" borderId="14" xfId="0" applyNumberFormat="1" applyFont="1" applyFill="1" applyBorder="1" applyAlignment="1">
      <alignment horizontal="right" vertical="center"/>
    </xf>
    <xf numFmtId="164" fontId="74" fillId="0" borderId="11" xfId="12" applyNumberFormat="1" applyFont="1" applyFill="1" applyBorder="1" applyAlignment="1">
      <alignment horizontal="right"/>
    </xf>
    <xf numFmtId="4" fontId="74" fillId="0" borderId="7" xfId="33" applyNumberFormat="1" applyFont="1" applyFill="1" applyBorder="1" applyAlignment="1">
      <alignment horizontal="right"/>
    </xf>
    <xf numFmtId="0" fontId="74" fillId="0" borderId="8" xfId="0" applyFont="1" applyFill="1" applyBorder="1" applyAlignment="1">
      <alignment horizontal="center"/>
    </xf>
    <xf numFmtId="0" fontId="74" fillId="0" borderId="4" xfId="33" applyNumberFormat="1" applyFont="1" applyFill="1" applyBorder="1" applyAlignment="1">
      <alignment horizontal="center"/>
    </xf>
    <xf numFmtId="164" fontId="22" fillId="0" borderId="4" xfId="33" applyNumberFormat="1" applyFont="1" applyFill="1" applyBorder="1" applyAlignment="1">
      <alignment horizontal="right"/>
    </xf>
    <xf numFmtId="164" fontId="74" fillId="0" borderId="3" xfId="12" applyNumberFormat="1" applyFont="1" applyFill="1" applyBorder="1" applyAlignment="1">
      <alignment horizontal="right" vertical="center"/>
    </xf>
    <xf numFmtId="164" fontId="74" fillId="0" borderId="11" xfId="12" applyNumberFormat="1" applyFont="1" applyFill="1" applyBorder="1" applyAlignment="1">
      <alignment horizontal="right" vertical="center"/>
    </xf>
    <xf numFmtId="164" fontId="21" fillId="0" borderId="0" xfId="12" applyNumberFormat="1" applyFont="1" applyFill="1" applyBorder="1" applyAlignment="1">
      <alignment horizontal="right" vertical="center" wrapText="1"/>
    </xf>
    <xf numFmtId="164" fontId="21" fillId="0" borderId="3" xfId="12" applyNumberFormat="1" applyFont="1" applyFill="1" applyBorder="1" applyAlignment="1">
      <alignment horizontal="right" vertical="center" wrapText="1"/>
    </xf>
    <xf numFmtId="164" fontId="22" fillId="0" borderId="0" xfId="12" applyNumberFormat="1" applyFont="1" applyFill="1" applyBorder="1" applyAlignment="1">
      <alignment horizontal="right" vertical="center" wrapText="1"/>
    </xf>
    <xf numFmtId="164" fontId="74" fillId="0" borderId="8" xfId="12" applyNumberFormat="1" applyFont="1" applyFill="1" applyBorder="1" applyAlignment="1">
      <alignment horizontal="right" vertical="center" wrapText="1"/>
    </xf>
    <xf numFmtId="164" fontId="74" fillId="0" borderId="7" xfId="12" applyNumberFormat="1" applyFont="1" applyFill="1" applyBorder="1" applyAlignment="1">
      <alignment horizontal="right" vertical="center" wrapText="1"/>
    </xf>
    <xf numFmtId="0" fontId="74" fillId="0" borderId="14" xfId="19" applyFont="1" applyFill="1" applyBorder="1" applyAlignment="1">
      <alignment horizontal="center" wrapText="1"/>
    </xf>
    <xf numFmtId="0" fontId="22" fillId="0" borderId="13" xfId="0" applyFont="1" applyFill="1" applyBorder="1" applyAlignment="1">
      <alignment horizontal="right" vertical="center" wrapText="1"/>
    </xf>
    <xf numFmtId="164" fontId="22" fillId="0" borderId="15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 horizontal="right" vertical="center" wrapText="1"/>
    </xf>
    <xf numFmtId="164" fontId="22" fillId="0" borderId="6" xfId="0" applyNumberFormat="1" applyFont="1" applyFill="1" applyBorder="1" applyAlignment="1">
      <alignment horizontal="right" vertical="center" wrapText="1"/>
    </xf>
    <xf numFmtId="0" fontId="74" fillId="0" borderId="22" xfId="0" applyFont="1" applyFill="1" applyBorder="1" applyAlignment="1">
      <alignment horizontal="right" vertical="center" wrapText="1"/>
    </xf>
    <xf numFmtId="0" fontId="22" fillId="0" borderId="7" xfId="0" applyFont="1" applyFill="1" applyBorder="1" applyAlignment="1">
      <alignment horizontal="center" vertical="center" wrapText="1"/>
    </xf>
    <xf numFmtId="164" fontId="74" fillId="0" borderId="22" xfId="0" applyNumberFormat="1" applyFont="1" applyFill="1" applyBorder="1" applyAlignment="1">
      <alignment horizontal="right" vertical="center" wrapText="1"/>
    </xf>
    <xf numFmtId="3" fontId="22" fillId="0" borderId="61" xfId="0" applyNumberFormat="1" applyFont="1" applyFill="1" applyBorder="1" applyAlignment="1">
      <alignment horizontal="right" vertical="center" wrapText="1"/>
    </xf>
    <xf numFmtId="0" fontId="22" fillId="0" borderId="6" xfId="0" applyFont="1" applyFill="1" applyBorder="1" applyAlignment="1">
      <alignment horizontal="center" vertical="center" wrapText="1"/>
    </xf>
    <xf numFmtId="0" fontId="22" fillId="0" borderId="61" xfId="0" applyFont="1" applyFill="1" applyBorder="1" applyAlignment="1">
      <alignment horizontal="right" vertical="center" wrapText="1"/>
    </xf>
    <xf numFmtId="3" fontId="74" fillId="0" borderId="22" xfId="0" applyNumberFormat="1" applyFont="1" applyFill="1" applyBorder="1" applyAlignment="1">
      <alignment horizontal="right" vertical="center" wrapText="1"/>
    </xf>
    <xf numFmtId="3" fontId="74" fillId="0" borderId="7" xfId="0" applyNumberFormat="1" applyFont="1" applyFill="1" applyBorder="1" applyAlignment="1">
      <alignment horizontal="center" vertical="center" wrapText="1"/>
    </xf>
    <xf numFmtId="3" fontId="74" fillId="0" borderId="0" xfId="0" applyNumberFormat="1" applyFont="1" applyFill="1" applyBorder="1" applyAlignment="1">
      <alignment horizontal="right" vertical="center" wrapText="1"/>
    </xf>
    <xf numFmtId="164" fontId="22" fillId="0" borderId="6" xfId="0" applyNumberFormat="1" applyFont="1" applyFill="1" applyBorder="1" applyAlignment="1">
      <alignment horizontal="right"/>
    </xf>
    <xf numFmtId="0" fontId="74" fillId="0" borderId="3" xfId="0" applyFont="1" applyFill="1" applyBorder="1" applyAlignment="1">
      <alignment horizontal="center" vertical="center" wrapText="1"/>
    </xf>
    <xf numFmtId="0" fontId="74" fillId="0" borderId="14" xfId="0" applyNumberFormat="1" applyFont="1" applyFill="1" applyBorder="1"/>
    <xf numFmtId="0" fontId="74" fillId="0" borderId="8" xfId="0" applyFont="1" applyFill="1" applyBorder="1" applyAlignment="1">
      <alignment horizontal="right" vertical="center" wrapText="1"/>
    </xf>
    <xf numFmtId="3" fontId="74" fillId="0" borderId="21" xfId="0" applyNumberFormat="1" applyFont="1" applyFill="1" applyBorder="1" applyAlignment="1">
      <alignment horizontal="right"/>
    </xf>
    <xf numFmtId="3" fontId="74" fillId="0" borderId="4" xfId="0" applyNumberFormat="1" applyFont="1" applyFill="1" applyBorder="1" applyAlignment="1">
      <alignment horizontal="center" vertical="center" wrapText="1"/>
    </xf>
    <xf numFmtId="164" fontId="74" fillId="0" borderId="26" xfId="0" applyNumberFormat="1" applyFont="1" applyFill="1" applyBorder="1" applyAlignment="1">
      <alignment horizontal="right" vertical="center" wrapText="1"/>
    </xf>
    <xf numFmtId="0" fontId="74" fillId="0" borderId="0" xfId="0" applyNumberFormat="1" applyFont="1" applyFill="1" applyBorder="1" applyAlignment="1">
      <alignment horizontal="right"/>
    </xf>
    <xf numFmtId="3" fontId="74" fillId="0" borderId="0" xfId="0" applyNumberFormat="1" applyFont="1" applyFill="1" applyBorder="1" applyAlignment="1">
      <alignment horizontal="center" vertical="center" wrapText="1"/>
    </xf>
    <xf numFmtId="164" fontId="22" fillId="0" borderId="4" xfId="0" applyNumberFormat="1" applyFont="1" applyFill="1" applyBorder="1" applyAlignment="1">
      <alignment horizontal="right" vertical="center" wrapText="1"/>
    </xf>
    <xf numFmtId="0" fontId="22" fillId="0" borderId="14" xfId="0" applyNumberFormat="1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right" vertical="center" wrapText="1"/>
    </xf>
    <xf numFmtId="0" fontId="22" fillId="0" borderId="35" xfId="0" applyFont="1" applyFill="1" applyBorder="1" applyAlignment="1">
      <alignment vertical="center" wrapText="1"/>
    </xf>
    <xf numFmtId="164" fontId="22" fillId="0" borderId="6" xfId="0" applyNumberFormat="1" applyFont="1" applyFill="1" applyBorder="1" applyAlignment="1">
      <alignment vertical="center" wrapText="1"/>
    </xf>
    <xf numFmtId="0" fontId="22" fillId="0" borderId="34" xfId="0" applyNumberFormat="1" applyFont="1" applyFill="1" applyBorder="1" applyAlignment="1">
      <alignment horizontal="center" vertical="center" wrapText="1"/>
    </xf>
    <xf numFmtId="3" fontId="22" fillId="0" borderId="33" xfId="0" applyNumberFormat="1" applyFont="1" applyFill="1" applyBorder="1" applyAlignment="1">
      <alignment horizontal="right" vertical="center" wrapText="1"/>
    </xf>
    <xf numFmtId="0" fontId="22" fillId="0" borderId="33" xfId="0" applyFont="1" applyFill="1" applyBorder="1" applyAlignment="1">
      <alignment horizontal="center" vertical="center" wrapText="1"/>
    </xf>
    <xf numFmtId="164" fontId="22" fillId="0" borderId="66" xfId="0" applyNumberFormat="1" applyFont="1" applyFill="1" applyBorder="1" applyAlignment="1">
      <alignment horizontal="right" vertical="center" wrapText="1"/>
    </xf>
    <xf numFmtId="164" fontId="74" fillId="0" borderId="22" xfId="12" applyNumberFormat="1" applyFont="1" applyFill="1" applyBorder="1" applyAlignment="1">
      <alignment vertical="center"/>
    </xf>
    <xf numFmtId="164" fontId="22" fillId="0" borderId="34" xfId="0" applyNumberFormat="1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vertical="center"/>
    </xf>
    <xf numFmtId="164" fontId="22" fillId="0" borderId="8" xfId="12" applyNumberFormat="1" applyFont="1" applyFill="1" applyBorder="1" applyAlignment="1">
      <alignment horizontal="right" vertical="center"/>
    </xf>
    <xf numFmtId="0" fontId="74" fillId="0" borderId="0" xfId="16" applyFont="1" applyFill="1" applyBorder="1" applyAlignment="1">
      <alignment horizontal="center" vertical="center"/>
    </xf>
    <xf numFmtId="0" fontId="74" fillId="0" borderId="0" xfId="16" applyNumberFormat="1" applyFont="1" applyFill="1" applyBorder="1" applyAlignment="1">
      <alignment horizontal="center" vertical="center"/>
    </xf>
    <xf numFmtId="164" fontId="74" fillId="0" borderId="0" xfId="16" applyNumberFormat="1" applyFont="1" applyFill="1" applyBorder="1" applyAlignment="1">
      <alignment horizontal="center" vertical="center"/>
    </xf>
    <xf numFmtId="0" fontId="88" fillId="0" borderId="3" xfId="0" applyFont="1" applyFill="1" applyBorder="1" applyAlignment="1">
      <alignment vertical="center"/>
    </xf>
    <xf numFmtId="0" fontId="88" fillId="0" borderId="0" xfId="0" applyFont="1" applyFill="1" applyBorder="1" applyAlignment="1">
      <alignment horizontal="center" vertical="center" wrapText="1"/>
    </xf>
    <xf numFmtId="0" fontId="88" fillId="0" borderId="3" xfId="0" applyNumberFormat="1" applyFont="1" applyFill="1" applyBorder="1" applyAlignment="1">
      <alignment horizontal="center" vertical="center"/>
    </xf>
    <xf numFmtId="3" fontId="88" fillId="0" borderId="35" xfId="0" applyNumberFormat="1" applyFont="1" applyFill="1" applyBorder="1" applyAlignment="1">
      <alignment horizontal="right" vertical="center" wrapText="1"/>
    </xf>
    <xf numFmtId="0" fontId="88" fillId="0" borderId="18" xfId="0" applyNumberFormat="1" applyFont="1" applyFill="1" applyBorder="1" applyAlignment="1">
      <alignment horizontal="center" vertical="center"/>
    </xf>
    <xf numFmtId="164" fontId="88" fillId="0" borderId="3" xfId="0" applyNumberFormat="1" applyFont="1" applyFill="1" applyBorder="1" applyAlignment="1">
      <alignment horizontal="right" vertical="center" wrapText="1"/>
    </xf>
    <xf numFmtId="0" fontId="88" fillId="0" borderId="0" xfId="0" applyFont="1" applyFill="1" applyBorder="1" applyAlignment="1">
      <alignment vertical="center"/>
    </xf>
    <xf numFmtId="3" fontId="88" fillId="0" borderId="33" xfId="0" applyNumberFormat="1" applyFont="1" applyFill="1" applyBorder="1" applyAlignment="1">
      <alignment horizontal="right" vertical="center" wrapText="1"/>
    </xf>
    <xf numFmtId="164" fontId="88" fillId="0" borderId="34" xfId="0" applyNumberFormat="1" applyFont="1" applyFill="1" applyBorder="1" applyAlignment="1">
      <alignment horizontal="right" vertical="center" wrapText="1"/>
    </xf>
    <xf numFmtId="0" fontId="23" fillId="0" borderId="11" xfId="12" applyNumberFormat="1" applyFont="1" applyFill="1" applyBorder="1" applyAlignment="1">
      <alignment horizontal="center" vertical="center"/>
    </xf>
    <xf numFmtId="164" fontId="88" fillId="0" borderId="0" xfId="12" applyNumberFormat="1" applyFont="1" applyFill="1" applyBorder="1" applyAlignment="1">
      <alignment horizontal="right" vertical="center"/>
    </xf>
    <xf numFmtId="164" fontId="88" fillId="0" borderId="3" xfId="12" applyNumberFormat="1" applyFont="1" applyFill="1" applyBorder="1" applyAlignment="1">
      <alignment horizontal="right" vertical="center"/>
    </xf>
    <xf numFmtId="0" fontId="23" fillId="0" borderId="30" xfId="12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3" fontId="21" fillId="0" borderId="35" xfId="0" applyNumberFormat="1" applyFont="1" applyFill="1" applyBorder="1" applyAlignment="1">
      <alignment horizontal="right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right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3" xfId="0" applyNumberFormat="1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7" xfId="0" applyNumberFormat="1" applyFont="1" applyFill="1" applyBorder="1" applyAlignment="1">
      <alignment horizontal="center" vertical="center" wrapText="1"/>
    </xf>
    <xf numFmtId="3" fontId="23" fillId="0" borderId="40" xfId="0" applyNumberFormat="1" applyFont="1" applyFill="1" applyBorder="1" applyAlignment="1">
      <alignment horizontal="right" vertical="center" wrapText="1"/>
    </xf>
    <xf numFmtId="0" fontId="21" fillId="0" borderId="8" xfId="0" applyNumberFormat="1" applyFont="1" applyFill="1" applyBorder="1" applyAlignment="1">
      <alignment horizontal="center" vertical="center" wrapText="1"/>
    </xf>
    <xf numFmtId="164" fontId="23" fillId="0" borderId="7" xfId="0" applyNumberFormat="1" applyFont="1" applyFill="1" applyBorder="1" applyAlignment="1">
      <alignment horizontal="right" vertical="center" wrapText="1"/>
    </xf>
    <xf numFmtId="0" fontId="21" fillId="0" borderId="7" xfId="12" applyNumberFormat="1" applyFont="1" applyFill="1" applyBorder="1" applyAlignment="1">
      <alignment horizontal="center" vertical="center"/>
    </xf>
    <xf numFmtId="0" fontId="21" fillId="0" borderId="11" xfId="12" applyNumberFormat="1" applyFont="1" applyFill="1" applyBorder="1" applyAlignment="1">
      <alignment horizontal="center" vertical="center"/>
    </xf>
    <xf numFmtId="0" fontId="90" fillId="0" borderId="7" xfId="19" applyFont="1" applyFill="1" applyBorder="1" applyAlignment="1">
      <alignment horizontal="center" vertical="center" wrapText="1"/>
    </xf>
    <xf numFmtId="0" fontId="90" fillId="0" borderId="8" xfId="19" applyFont="1" applyFill="1" applyBorder="1" applyAlignment="1">
      <alignment horizontal="center" vertical="center" wrapText="1"/>
    </xf>
    <xf numFmtId="0" fontId="90" fillId="0" borderId="7" xfId="19" applyNumberFormat="1" applyFont="1" applyFill="1" applyBorder="1" applyAlignment="1">
      <alignment horizontal="center" vertical="center" wrapText="1"/>
    </xf>
    <xf numFmtId="164" fontId="90" fillId="0" borderId="7" xfId="12" applyNumberFormat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/>
    </xf>
    <xf numFmtId="0" fontId="91" fillId="0" borderId="3" xfId="0" applyFont="1" applyFill="1" applyBorder="1" applyAlignment="1">
      <alignment vertical="center"/>
    </xf>
    <xf numFmtId="0" fontId="91" fillId="0" borderId="0" xfId="0" applyFont="1" applyFill="1" applyAlignment="1">
      <alignment horizontal="center" vertical="center" wrapText="1"/>
    </xf>
    <xf numFmtId="0" fontId="91" fillId="0" borderId="3" xfId="0" applyNumberFormat="1" applyFont="1" applyFill="1" applyBorder="1" applyAlignment="1">
      <alignment horizontal="center" vertical="center"/>
    </xf>
    <xf numFmtId="164" fontId="91" fillId="0" borderId="0" xfId="12" applyNumberFormat="1" applyFont="1" applyFill="1" applyAlignment="1">
      <alignment horizontal="right" vertical="center"/>
    </xf>
    <xf numFmtId="164" fontId="91" fillId="0" borderId="3" xfId="12" applyNumberFormat="1" applyFont="1" applyFill="1" applyBorder="1" applyAlignment="1">
      <alignment horizontal="right" vertical="center"/>
    </xf>
    <xf numFmtId="0" fontId="91" fillId="0" borderId="0" xfId="0" applyFont="1" applyFill="1" applyBorder="1" applyAlignment="1">
      <alignment vertical="center"/>
    </xf>
    <xf numFmtId="0" fontId="90" fillId="0" borderId="7" xfId="0" applyFont="1" applyFill="1" applyBorder="1" applyAlignment="1">
      <alignment vertical="center"/>
    </xf>
    <xf numFmtId="0" fontId="90" fillId="0" borderId="8" xfId="0" applyFont="1" applyFill="1" applyBorder="1" applyAlignment="1">
      <alignment horizontal="center" vertical="center" wrapText="1"/>
    </xf>
    <xf numFmtId="0" fontId="90" fillId="0" borderId="7" xfId="0" applyNumberFormat="1" applyFont="1" applyFill="1" applyBorder="1" applyAlignment="1">
      <alignment horizontal="center" vertical="center"/>
    </xf>
    <xf numFmtId="164" fontId="90" fillId="0" borderId="7" xfId="12" applyNumberFormat="1" applyFont="1" applyFill="1" applyBorder="1" applyAlignment="1">
      <alignment horizontal="right" vertical="center"/>
    </xf>
    <xf numFmtId="0" fontId="90" fillId="0" borderId="0" xfId="0" applyFont="1" applyFill="1" applyBorder="1" applyAlignment="1">
      <alignment vertical="center"/>
    </xf>
    <xf numFmtId="0" fontId="90" fillId="0" borderId="7" xfId="12" applyNumberFormat="1" applyFont="1" applyFill="1" applyBorder="1" applyAlignment="1">
      <alignment horizontal="center" vertical="center"/>
    </xf>
    <xf numFmtId="0" fontId="90" fillId="0" borderId="13" xfId="0" applyFont="1" applyFill="1" applyBorder="1" applyAlignment="1">
      <alignment horizontal="center" vertical="center" wrapText="1"/>
    </xf>
    <xf numFmtId="0" fontId="90" fillId="0" borderId="14" xfId="12" applyNumberFormat="1" applyFont="1" applyFill="1" applyBorder="1" applyAlignment="1">
      <alignment horizontal="center" vertical="center"/>
    </xf>
    <xf numFmtId="0" fontId="91" fillId="0" borderId="0" xfId="0" applyFont="1" applyFill="1" applyAlignment="1">
      <alignment vertical="center"/>
    </xf>
    <xf numFmtId="0" fontId="90" fillId="0" borderId="16" xfId="0" applyFont="1" applyFill="1" applyBorder="1" applyAlignment="1">
      <alignment horizontal="center" vertical="center" wrapText="1"/>
    </xf>
    <xf numFmtId="164" fontId="90" fillId="0" borderId="0" xfId="12" applyNumberFormat="1" applyFont="1" applyFill="1" applyBorder="1" applyAlignment="1">
      <alignment horizontal="right" vertical="center"/>
    </xf>
    <xf numFmtId="164" fontId="90" fillId="0" borderId="3" xfId="12" applyNumberFormat="1" applyFont="1" applyFill="1" applyBorder="1" applyAlignment="1">
      <alignment horizontal="right" vertical="center"/>
    </xf>
    <xf numFmtId="0" fontId="91" fillId="0" borderId="18" xfId="0" applyFont="1" applyFill="1" applyBorder="1" applyAlignment="1">
      <alignment horizontal="center" vertical="center" wrapText="1"/>
    </xf>
    <xf numFmtId="164" fontId="91" fillId="0" borderId="0" xfId="12" applyNumberFormat="1" applyFont="1" applyFill="1" applyAlignment="1">
      <alignment vertical="center" wrapText="1"/>
    </xf>
    <xf numFmtId="164" fontId="91" fillId="0" borderId="3" xfId="12" applyNumberFormat="1" applyFont="1" applyFill="1" applyBorder="1" applyAlignment="1">
      <alignment vertical="center" wrapText="1"/>
    </xf>
    <xf numFmtId="164" fontId="91" fillId="0" borderId="0" xfId="12" applyNumberFormat="1" applyFont="1" applyFill="1" applyAlignment="1">
      <alignment vertical="center"/>
    </xf>
    <xf numFmtId="164" fontId="91" fillId="0" borderId="3" xfId="12" applyNumberFormat="1" applyFont="1" applyFill="1" applyBorder="1" applyAlignment="1">
      <alignment vertical="center"/>
    </xf>
    <xf numFmtId="0" fontId="91" fillId="0" borderId="30" xfId="0" applyFont="1" applyFill="1" applyBorder="1" applyAlignment="1">
      <alignment horizontal="center" vertical="center" wrapText="1"/>
    </xf>
    <xf numFmtId="0" fontId="91" fillId="0" borderId="4" xfId="0" applyNumberFormat="1" applyFont="1" applyFill="1" applyBorder="1" applyAlignment="1">
      <alignment horizontal="center" vertical="center"/>
    </xf>
    <xf numFmtId="3" fontId="91" fillId="0" borderId="4" xfId="0" applyNumberFormat="1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vertical="center"/>
    </xf>
    <xf numFmtId="0" fontId="91" fillId="0" borderId="4" xfId="0" applyFont="1" applyFill="1" applyBorder="1" applyAlignment="1">
      <alignment horizontal="center" vertical="center" wrapText="1"/>
    </xf>
    <xf numFmtId="164" fontId="90" fillId="0" borderId="8" xfId="12" applyNumberFormat="1" applyFont="1" applyFill="1" applyBorder="1" applyAlignment="1">
      <alignment horizontal="right" vertical="center"/>
    </xf>
    <xf numFmtId="0" fontId="91" fillId="0" borderId="3" xfId="0" applyFont="1" applyFill="1" applyBorder="1" applyAlignment="1">
      <alignment horizontal="center" vertical="center" wrapText="1"/>
    </xf>
    <xf numFmtId="0" fontId="90" fillId="0" borderId="16" xfId="0" applyFont="1" applyFill="1" applyBorder="1" applyAlignment="1">
      <alignment vertical="center"/>
    </xf>
    <xf numFmtId="0" fontId="90" fillId="0" borderId="14" xfId="0" applyFont="1" applyFill="1" applyBorder="1" applyAlignment="1">
      <alignment horizontal="center" vertical="center" wrapText="1"/>
    </xf>
    <xf numFmtId="164" fontId="90" fillId="0" borderId="7" xfId="12" applyNumberFormat="1" applyFont="1" applyFill="1" applyBorder="1" applyAlignment="1">
      <alignment horizontal="center" vertical="center"/>
    </xf>
    <xf numFmtId="0" fontId="90" fillId="0" borderId="22" xfId="0" applyNumberFormat="1" applyFont="1" applyFill="1" applyBorder="1" applyAlignment="1">
      <alignment horizontal="center" vertical="center"/>
    </xf>
    <xf numFmtId="0" fontId="22" fillId="0" borderId="14" xfId="33" applyNumberFormat="1" applyFont="1" applyFill="1" applyBorder="1"/>
    <xf numFmtId="43" fontId="22" fillId="0" borderId="14" xfId="33" applyFont="1" applyFill="1" applyBorder="1" applyAlignment="1">
      <alignment wrapText="1"/>
    </xf>
    <xf numFmtId="164" fontId="22" fillId="0" borderId="14" xfId="33" applyNumberFormat="1" applyFont="1" applyFill="1" applyBorder="1"/>
    <xf numFmtId="43" fontId="22" fillId="0" borderId="3" xfId="33" applyFont="1" applyFill="1" applyBorder="1" applyAlignment="1">
      <alignment wrapText="1"/>
    </xf>
    <xf numFmtId="164" fontId="22" fillId="0" borderId="3" xfId="33" applyNumberFormat="1" applyFont="1" applyFill="1" applyBorder="1"/>
    <xf numFmtId="43" fontId="74" fillId="0" borderId="7" xfId="33" applyFont="1" applyFill="1" applyBorder="1"/>
    <xf numFmtId="43" fontId="74" fillId="0" borderId="4" xfId="33" applyFont="1" applyFill="1" applyBorder="1"/>
    <xf numFmtId="164" fontId="74" fillId="0" borderId="4" xfId="33" applyNumberFormat="1" applyFont="1" applyFill="1" applyBorder="1"/>
    <xf numFmtId="43" fontId="74" fillId="0" borderId="7" xfId="33" applyFont="1" applyFill="1" applyBorder="1" applyAlignment="1">
      <alignment horizontal="right"/>
    </xf>
    <xf numFmtId="43" fontId="74" fillId="0" borderId="7" xfId="33" applyFont="1" applyFill="1" applyBorder="1" applyAlignment="1"/>
    <xf numFmtId="164" fontId="74" fillId="0" borderId="7" xfId="33" applyNumberFormat="1" applyFont="1" applyFill="1" applyBorder="1" applyAlignment="1"/>
    <xf numFmtId="0" fontId="74" fillId="0" borderId="0" xfId="33" applyNumberFormat="1" applyFont="1" applyFill="1" applyBorder="1" applyAlignment="1"/>
    <xf numFmtId="43" fontId="74" fillId="0" borderId="0" xfId="33" applyFont="1" applyFill="1" applyBorder="1" applyAlignment="1"/>
    <xf numFmtId="164" fontId="74" fillId="0" borderId="0" xfId="33" applyNumberFormat="1" applyFont="1" applyFill="1" applyBorder="1" applyAlignment="1"/>
    <xf numFmtId="0" fontId="22" fillId="0" borderId="14" xfId="0" applyFont="1" applyFill="1" applyBorder="1" applyAlignment="1">
      <alignment horizontal="center" wrapText="1"/>
    </xf>
    <xf numFmtId="0" fontId="74" fillId="0" borderId="41" xfId="19" applyFont="1" applyFill="1" applyBorder="1" applyAlignment="1">
      <alignment horizontal="center" wrapText="1"/>
    </xf>
    <xf numFmtId="0" fontId="74" fillId="0" borderId="42" xfId="19" applyFont="1" applyFill="1" applyBorder="1" applyAlignment="1">
      <alignment horizontal="center" wrapText="1"/>
    </xf>
    <xf numFmtId="0" fontId="74" fillId="0" borderId="42" xfId="19" applyNumberFormat="1" applyFont="1" applyFill="1" applyBorder="1" applyAlignment="1">
      <alignment horizontal="center" wrapText="1"/>
    </xf>
    <xf numFmtId="0" fontId="74" fillId="0" borderId="42" xfId="19" applyFont="1" applyFill="1" applyBorder="1" applyAlignment="1">
      <alignment horizontal="center" vertical="center" wrapText="1"/>
    </xf>
    <xf numFmtId="0" fontId="74" fillId="0" borderId="42" xfId="19" applyNumberFormat="1" applyFont="1" applyFill="1" applyBorder="1" applyAlignment="1">
      <alignment horizontal="center" vertical="center" wrapText="1"/>
    </xf>
    <xf numFmtId="164" fontId="74" fillId="0" borderId="43" xfId="12" applyNumberFormat="1" applyFont="1" applyFill="1" applyBorder="1" applyAlignment="1">
      <alignment horizontal="center" vertical="center" wrapText="1"/>
    </xf>
    <xf numFmtId="0" fontId="22" fillId="0" borderId="31" xfId="0" applyFont="1" applyFill="1" applyBorder="1"/>
    <xf numFmtId="0" fontId="22" fillId="0" borderId="23" xfId="0" applyFont="1" applyFill="1" applyBorder="1" applyAlignment="1">
      <alignment horizontal="center" wrapText="1"/>
    </xf>
    <xf numFmtId="0" fontId="22" fillId="0" borderId="23" xfId="0" applyFont="1" applyFill="1" applyBorder="1" applyAlignment="1">
      <alignment wrapText="1"/>
    </xf>
    <xf numFmtId="164" fontId="22" fillId="0" borderId="23" xfId="0" applyNumberFormat="1" applyFont="1" applyFill="1" applyBorder="1" applyAlignment="1">
      <alignment horizontal="right" vertical="center" wrapText="1"/>
    </xf>
    <xf numFmtId="0" fontId="74" fillId="0" borderId="42" xfId="0" applyFont="1" applyFill="1" applyBorder="1" applyAlignment="1">
      <alignment horizontal="center" wrapText="1"/>
    </xf>
    <xf numFmtId="164" fontId="74" fillId="0" borderId="8" xfId="12" applyNumberFormat="1" applyFont="1" applyFill="1" applyBorder="1" applyAlignment="1">
      <alignment horizontal="right"/>
    </xf>
    <xf numFmtId="164" fontId="74" fillId="0" borderId="42" xfId="12" applyNumberFormat="1" applyFont="1" applyFill="1" applyBorder="1"/>
    <xf numFmtId="0" fontId="74" fillId="0" borderId="8" xfId="12" applyNumberFormat="1" applyFont="1" applyFill="1" applyBorder="1" applyAlignment="1">
      <alignment horizontal="center" vertical="center"/>
    </xf>
    <xf numFmtId="164" fontId="74" fillId="0" borderId="43" xfId="12" applyNumberFormat="1" applyFont="1" applyFill="1" applyBorder="1" applyAlignment="1">
      <alignment horizontal="right"/>
    </xf>
    <xf numFmtId="0" fontId="74" fillId="0" borderId="41" xfId="0" applyFont="1" applyFill="1" applyBorder="1"/>
    <xf numFmtId="164" fontId="74" fillId="0" borderId="42" xfId="12" applyNumberFormat="1" applyFont="1" applyFill="1" applyBorder="1" applyAlignment="1">
      <alignment horizontal="right"/>
    </xf>
    <xf numFmtId="0" fontId="74" fillId="0" borderId="42" xfId="12" applyNumberFormat="1" applyFont="1" applyFill="1" applyBorder="1" applyAlignment="1">
      <alignment horizontal="center" vertical="center"/>
    </xf>
    <xf numFmtId="164" fontId="74" fillId="0" borderId="42" xfId="0" applyNumberFormat="1" applyFont="1" applyFill="1" applyBorder="1"/>
    <xf numFmtId="0" fontId="74" fillId="0" borderId="42" xfId="0" applyNumberFormat="1" applyFont="1" applyFill="1" applyBorder="1" applyAlignment="1">
      <alignment horizontal="center" vertical="center"/>
    </xf>
    <xf numFmtId="0" fontId="22" fillId="0" borderId="2" xfId="0" applyFont="1" applyFill="1" applyBorder="1"/>
    <xf numFmtId="0" fontId="22" fillId="0" borderId="2" xfId="0" applyFont="1" applyFill="1" applyBorder="1" applyAlignment="1">
      <alignment horizontal="center" wrapText="1"/>
    </xf>
    <xf numFmtId="164" fontId="74" fillId="0" borderId="2" xfId="12" applyNumberFormat="1" applyFont="1" applyFill="1" applyBorder="1" applyAlignment="1">
      <alignment horizontal="right"/>
    </xf>
    <xf numFmtId="0" fontId="22" fillId="0" borderId="2" xfId="0" applyFont="1" applyFill="1" applyBorder="1" applyAlignment="1">
      <alignment wrapText="1"/>
    </xf>
    <xf numFmtId="0" fontId="74" fillId="0" borderId="2" xfId="0" applyNumberFormat="1" applyFont="1" applyFill="1" applyBorder="1" applyAlignment="1">
      <alignment horizontal="center" vertical="center"/>
    </xf>
    <xf numFmtId="164" fontId="74" fillId="0" borderId="2" xfId="0" applyNumberFormat="1" applyFont="1" applyFill="1" applyBorder="1" applyAlignment="1">
      <alignment horizontal="right"/>
    </xf>
    <xf numFmtId="0" fontId="22" fillId="0" borderId="24" xfId="0" applyFont="1" applyFill="1" applyBorder="1"/>
    <xf numFmtId="0" fontId="22" fillId="0" borderId="24" xfId="0" applyFont="1" applyFill="1" applyBorder="1" applyAlignment="1">
      <alignment horizontal="center" wrapText="1"/>
    </xf>
    <xf numFmtId="164" fontId="22" fillId="0" borderId="24" xfId="12" applyNumberFormat="1" applyFont="1" applyFill="1" applyBorder="1" applyAlignment="1">
      <alignment horizontal="right"/>
    </xf>
    <xf numFmtId="0" fontId="22" fillId="0" borderId="24" xfId="0" applyFont="1" applyFill="1" applyBorder="1" applyAlignment="1">
      <alignment wrapText="1"/>
    </xf>
    <xf numFmtId="0" fontId="22" fillId="0" borderId="24" xfId="0" applyNumberFormat="1" applyFont="1" applyFill="1" applyBorder="1" applyAlignment="1">
      <alignment horizontal="center" vertical="center"/>
    </xf>
    <xf numFmtId="0" fontId="74" fillId="0" borderId="20" xfId="0" applyFont="1" applyFill="1" applyBorder="1"/>
    <xf numFmtId="0" fontId="74" fillId="0" borderId="52" xfId="0" applyFont="1" applyFill="1" applyBorder="1" applyAlignment="1">
      <alignment horizontal="center" wrapText="1"/>
    </xf>
    <xf numFmtId="164" fontId="74" fillId="0" borderId="52" xfId="12" applyNumberFormat="1" applyFont="1" applyFill="1" applyBorder="1" applyAlignment="1">
      <alignment horizontal="right"/>
    </xf>
    <xf numFmtId="0" fontId="74" fillId="0" borderId="52" xfId="12" applyNumberFormat="1" applyFont="1" applyFill="1" applyBorder="1" applyAlignment="1">
      <alignment horizontal="center" vertical="center"/>
    </xf>
    <xf numFmtId="164" fontId="74" fillId="0" borderId="12" xfId="12" applyNumberFormat="1" applyFont="1" applyFill="1" applyBorder="1" applyAlignment="1">
      <alignment horizontal="right"/>
    </xf>
    <xf numFmtId="0" fontId="74" fillId="0" borderId="41" xfId="0" applyFont="1" applyFill="1" applyBorder="1" applyAlignment="1">
      <alignment horizontal="left"/>
    </xf>
    <xf numFmtId="4" fontId="74" fillId="0" borderId="42" xfId="0" applyNumberFormat="1" applyFont="1" applyFill="1" applyBorder="1"/>
    <xf numFmtId="0" fontId="74" fillId="0" borderId="42" xfId="0" applyNumberFormat="1" applyFont="1" applyFill="1" applyBorder="1" applyAlignment="1">
      <alignment horizontal="center"/>
    </xf>
    <xf numFmtId="0" fontId="74" fillId="0" borderId="0" xfId="0" applyFont="1" applyFill="1" applyBorder="1" applyAlignment="1">
      <alignment horizontal="left"/>
    </xf>
    <xf numFmtId="4" fontId="74" fillId="0" borderId="0" xfId="0" applyNumberFormat="1" applyFont="1" applyFill="1" applyBorder="1"/>
    <xf numFmtId="164" fontId="91" fillId="0" borderId="18" xfId="12" applyNumberFormat="1" applyFont="1" applyFill="1" applyBorder="1" applyAlignment="1">
      <alignment vertical="center"/>
    </xf>
    <xf numFmtId="164" fontId="22" fillId="0" borderId="0" xfId="0" applyNumberFormat="1" applyFont="1" applyFill="1" applyBorder="1" applyAlignment="1">
      <alignment vertical="center"/>
    </xf>
    <xf numFmtId="164" fontId="74" fillId="0" borderId="0" xfId="0" applyNumberFormat="1" applyFont="1" applyFill="1" applyBorder="1" applyAlignment="1">
      <alignment vertical="center"/>
    </xf>
    <xf numFmtId="3" fontId="22" fillId="0" borderId="0" xfId="0" applyNumberFormat="1" applyFont="1" applyFill="1" applyBorder="1" applyAlignment="1">
      <alignment vertical="center"/>
    </xf>
    <xf numFmtId="0" fontId="88" fillId="0" borderId="0" xfId="0" applyFont="1" applyFill="1" applyAlignment="1">
      <alignment horizontal="center" vertical="center" wrapText="1"/>
    </xf>
    <xf numFmtId="164" fontId="88" fillId="0" borderId="0" xfId="12" applyNumberFormat="1" applyFont="1" applyFill="1" applyAlignment="1">
      <alignment horizontal="right" vertical="center"/>
    </xf>
    <xf numFmtId="0" fontId="89" fillId="0" borderId="7" xfId="0" applyFont="1" applyFill="1" applyBorder="1" applyAlignment="1">
      <alignment vertical="center"/>
    </xf>
    <xf numFmtId="0" fontId="89" fillId="0" borderId="8" xfId="0" applyFont="1" applyFill="1" applyBorder="1" applyAlignment="1">
      <alignment horizontal="center" vertical="center" wrapText="1"/>
    </xf>
    <xf numFmtId="0" fontId="89" fillId="0" borderId="7" xfId="12" applyNumberFormat="1" applyFont="1" applyFill="1" applyBorder="1" applyAlignment="1">
      <alignment horizontal="center" vertical="center"/>
    </xf>
    <xf numFmtId="164" fontId="89" fillId="0" borderId="7" xfId="12" applyNumberFormat="1" applyFont="1" applyFill="1" applyBorder="1" applyAlignment="1">
      <alignment horizontal="right" vertical="center"/>
    </xf>
    <xf numFmtId="3" fontId="81" fillId="0" borderId="18" xfId="0" applyNumberFormat="1" applyFont="1" applyFill="1" applyBorder="1" applyAlignment="1">
      <alignment vertical="center"/>
    </xf>
    <xf numFmtId="3" fontId="81" fillId="0" borderId="0" xfId="0" applyNumberFormat="1" applyFont="1" applyFill="1" applyBorder="1" applyAlignment="1">
      <alignment vertical="center"/>
    </xf>
    <xf numFmtId="0" fontId="81" fillId="0" borderId="3" xfId="0" applyNumberFormat="1" applyFont="1" applyFill="1" applyBorder="1" applyAlignment="1">
      <alignment vertical="center"/>
    </xf>
    <xf numFmtId="164" fontId="81" fillId="0" borderId="0" xfId="12" applyNumberFormat="1" applyFont="1" applyFill="1" applyAlignment="1">
      <alignment horizontal="right" vertical="center" wrapText="1"/>
    </xf>
    <xf numFmtId="164" fontId="81" fillId="0" borderId="3" xfId="12" applyNumberFormat="1" applyFont="1" applyFill="1" applyBorder="1" applyAlignment="1">
      <alignment horizontal="right" vertical="center" wrapText="1"/>
    </xf>
    <xf numFmtId="0" fontId="81" fillId="0" borderId="0" xfId="0" applyFont="1" applyFill="1" applyBorder="1" applyAlignment="1">
      <alignment horizontal="center" vertical="center" wrapText="1"/>
    </xf>
    <xf numFmtId="0" fontId="81" fillId="0" borderId="4" xfId="0" applyNumberFormat="1" applyFont="1" applyFill="1" applyBorder="1" applyAlignment="1">
      <alignment horizontal="center" vertical="center"/>
    </xf>
    <xf numFmtId="0" fontId="82" fillId="0" borderId="11" xfId="0" applyFont="1" applyFill="1" applyBorder="1" applyAlignment="1">
      <alignment vertical="center"/>
    </xf>
    <xf numFmtId="0" fontId="81" fillId="0" borderId="8" xfId="0" applyFont="1" applyFill="1" applyBorder="1" applyAlignment="1">
      <alignment horizontal="center" vertical="center" wrapText="1"/>
    </xf>
    <xf numFmtId="0" fontId="81" fillId="0" borderId="7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vertical="center"/>
    </xf>
    <xf numFmtId="0" fontId="74" fillId="0" borderId="8" xfId="19" applyNumberFormat="1" applyFont="1" applyFill="1" applyBorder="1" applyAlignment="1">
      <alignment horizontal="center" wrapText="1"/>
    </xf>
    <xf numFmtId="0" fontId="22" fillId="0" borderId="17" xfId="0" applyNumberFormat="1" applyFont="1" applyFill="1" applyBorder="1" applyAlignment="1">
      <alignment horizontal="center" wrapText="1"/>
    </xf>
    <xf numFmtId="0" fontId="74" fillId="0" borderId="43" xfId="0" applyNumberFormat="1" applyFont="1" applyFill="1" applyBorder="1" applyAlignment="1">
      <alignment horizontal="center" wrapText="1"/>
    </xf>
    <xf numFmtId="0" fontId="22" fillId="0" borderId="12" xfId="0" applyNumberFormat="1" applyFont="1" applyFill="1" applyBorder="1" applyAlignment="1">
      <alignment horizontal="center" wrapText="1"/>
    </xf>
    <xf numFmtId="3" fontId="22" fillId="0" borderId="14" xfId="0" applyNumberFormat="1" applyFont="1" applyFill="1" applyBorder="1"/>
    <xf numFmtId="0" fontId="22" fillId="0" borderId="4" xfId="0" applyFont="1" applyFill="1" applyBorder="1"/>
    <xf numFmtId="0" fontId="22" fillId="0" borderId="19" xfId="0" applyNumberFormat="1" applyFont="1" applyFill="1" applyBorder="1" applyAlignment="1">
      <alignment horizontal="center" wrapText="1"/>
    </xf>
    <xf numFmtId="3" fontId="22" fillId="0" borderId="4" xfId="0" applyNumberFormat="1" applyFont="1" applyFill="1" applyBorder="1"/>
    <xf numFmtId="0" fontId="74" fillId="0" borderId="14" xfId="0" applyFont="1" applyFill="1" applyBorder="1"/>
    <xf numFmtId="0" fontId="74" fillId="0" borderId="52" xfId="0" applyNumberFormat="1" applyFont="1" applyFill="1" applyBorder="1" applyAlignment="1">
      <alignment horizontal="center" wrapText="1"/>
    </xf>
    <xf numFmtId="164" fontId="74" fillId="0" borderId="52" xfId="12" applyNumberFormat="1" applyFont="1" applyFill="1" applyBorder="1"/>
    <xf numFmtId="0" fontId="74" fillId="0" borderId="20" xfId="12" applyNumberFormat="1" applyFont="1" applyFill="1" applyBorder="1" applyAlignment="1">
      <alignment horizontal="center"/>
    </xf>
    <xf numFmtId="0" fontId="74" fillId="0" borderId="7" xfId="0" applyFont="1" applyFill="1" applyBorder="1" applyAlignment="1">
      <alignment horizontal="center" wrapText="1"/>
    </xf>
    <xf numFmtId="0" fontId="74" fillId="0" borderId="58" xfId="0" applyNumberFormat="1" applyFont="1" applyFill="1" applyBorder="1" applyAlignment="1">
      <alignment horizontal="center" wrapText="1"/>
    </xf>
    <xf numFmtId="0" fontId="74" fillId="0" borderId="42" xfId="12" applyNumberFormat="1" applyFont="1" applyFill="1" applyBorder="1" applyAlignment="1">
      <alignment horizontal="center"/>
    </xf>
    <xf numFmtId="164" fontId="74" fillId="0" borderId="43" xfId="12" applyNumberFormat="1" applyFont="1" applyFill="1" applyBorder="1"/>
    <xf numFmtId="0" fontId="74" fillId="0" borderId="18" xfId="0" applyFont="1" applyFill="1" applyBorder="1"/>
    <xf numFmtId="0" fontId="74" fillId="0" borderId="23" xfId="0" applyFont="1" applyFill="1" applyBorder="1" applyAlignment="1">
      <alignment horizontal="center" wrapText="1"/>
    </xf>
    <xf numFmtId="0" fontId="74" fillId="0" borderId="23" xfId="0" applyNumberFormat="1" applyFont="1" applyFill="1" applyBorder="1" applyAlignment="1">
      <alignment horizontal="center" wrapText="1"/>
    </xf>
    <xf numFmtId="164" fontId="74" fillId="0" borderId="23" xfId="12" applyNumberFormat="1" applyFont="1" applyFill="1" applyBorder="1"/>
    <xf numFmtId="0" fontId="74" fillId="0" borderId="23" xfId="12" applyNumberFormat="1" applyFont="1" applyFill="1" applyBorder="1" applyAlignment="1">
      <alignment horizontal="center"/>
    </xf>
    <xf numFmtId="164" fontId="74" fillId="0" borderId="17" xfId="12" applyNumberFormat="1" applyFont="1" applyFill="1" applyBorder="1"/>
    <xf numFmtId="0" fontId="22" fillId="0" borderId="1" xfId="0" applyFont="1" applyFill="1" applyBorder="1"/>
    <xf numFmtId="0" fontId="74" fillId="0" borderId="1" xfId="0" applyFont="1" applyFill="1" applyBorder="1" applyAlignment="1">
      <alignment horizontal="center" wrapText="1"/>
    </xf>
    <xf numFmtId="0" fontId="74" fillId="0" borderId="1" xfId="0" applyNumberFormat="1" applyFont="1" applyFill="1" applyBorder="1" applyAlignment="1">
      <alignment horizontal="center" wrapText="1"/>
    </xf>
    <xf numFmtId="164" fontId="74" fillId="0" borderId="1" xfId="12" applyNumberFormat="1" applyFont="1" applyFill="1" applyBorder="1"/>
    <xf numFmtId="0" fontId="74" fillId="0" borderId="1" xfId="12" applyNumberFormat="1" applyFont="1" applyFill="1" applyBorder="1" applyAlignment="1">
      <alignment horizontal="center"/>
    </xf>
    <xf numFmtId="164" fontId="22" fillId="0" borderId="1" xfId="12" applyNumberFormat="1" applyFont="1" applyFill="1" applyBorder="1"/>
    <xf numFmtId="164" fontId="22" fillId="0" borderId="0" xfId="12" applyNumberFormat="1" applyFont="1" applyFill="1" applyBorder="1"/>
    <xf numFmtId="0" fontId="22" fillId="0" borderId="65" xfId="0" applyFont="1" applyFill="1" applyBorder="1"/>
    <xf numFmtId="0" fontId="74" fillId="0" borderId="24" xfId="0" applyFont="1" applyFill="1" applyBorder="1" applyAlignment="1">
      <alignment horizontal="center" wrapText="1"/>
    </xf>
    <xf numFmtId="0" fontId="74" fillId="0" borderId="24" xfId="0" applyNumberFormat="1" applyFont="1" applyFill="1" applyBorder="1" applyAlignment="1">
      <alignment horizontal="center" wrapText="1"/>
    </xf>
    <xf numFmtId="164" fontId="74" fillId="0" borderId="24" xfId="12" applyNumberFormat="1" applyFont="1" applyFill="1" applyBorder="1"/>
    <xf numFmtId="0" fontId="74" fillId="0" borderId="24" xfId="12" applyNumberFormat="1" applyFont="1" applyFill="1" applyBorder="1" applyAlignment="1">
      <alignment horizontal="center"/>
    </xf>
    <xf numFmtId="164" fontId="22" fillId="0" borderId="57" xfId="12" applyNumberFormat="1" applyFont="1" applyFill="1" applyBorder="1"/>
    <xf numFmtId="0" fontId="74" fillId="0" borderId="42" xfId="0" applyNumberFormat="1" applyFont="1" applyFill="1" applyBorder="1" applyAlignment="1">
      <alignment horizontal="center" wrapText="1"/>
    </xf>
    <xf numFmtId="0" fontId="74" fillId="0" borderId="41" xfId="0" applyFont="1" applyFill="1" applyBorder="1" applyAlignment="1">
      <alignment horizontal="center" wrapText="1"/>
    </xf>
    <xf numFmtId="0" fontId="22" fillId="0" borderId="42" xfId="0" applyFont="1" applyFill="1" applyBorder="1" applyAlignment="1">
      <alignment horizontal="center" wrapText="1"/>
    </xf>
    <xf numFmtId="0" fontId="22" fillId="0" borderId="43" xfId="0" applyNumberFormat="1" applyFont="1" applyFill="1" applyBorder="1" applyAlignment="1">
      <alignment horizontal="center" wrapText="1"/>
    </xf>
    <xf numFmtId="164" fontId="22" fillId="0" borderId="7" xfId="12" applyNumberFormat="1" applyFont="1" applyFill="1" applyBorder="1" applyAlignment="1">
      <alignment horizontal="right"/>
    </xf>
    <xf numFmtId="0" fontId="22" fillId="0" borderId="7" xfId="12" applyNumberFormat="1" applyFont="1" applyFill="1" applyBorder="1" applyAlignment="1">
      <alignment horizontal="center"/>
    </xf>
    <xf numFmtId="164" fontId="74" fillId="0" borderId="7" xfId="12" applyNumberFormat="1" applyFont="1" applyFill="1" applyBorder="1" applyAlignment="1">
      <alignment horizontal="right" wrapText="1"/>
    </xf>
    <xf numFmtId="0" fontId="74" fillId="0" borderId="0" xfId="0" applyNumberFormat="1" applyFont="1" applyFill="1" applyBorder="1" applyAlignment="1">
      <alignment horizontal="center" wrapText="1"/>
    </xf>
    <xf numFmtId="164" fontId="74" fillId="0" borderId="0" xfId="12" applyNumberFormat="1" applyFont="1" applyFill="1" applyBorder="1" applyAlignment="1">
      <alignment horizontal="right" wrapText="1"/>
    </xf>
    <xf numFmtId="164" fontId="74" fillId="0" borderId="0" xfId="0" applyNumberFormat="1" applyFont="1" applyFill="1" applyBorder="1"/>
    <xf numFmtId="0" fontId="74" fillId="0" borderId="3" xfId="0" applyNumberFormat="1" applyFont="1" applyFill="1" applyBorder="1"/>
    <xf numFmtId="0" fontId="74" fillId="0" borderId="0" xfId="12" applyNumberFormat="1" applyFont="1" applyFill="1" applyBorder="1" applyAlignment="1">
      <alignment horizontal="right" wrapText="1"/>
    </xf>
    <xf numFmtId="0" fontId="22" fillId="0" borderId="8" xfId="0" applyFont="1" applyFill="1" applyBorder="1" applyAlignment="1">
      <alignment horizontal="center" wrapText="1"/>
    </xf>
    <xf numFmtId="4" fontId="22" fillId="0" borderId="14" xfId="0" applyNumberFormat="1" applyFont="1" applyFill="1" applyBorder="1" applyAlignment="1">
      <alignment wrapText="1"/>
    </xf>
    <xf numFmtId="4" fontId="22" fillId="0" borderId="3" xfId="0" applyNumberFormat="1" applyFont="1" applyFill="1" applyBorder="1" applyAlignment="1">
      <alignment wrapText="1"/>
    </xf>
    <xf numFmtId="164" fontId="22" fillId="0" borderId="3" xfId="12" applyNumberFormat="1" applyFont="1" applyFill="1" applyBorder="1" applyAlignment="1">
      <alignment wrapText="1"/>
    </xf>
    <xf numFmtId="0" fontId="74" fillId="0" borderId="7" xfId="12" applyNumberFormat="1" applyFont="1" applyFill="1" applyBorder="1" applyAlignment="1">
      <alignment horizontal="right" wrapText="1"/>
    </xf>
    <xf numFmtId="164" fontId="22" fillId="0" borderId="14" xfId="0" applyNumberFormat="1" applyFont="1" applyFill="1" applyBorder="1" applyAlignment="1">
      <alignment wrapText="1"/>
    </xf>
    <xf numFmtId="164" fontId="22" fillId="0" borderId="3" xfId="0" applyNumberFormat="1" applyFont="1" applyFill="1" applyBorder="1" applyAlignment="1">
      <alignment wrapText="1"/>
    </xf>
    <xf numFmtId="0" fontId="74" fillId="0" borderId="7" xfId="12" applyNumberFormat="1" applyFont="1" applyFill="1" applyBorder="1" applyAlignment="1">
      <alignment horizontal="center" wrapText="1"/>
    </xf>
    <xf numFmtId="0" fontId="93" fillId="0" borderId="0" xfId="0" applyFont="1" applyFill="1"/>
    <xf numFmtId="0" fontId="82" fillId="0" borderId="7" xfId="19" applyFont="1" applyFill="1" applyBorder="1" applyAlignment="1">
      <alignment horizontal="center" vertical="center" wrapText="1"/>
    </xf>
    <xf numFmtId="0" fontId="82" fillId="0" borderId="8" xfId="19" applyFont="1" applyFill="1" applyBorder="1" applyAlignment="1">
      <alignment horizontal="center" vertical="center" wrapText="1"/>
    </xf>
    <xf numFmtId="0" fontId="82" fillId="0" borderId="7" xfId="19" applyNumberFormat="1" applyFont="1" applyFill="1" applyBorder="1" applyAlignment="1">
      <alignment horizontal="center" vertical="center" wrapText="1"/>
    </xf>
    <xf numFmtId="164" fontId="82" fillId="0" borderId="7" xfId="33" applyNumberFormat="1" applyFont="1" applyFill="1" applyBorder="1" applyAlignment="1">
      <alignment horizontal="center" vertical="center" wrapText="1"/>
    </xf>
    <xf numFmtId="164" fontId="82" fillId="0" borderId="7" xfId="12" applyNumberFormat="1" applyFont="1" applyFill="1" applyBorder="1" applyAlignment="1">
      <alignment horizontal="center" vertical="center" wrapText="1"/>
    </xf>
    <xf numFmtId="0" fontId="81" fillId="0" borderId="14" xfId="0" applyFont="1" applyFill="1" applyBorder="1"/>
    <xf numFmtId="0" fontId="81" fillId="0" borderId="15" xfId="0" applyFont="1" applyFill="1" applyBorder="1" applyAlignment="1">
      <alignment horizontal="center" wrapText="1"/>
    </xf>
    <xf numFmtId="0" fontId="81" fillId="0" borderId="3" xfId="33" applyNumberFormat="1" applyFont="1" applyFill="1" applyBorder="1" applyAlignment="1">
      <alignment horizontal="center"/>
    </xf>
    <xf numFmtId="164" fontId="81" fillId="0" borderId="3" xfId="33" applyNumberFormat="1" applyFont="1" applyFill="1" applyBorder="1" applyAlignment="1">
      <alignment horizontal="right"/>
    </xf>
    <xf numFmtId="0" fontId="81" fillId="0" borderId="0" xfId="0" applyFont="1" applyFill="1"/>
    <xf numFmtId="0" fontId="81" fillId="0" borderId="3" xfId="0" applyFont="1" applyFill="1" applyBorder="1"/>
    <xf numFmtId="0" fontId="81" fillId="0" borderId="6" xfId="0" applyFont="1" applyFill="1" applyBorder="1" applyAlignment="1">
      <alignment horizontal="center" wrapText="1"/>
    </xf>
    <xf numFmtId="0" fontId="82" fillId="0" borderId="7" xfId="0" applyFont="1" applyFill="1" applyBorder="1"/>
    <xf numFmtId="0" fontId="82" fillId="0" borderId="22" xfId="0" applyFont="1" applyFill="1" applyBorder="1" applyAlignment="1">
      <alignment horizontal="center" wrapText="1"/>
    </xf>
    <xf numFmtId="0" fontId="82" fillId="0" borderId="7" xfId="33" applyNumberFormat="1" applyFont="1" applyFill="1" applyBorder="1" applyAlignment="1">
      <alignment horizontal="center"/>
    </xf>
    <xf numFmtId="164" fontId="82" fillId="0" borderId="7" xfId="33" applyNumberFormat="1" applyFont="1" applyFill="1" applyBorder="1" applyAlignment="1">
      <alignment horizontal="right"/>
    </xf>
    <xf numFmtId="0" fontId="82" fillId="0" borderId="7" xfId="33" applyNumberFormat="1" applyFont="1" applyFill="1" applyBorder="1" applyAlignment="1">
      <alignment horizontal="center" vertical="top"/>
    </xf>
    <xf numFmtId="0" fontId="82" fillId="0" borderId="4" xfId="0" applyFont="1" applyFill="1" applyBorder="1"/>
    <xf numFmtId="0" fontId="82" fillId="0" borderId="26" xfId="0" applyFont="1" applyFill="1" applyBorder="1" applyAlignment="1">
      <alignment horizontal="center" wrapText="1"/>
    </xf>
    <xf numFmtId="0" fontId="82" fillId="0" borderId="3" xfId="33" applyNumberFormat="1" applyFont="1" applyFill="1" applyBorder="1" applyAlignment="1">
      <alignment horizontal="center"/>
    </xf>
    <xf numFmtId="164" fontId="82" fillId="0" borderId="3" xfId="33" applyNumberFormat="1" applyFont="1" applyFill="1" applyBorder="1" applyAlignment="1">
      <alignment horizontal="right"/>
    </xf>
    <xf numFmtId="164" fontId="82" fillId="0" borderId="4" xfId="33" applyNumberFormat="1" applyFont="1" applyFill="1" applyBorder="1" applyAlignment="1">
      <alignment horizontal="right"/>
    </xf>
    <xf numFmtId="0" fontId="81" fillId="0" borderId="18" xfId="0" applyFont="1" applyFill="1" applyBorder="1"/>
    <xf numFmtId="0" fontId="82" fillId="0" borderId="16" xfId="33" applyNumberFormat="1" applyFont="1" applyFill="1" applyBorder="1" applyAlignment="1">
      <alignment horizontal="center"/>
    </xf>
    <xf numFmtId="164" fontId="82" fillId="0" borderId="14" xfId="33" applyNumberFormat="1" applyFont="1" applyFill="1" applyBorder="1" applyAlignment="1">
      <alignment horizontal="right"/>
    </xf>
    <xf numFmtId="0" fontId="81" fillId="0" borderId="15" xfId="0" applyNumberFormat="1" applyFont="1" applyFill="1" applyBorder="1" applyAlignment="1">
      <alignment horizontal="center"/>
    </xf>
    <xf numFmtId="164" fontId="82" fillId="0" borderId="6" xfId="33" applyNumberFormat="1" applyFont="1" applyFill="1" applyBorder="1" applyAlignment="1">
      <alignment horizontal="right"/>
    </xf>
    <xf numFmtId="0" fontId="81" fillId="0" borderId="18" xfId="0" applyNumberFormat="1" applyFont="1" applyFill="1" applyBorder="1" applyAlignment="1">
      <alignment vertical="center"/>
    </xf>
    <xf numFmtId="3" fontId="81" fillId="0" borderId="3" xfId="0" applyNumberFormat="1" applyFont="1" applyFill="1" applyBorder="1" applyAlignment="1">
      <alignment horizontal="right" vertical="center"/>
    </xf>
    <xf numFmtId="0" fontId="81" fillId="0" borderId="6" xfId="0" applyNumberFormat="1" applyFont="1" applyFill="1" applyBorder="1" applyAlignment="1">
      <alignment horizontal="center"/>
    </xf>
    <xf numFmtId="164" fontId="81" fillId="0" borderId="6" xfId="0" applyNumberFormat="1" applyFont="1" applyFill="1" applyBorder="1" applyAlignment="1">
      <alignment horizontal="right"/>
    </xf>
    <xf numFmtId="0" fontId="81" fillId="0" borderId="6" xfId="0" applyFont="1" applyFill="1" applyBorder="1"/>
    <xf numFmtId="0" fontId="81" fillId="0" borderId="6" xfId="0" applyNumberFormat="1" applyFont="1" applyFill="1" applyBorder="1" applyAlignment="1">
      <alignment horizontal="center" wrapText="1"/>
    </xf>
    <xf numFmtId="0" fontId="81" fillId="0" borderId="18" xfId="0" applyNumberFormat="1" applyFont="1" applyFill="1" applyBorder="1" applyAlignment="1">
      <alignment horizontal="center" vertical="center"/>
    </xf>
    <xf numFmtId="0" fontId="81" fillId="0" borderId="30" xfId="0" applyNumberFormat="1" applyFont="1" applyFill="1" applyBorder="1" applyAlignment="1">
      <alignment horizontal="center"/>
    </xf>
    <xf numFmtId="3" fontId="81" fillId="0" borderId="4" xfId="0" applyNumberFormat="1" applyFont="1" applyFill="1" applyBorder="1" applyAlignment="1">
      <alignment horizontal="right"/>
    </xf>
    <xf numFmtId="0" fontId="81" fillId="0" borderId="26" xfId="0" applyNumberFormat="1" applyFont="1" applyFill="1" applyBorder="1" applyAlignment="1">
      <alignment horizontal="center"/>
    </xf>
    <xf numFmtId="0" fontId="82" fillId="0" borderId="11" xfId="0" applyFont="1" applyFill="1" applyBorder="1"/>
    <xf numFmtId="0" fontId="81" fillId="0" borderId="22" xfId="0" applyFont="1" applyFill="1" applyBorder="1" applyAlignment="1">
      <alignment horizontal="center" wrapText="1"/>
    </xf>
    <xf numFmtId="0" fontId="82" fillId="0" borderId="4" xfId="33" applyNumberFormat="1" applyFont="1" applyFill="1" applyBorder="1" applyAlignment="1">
      <alignment horizontal="center"/>
    </xf>
    <xf numFmtId="164" fontId="82" fillId="0" borderId="7" xfId="33" applyNumberFormat="1" applyFont="1" applyFill="1" applyBorder="1" applyAlignment="1">
      <alignment horizontal="center"/>
    </xf>
    <xf numFmtId="0" fontId="81" fillId="0" borderId="4" xfId="33" applyNumberFormat="1" applyFont="1" applyFill="1" applyBorder="1" applyAlignment="1">
      <alignment horizontal="center"/>
    </xf>
    <xf numFmtId="164" fontId="81" fillId="0" borderId="4" xfId="33" applyNumberFormat="1" applyFont="1" applyFill="1" applyBorder="1" applyAlignment="1">
      <alignment horizontal="right"/>
    </xf>
    <xf numFmtId="0" fontId="92" fillId="0" borderId="11" xfId="0" applyFont="1" applyFill="1" applyBorder="1"/>
    <xf numFmtId="0" fontId="92" fillId="0" borderId="22" xfId="0" applyFont="1" applyFill="1" applyBorder="1" applyAlignment="1">
      <alignment horizontal="center" wrapText="1"/>
    </xf>
    <xf numFmtId="0" fontId="92" fillId="0" borderId="7" xfId="33" applyNumberFormat="1" applyFont="1" applyFill="1" applyBorder="1" applyAlignment="1">
      <alignment horizontal="center"/>
    </xf>
    <xf numFmtId="164" fontId="92" fillId="0" borderId="7" xfId="33" applyNumberFormat="1" applyFont="1" applyFill="1" applyBorder="1" applyAlignment="1">
      <alignment horizontal="right"/>
    </xf>
    <xf numFmtId="164" fontId="92" fillId="0" borderId="22" xfId="33" applyNumberFormat="1" applyFont="1" applyFill="1" applyBorder="1" applyAlignment="1">
      <alignment horizontal="right"/>
    </xf>
    <xf numFmtId="0" fontId="93" fillId="0" borderId="0" xfId="0" applyFont="1" applyFill="1" applyBorder="1" applyAlignment="1">
      <alignment vertical="center"/>
    </xf>
    <xf numFmtId="0" fontId="74" fillId="0" borderId="7" xfId="36" applyFont="1" applyFill="1" applyBorder="1" applyAlignment="1">
      <alignment horizontal="center" wrapText="1"/>
    </xf>
    <xf numFmtId="0" fontId="74" fillId="0" borderId="8" xfId="36" applyFont="1" applyFill="1" applyBorder="1" applyAlignment="1">
      <alignment horizontal="center" wrapText="1"/>
    </xf>
    <xf numFmtId="0" fontId="74" fillId="0" borderId="7" xfId="36" applyFont="1" applyFill="1" applyBorder="1" applyAlignment="1">
      <alignment horizontal="center" vertical="center" wrapText="1"/>
    </xf>
    <xf numFmtId="0" fontId="74" fillId="0" borderId="7" xfId="36" applyNumberFormat="1" applyFont="1" applyFill="1" applyBorder="1" applyAlignment="1">
      <alignment horizontal="center" vertical="center" wrapText="1"/>
    </xf>
    <xf numFmtId="164" fontId="74" fillId="0" borderId="7" xfId="38" applyNumberFormat="1" applyFont="1" applyFill="1" applyBorder="1" applyAlignment="1">
      <alignment horizontal="center" vertical="center" wrapText="1"/>
    </xf>
    <xf numFmtId="164" fontId="74" fillId="0" borderId="7" xfId="38" applyNumberFormat="1" applyFont="1" applyFill="1" applyBorder="1"/>
    <xf numFmtId="0" fontId="74" fillId="0" borderId="7" xfId="38" applyNumberFormat="1" applyFont="1" applyFill="1" applyBorder="1" applyAlignment="1">
      <alignment horizontal="center"/>
    </xf>
    <xf numFmtId="164" fontId="22" fillId="0" borderId="4" xfId="38" applyNumberFormat="1" applyFont="1" applyFill="1" applyBorder="1" applyAlignment="1">
      <alignment horizontal="right"/>
    </xf>
    <xf numFmtId="164" fontId="22" fillId="0" borderId="14" xfId="38" applyNumberFormat="1" applyFont="1" applyFill="1" applyBorder="1" applyAlignment="1">
      <alignment horizontal="right"/>
    </xf>
    <xf numFmtId="164" fontId="74" fillId="0" borderId="4" xfId="38" applyNumberFormat="1" applyFont="1" applyFill="1" applyBorder="1" applyAlignment="1">
      <alignment horizontal="right"/>
    </xf>
    <xf numFmtId="3" fontId="74" fillId="0" borderId="7" xfId="0" applyNumberFormat="1" applyFont="1" applyFill="1" applyBorder="1" applyAlignment="1">
      <alignment horizontal="right"/>
    </xf>
    <xf numFmtId="0" fontId="74" fillId="0" borderId="13" xfId="36" applyFont="1" applyFill="1" applyBorder="1" applyAlignment="1">
      <alignment horizontal="center" wrapText="1"/>
    </xf>
    <xf numFmtId="0" fontId="74" fillId="0" borderId="14" xfId="36" applyFont="1" applyFill="1" applyBorder="1" applyAlignment="1">
      <alignment horizontal="center" wrapText="1"/>
    </xf>
    <xf numFmtId="164" fontId="74" fillId="0" borderId="14" xfId="38" applyNumberFormat="1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wrapText="1"/>
    </xf>
    <xf numFmtId="0" fontId="22" fillId="0" borderId="15" xfId="0" applyFont="1" applyFill="1" applyBorder="1" applyAlignment="1">
      <alignment wrapText="1"/>
    </xf>
    <xf numFmtId="0" fontId="22" fillId="0" borderId="16" xfId="0" applyNumberFormat="1" applyFont="1" applyFill="1" applyBorder="1" applyAlignment="1">
      <alignment horizontal="center"/>
    </xf>
    <xf numFmtId="0" fontId="22" fillId="0" borderId="18" xfId="0" applyFont="1" applyFill="1" applyBorder="1" applyAlignment="1">
      <alignment horizontal="center" wrapText="1"/>
    </xf>
    <xf numFmtId="0" fontId="22" fillId="0" borderId="30" xfId="0" applyFont="1" applyFill="1" applyBorder="1" applyAlignment="1">
      <alignment horizontal="center" wrapText="1"/>
    </xf>
    <xf numFmtId="164" fontId="74" fillId="0" borderId="3" xfId="38" applyNumberFormat="1" applyFont="1" applyFill="1" applyBorder="1"/>
    <xf numFmtId="164" fontId="22" fillId="0" borderId="7" xfId="38" applyNumberFormat="1" applyFont="1" applyFill="1" applyBorder="1" applyAlignment="1">
      <alignment horizontal="right"/>
    </xf>
    <xf numFmtId="0" fontId="22" fillId="0" borderId="7" xfId="38" applyNumberFormat="1" applyFont="1" applyFill="1" applyBorder="1" applyAlignment="1">
      <alignment horizontal="center"/>
    </xf>
    <xf numFmtId="0" fontId="74" fillId="0" borderId="8" xfId="36" applyFont="1" applyFill="1" applyBorder="1" applyAlignment="1">
      <alignment horizontal="center" vertical="center" wrapText="1"/>
    </xf>
    <xf numFmtId="0" fontId="22" fillId="0" borderId="14" xfId="0" applyFont="1" applyFill="1" applyBorder="1" applyAlignment="1"/>
    <xf numFmtId="43" fontId="22" fillId="0" borderId="14" xfId="38" applyNumberFormat="1" applyFont="1" applyFill="1" applyBorder="1" applyAlignment="1"/>
    <xf numFmtId="43" fontId="22" fillId="0" borderId="14" xfId="0" applyNumberFormat="1" applyFont="1" applyFill="1" applyBorder="1" applyAlignment="1">
      <alignment wrapText="1"/>
    </xf>
    <xf numFmtId="164" fontId="22" fillId="0" borderId="14" xfId="38" applyNumberFormat="1" applyFont="1" applyFill="1" applyBorder="1" applyAlignment="1"/>
    <xf numFmtId="0" fontId="22" fillId="0" borderId="3" xfId="0" applyFont="1" applyFill="1" applyBorder="1" applyAlignment="1"/>
    <xf numFmtId="43" fontId="22" fillId="0" borderId="3" xfId="38" applyNumberFormat="1" applyFont="1" applyFill="1" applyBorder="1" applyAlignment="1"/>
    <xf numFmtId="43" fontId="22" fillId="0" borderId="3" xfId="0" applyNumberFormat="1" applyFont="1" applyFill="1" applyBorder="1" applyAlignment="1">
      <alignment wrapText="1"/>
    </xf>
    <xf numFmtId="0" fontId="74" fillId="0" borderId="7" xfId="0" applyFont="1" applyFill="1" applyBorder="1" applyAlignment="1"/>
    <xf numFmtId="43" fontId="74" fillId="0" borderId="7" xfId="38" applyNumberFormat="1" applyFont="1" applyFill="1" applyBorder="1" applyAlignment="1"/>
    <xf numFmtId="0" fontId="74" fillId="0" borderId="7" xfId="38" applyNumberFormat="1" applyFont="1" applyFill="1" applyBorder="1" applyAlignment="1">
      <alignment horizontal="center" vertical="top"/>
    </xf>
    <xf numFmtId="164" fontId="74" fillId="0" borderId="7" xfId="38" applyNumberFormat="1" applyFont="1" applyFill="1" applyBorder="1" applyAlignment="1"/>
    <xf numFmtId="43" fontId="74" fillId="0" borderId="7" xfId="38" applyNumberFormat="1" applyFont="1" applyFill="1" applyBorder="1" applyAlignment="1">
      <alignment horizontal="right"/>
    </xf>
    <xf numFmtId="43" fontId="22" fillId="0" borderId="3" xfId="38" applyNumberFormat="1" applyFont="1" applyFill="1" applyBorder="1" applyAlignment="1">
      <alignment horizontal="right"/>
    </xf>
    <xf numFmtId="0" fontId="22" fillId="0" borderId="3" xfId="38" applyNumberFormat="1" applyFont="1" applyFill="1" applyBorder="1" applyAlignment="1">
      <alignment horizontal="center" vertical="top"/>
    </xf>
    <xf numFmtId="43" fontId="74" fillId="0" borderId="4" xfId="38" applyNumberFormat="1" applyFont="1" applyFill="1" applyBorder="1" applyAlignment="1">
      <alignment horizontal="right"/>
    </xf>
    <xf numFmtId="0" fontId="74" fillId="0" borderId="3" xfId="38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wrapText="1"/>
    </xf>
    <xf numFmtId="3" fontId="22" fillId="0" borderId="18" xfId="0" applyNumberFormat="1" applyFont="1" applyFill="1" applyBorder="1" applyAlignment="1">
      <alignment wrapText="1"/>
    </xf>
    <xf numFmtId="164" fontId="22" fillId="0" borderId="15" xfId="38" applyNumberFormat="1" applyFont="1" applyFill="1" applyBorder="1" applyAlignment="1">
      <alignment horizontal="right"/>
    </xf>
    <xf numFmtId="0" fontId="22" fillId="0" borderId="6" xfId="0" applyFont="1" applyFill="1" applyBorder="1" applyAlignment="1">
      <alignment horizontal="center" wrapText="1"/>
    </xf>
    <xf numFmtId="164" fontId="22" fillId="0" borderId="6" xfId="38" applyNumberFormat="1" applyFont="1" applyFill="1" applyBorder="1" applyAlignment="1">
      <alignment horizontal="right"/>
    </xf>
    <xf numFmtId="0" fontId="22" fillId="0" borderId="0" xfId="0" applyFont="1" applyFill="1" applyAlignment="1"/>
    <xf numFmtId="3" fontId="74" fillId="0" borderId="7" xfId="0" applyNumberFormat="1" applyFont="1" applyFill="1" applyBorder="1" applyAlignment="1">
      <alignment horizontal="right" vertical="center"/>
    </xf>
    <xf numFmtId="167" fontId="22" fillId="0" borderId="14" xfId="0" applyNumberFormat="1" applyFont="1" applyFill="1" applyBorder="1" applyAlignment="1">
      <alignment horizontal="right"/>
    </xf>
    <xf numFmtId="0" fontId="22" fillId="0" borderId="18" xfId="38" applyNumberFormat="1" applyFont="1" applyFill="1" applyBorder="1" applyAlignment="1">
      <alignment horizontal="center"/>
    </xf>
    <xf numFmtId="167" fontId="22" fillId="0" borderId="3" xfId="0" applyNumberFormat="1" applyFont="1" applyFill="1" applyBorder="1" applyAlignment="1">
      <alignment horizontal="right"/>
    </xf>
    <xf numFmtId="0" fontId="22" fillId="0" borderId="31" xfId="0" applyNumberFormat="1" applyFont="1" applyFill="1" applyBorder="1" applyAlignment="1">
      <alignment horizontal="center"/>
    </xf>
    <xf numFmtId="167" fontId="22" fillId="0" borderId="4" xfId="0" applyNumberFormat="1" applyFont="1" applyFill="1" applyBorder="1"/>
    <xf numFmtId="167" fontId="22" fillId="0" borderId="23" xfId="0" applyNumberFormat="1" applyFont="1" applyFill="1" applyBorder="1"/>
    <xf numFmtId="164" fontId="74" fillId="0" borderId="22" xfId="38" applyNumberFormat="1" applyFont="1" applyFill="1" applyBorder="1"/>
    <xf numFmtId="164" fontId="74" fillId="0" borderId="4" xfId="38" applyNumberFormat="1" applyFont="1" applyFill="1" applyBorder="1"/>
    <xf numFmtId="164" fontId="22" fillId="0" borderId="14" xfId="12" applyNumberFormat="1" applyFont="1" applyFill="1" applyBorder="1" applyAlignment="1">
      <alignment wrapText="1"/>
    </xf>
    <xf numFmtId="43" fontId="22" fillId="0" borderId="3" xfId="12" applyFont="1" applyFill="1" applyBorder="1" applyAlignment="1"/>
    <xf numFmtId="164" fontId="22" fillId="0" borderId="3" xfId="12" applyNumberFormat="1" applyFont="1" applyFill="1" applyBorder="1" applyAlignment="1"/>
    <xf numFmtId="43" fontId="74" fillId="0" borderId="7" xfId="12" applyFont="1" applyFill="1" applyBorder="1"/>
    <xf numFmtId="43" fontId="74" fillId="0" borderId="13" xfId="12" applyFont="1" applyFill="1" applyBorder="1"/>
    <xf numFmtId="164" fontId="22" fillId="0" borderId="15" xfId="12" applyNumberFormat="1" applyFont="1" applyFill="1" applyBorder="1"/>
    <xf numFmtId="164" fontId="74" fillId="0" borderId="3" xfId="0" applyNumberFormat="1" applyFont="1" applyFill="1" applyBorder="1"/>
    <xf numFmtId="43" fontId="74" fillId="0" borderId="0" xfId="12" applyFont="1" applyFill="1" applyBorder="1"/>
    <xf numFmtId="0" fontId="74" fillId="0" borderId="3" xfId="0" applyNumberFormat="1" applyFont="1" applyFill="1" applyBorder="1" applyAlignment="1">
      <alignment horizontal="center"/>
    </xf>
    <xf numFmtId="164" fontId="22" fillId="0" borderId="6" xfId="12" applyNumberFormat="1" applyFont="1" applyFill="1" applyBorder="1"/>
    <xf numFmtId="43" fontId="74" fillId="0" borderId="21" xfId="12" applyFont="1" applyFill="1" applyBorder="1"/>
    <xf numFmtId="164" fontId="22" fillId="0" borderId="26" xfId="12" applyNumberFormat="1" applyFont="1" applyFill="1" applyBorder="1"/>
    <xf numFmtId="43" fontId="74" fillId="0" borderId="7" xfId="12" applyFont="1" applyFill="1" applyBorder="1" applyAlignment="1">
      <alignment horizontal="right"/>
    </xf>
    <xf numFmtId="0" fontId="74" fillId="0" borderId="0" xfId="12" applyNumberFormat="1" applyFont="1" applyFill="1" applyBorder="1" applyAlignment="1">
      <alignment horizontal="center" wrapText="1"/>
    </xf>
    <xf numFmtId="164" fontId="22" fillId="0" borderId="14" xfId="0" applyNumberFormat="1" applyFont="1" applyFill="1" applyBorder="1" applyAlignment="1">
      <alignment horizontal="right" vertical="center" wrapText="1"/>
    </xf>
    <xf numFmtId="0" fontId="74" fillId="0" borderId="16" xfId="0" applyNumberFormat="1" applyFont="1" applyFill="1" applyBorder="1" applyAlignment="1">
      <alignment horizontal="center" vertical="center"/>
    </xf>
    <xf numFmtId="0" fontId="21" fillId="0" borderId="16" xfId="0" applyFont="1" applyFill="1" applyBorder="1" applyAlignment="1">
      <alignment vertical="center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/>
    </xf>
    <xf numFmtId="164" fontId="23" fillId="0" borderId="14" xfId="12" applyNumberFormat="1" applyFont="1" applyFill="1" applyBorder="1" applyAlignment="1">
      <alignment horizontal="right" vertical="center" wrapText="1"/>
    </xf>
    <xf numFmtId="164" fontId="23" fillId="0" borderId="15" xfId="12" applyNumberFormat="1" applyFont="1" applyFill="1" applyBorder="1" applyAlignment="1">
      <alignment horizontal="right" vertical="center" wrapText="1"/>
    </xf>
    <xf numFmtId="0" fontId="21" fillId="0" borderId="0" xfId="0" applyNumberFormat="1" applyFont="1" applyFill="1" applyBorder="1" applyAlignment="1">
      <alignment horizontal="center" vertical="center"/>
    </xf>
    <xf numFmtId="164" fontId="21" fillId="0" borderId="6" xfId="12" applyNumberFormat="1" applyFont="1" applyFill="1" applyBorder="1" applyAlignment="1">
      <alignment horizontal="right" vertical="center"/>
    </xf>
    <xf numFmtId="0" fontId="21" fillId="0" borderId="30" xfId="0" applyFont="1" applyFill="1" applyBorder="1" applyAlignment="1">
      <alignment vertical="center"/>
    </xf>
    <xf numFmtId="0" fontId="21" fillId="0" borderId="21" xfId="0" applyFont="1" applyFill="1" applyBorder="1" applyAlignment="1">
      <alignment vertical="center"/>
    </xf>
    <xf numFmtId="0" fontId="21" fillId="0" borderId="21" xfId="0" applyNumberFormat="1" applyFont="1" applyFill="1" applyBorder="1" applyAlignment="1">
      <alignment horizontal="center" vertical="center"/>
    </xf>
    <xf numFmtId="3" fontId="21" fillId="0" borderId="4" xfId="0" applyNumberFormat="1" applyFont="1" applyFill="1" applyBorder="1" applyAlignment="1">
      <alignment vertical="center"/>
    </xf>
    <xf numFmtId="0" fontId="21" fillId="0" borderId="4" xfId="0" applyNumberFormat="1" applyFont="1" applyFill="1" applyBorder="1" applyAlignment="1">
      <alignment horizontal="center" vertical="center"/>
    </xf>
    <xf numFmtId="164" fontId="21" fillId="0" borderId="26" xfId="0" applyNumberFormat="1" applyFont="1" applyFill="1" applyBorder="1" applyAlignment="1">
      <alignment vertical="center"/>
    </xf>
    <xf numFmtId="164" fontId="74" fillId="0" borderId="21" xfId="12" applyNumberFormat="1" applyFont="1" applyFill="1" applyBorder="1" applyAlignment="1">
      <alignment horizontal="right" vertical="center" wrapText="1"/>
    </xf>
    <xf numFmtId="164" fontId="74" fillId="0" borderId="4" xfId="12" applyNumberFormat="1" applyFont="1" applyFill="1" applyBorder="1" applyAlignment="1">
      <alignment horizontal="right" vertical="center" wrapText="1"/>
    </xf>
    <xf numFmtId="3" fontId="74" fillId="0" borderId="0" xfId="0" applyNumberFormat="1" applyFont="1" applyFill="1" applyBorder="1" applyAlignment="1">
      <alignment vertical="center"/>
    </xf>
    <xf numFmtId="0" fontId="22" fillId="0" borderId="23" xfId="0" applyNumberFormat="1" applyFont="1" applyFill="1" applyBorder="1" applyAlignment="1">
      <alignment horizontal="center"/>
    </xf>
    <xf numFmtId="43" fontId="22" fillId="0" borderId="0" xfId="12" applyFont="1" applyFill="1" applyBorder="1" applyAlignment="1">
      <alignment horizontal="right"/>
    </xf>
    <xf numFmtId="0" fontId="74" fillId="0" borderId="58" xfId="12" applyNumberFormat="1" applyFont="1" applyFill="1" applyBorder="1" applyAlignment="1">
      <alignment horizontal="center"/>
    </xf>
    <xf numFmtId="43" fontId="74" fillId="0" borderId="52" xfId="12" applyFont="1" applyFill="1" applyBorder="1" applyAlignment="1">
      <alignment horizontal="right"/>
    </xf>
    <xf numFmtId="0" fontId="74" fillId="0" borderId="50" xfId="12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43" fontId="22" fillId="0" borderId="24" xfId="12" applyFont="1" applyFill="1" applyBorder="1" applyAlignment="1">
      <alignment horizontal="right"/>
    </xf>
    <xf numFmtId="164" fontId="22" fillId="0" borderId="5" xfId="12" applyNumberFormat="1" applyFont="1" applyFill="1" applyBorder="1" applyAlignment="1">
      <alignment horizontal="right"/>
    </xf>
    <xf numFmtId="43" fontId="22" fillId="0" borderId="23" xfId="12" applyFont="1" applyFill="1" applyBorder="1" applyAlignment="1">
      <alignment horizontal="right"/>
    </xf>
    <xf numFmtId="0" fontId="74" fillId="0" borderId="8" xfId="12" applyNumberFormat="1" applyFont="1" applyFill="1" applyBorder="1" applyAlignment="1">
      <alignment horizontal="center"/>
    </xf>
    <xf numFmtId="43" fontId="74" fillId="0" borderId="42" xfId="12" applyFont="1" applyFill="1" applyBorder="1" applyAlignment="1">
      <alignment horizontal="right"/>
    </xf>
    <xf numFmtId="0" fontId="74" fillId="0" borderId="30" xfId="0" applyFont="1" applyFill="1" applyBorder="1"/>
    <xf numFmtId="0" fontId="74" fillId="0" borderId="60" xfId="0" applyFont="1" applyFill="1" applyBorder="1" applyAlignment="1">
      <alignment horizontal="center" wrapText="1"/>
    </xf>
    <xf numFmtId="0" fontId="74" fillId="0" borderId="21" xfId="0" applyNumberFormat="1" applyFont="1" applyFill="1" applyBorder="1" applyAlignment="1">
      <alignment horizontal="center"/>
    </xf>
    <xf numFmtId="43" fontId="74" fillId="0" borderId="60" xfId="12" applyFont="1" applyFill="1" applyBorder="1" applyAlignment="1">
      <alignment horizontal="right"/>
    </xf>
    <xf numFmtId="0" fontId="74" fillId="0" borderId="13" xfId="0" applyNumberFormat="1" applyFont="1" applyFill="1" applyBorder="1" applyAlignment="1">
      <alignment horizontal="center"/>
    </xf>
    <xf numFmtId="0" fontId="74" fillId="0" borderId="13" xfId="12" applyNumberFormat="1" applyFont="1" applyFill="1" applyBorder="1" applyAlignment="1">
      <alignment horizontal="center"/>
    </xf>
    <xf numFmtId="43" fontId="74" fillId="0" borderId="1" xfId="12" applyFont="1" applyFill="1" applyBorder="1" applyAlignment="1">
      <alignment horizontal="center"/>
    </xf>
    <xf numFmtId="43" fontId="74" fillId="0" borderId="1" xfId="12" applyFont="1" applyFill="1" applyBorder="1"/>
    <xf numFmtId="43" fontId="74" fillId="0" borderId="1" xfId="12" applyFont="1" applyFill="1" applyBorder="1" applyAlignment="1">
      <alignment horizontal="right"/>
    </xf>
    <xf numFmtId="0" fontId="74" fillId="0" borderId="22" xfId="0" applyNumberFormat="1" applyFont="1" applyFill="1" applyBorder="1" applyAlignment="1">
      <alignment horizontal="center" vertical="center" wrapText="1"/>
    </xf>
    <xf numFmtId="0" fontId="74" fillId="0" borderId="8" xfId="0" applyNumberFormat="1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left" vertical="center" wrapText="1"/>
    </xf>
    <xf numFmtId="0" fontId="74" fillId="0" borderId="0" xfId="0" applyNumberFormat="1" applyFont="1" applyFill="1" applyBorder="1" applyAlignment="1">
      <alignment horizontal="center" vertical="center" wrapText="1"/>
    </xf>
    <xf numFmtId="164" fontId="49" fillId="16" borderId="8" xfId="12" applyNumberFormat="1" applyFont="1" applyFill="1" applyBorder="1" applyAlignment="1" applyProtection="1">
      <alignment horizontal="center" vertical="center" wrapText="1"/>
      <protection locked="0" hidden="1"/>
    </xf>
    <xf numFmtId="0" fontId="49" fillId="16" borderId="63" xfId="7" applyFont="1" applyFill="1" applyBorder="1" applyAlignment="1" applyProtection="1">
      <alignment horizontal="center" vertical="center" wrapText="1"/>
      <protection locked="0" hidden="1"/>
    </xf>
    <xf numFmtId="0" fontId="49" fillId="16" borderId="64" xfId="7" applyFont="1" applyFill="1" applyBorder="1" applyAlignment="1" applyProtection="1">
      <alignment horizontal="center" vertical="center" wrapText="1"/>
      <protection locked="0" hidden="1"/>
    </xf>
    <xf numFmtId="164" fontId="19" fillId="0" borderId="26" xfId="12" applyNumberFormat="1" applyFont="1" applyFill="1" applyBorder="1" applyAlignment="1">
      <alignment horizontal="center" vertical="center" wrapText="1"/>
    </xf>
    <xf numFmtId="3" fontId="19" fillId="0" borderId="4" xfId="12" applyNumberFormat="1" applyFont="1" applyFill="1" applyBorder="1" applyAlignment="1" applyProtection="1">
      <alignment horizontal="center" wrapText="1"/>
      <protection locked="0" hidden="1"/>
    </xf>
    <xf numFmtId="164" fontId="20" fillId="16" borderId="28" xfId="12" applyNumberFormat="1" applyFont="1" applyFill="1" applyBorder="1" applyAlignment="1">
      <alignment horizontal="right" vertical="center"/>
    </xf>
    <xf numFmtId="164" fontId="20" fillId="16" borderId="27" xfId="12" applyNumberFormat="1" applyFont="1" applyFill="1" applyBorder="1" applyAlignment="1">
      <alignment horizontal="right" vertical="center"/>
    </xf>
    <xf numFmtId="164" fontId="20" fillId="16" borderId="25" xfId="12" applyNumberFormat="1" applyFont="1" applyFill="1" applyBorder="1" applyAlignment="1">
      <alignment horizontal="right" vertical="center"/>
    </xf>
    <xf numFmtId="164" fontId="20" fillId="16" borderId="27" xfId="12" applyNumberFormat="1" applyFont="1" applyFill="1" applyBorder="1" applyAlignment="1" applyProtection="1">
      <alignment horizontal="right" vertical="center"/>
      <protection hidden="1"/>
    </xf>
    <xf numFmtId="164" fontId="19" fillId="16" borderId="27" xfId="12" applyNumberFormat="1" applyFont="1" applyFill="1" applyBorder="1" applyAlignment="1" applyProtection="1">
      <alignment horizontal="right" vertical="center"/>
      <protection hidden="1"/>
    </xf>
    <xf numFmtId="164" fontId="59" fillId="16" borderId="7" xfId="12" applyNumberFormat="1" applyFont="1" applyFill="1" applyBorder="1" applyAlignment="1">
      <alignment horizontal="right" vertical="center"/>
    </xf>
    <xf numFmtId="164" fontId="20" fillId="16" borderId="28" xfId="12" applyNumberFormat="1" applyFont="1" applyFill="1" applyBorder="1" applyProtection="1">
      <protection locked="0" hidden="1"/>
    </xf>
    <xf numFmtId="164" fontId="57" fillId="16" borderId="7" xfId="12" applyNumberFormat="1" applyFont="1" applyFill="1" applyBorder="1" applyAlignment="1">
      <alignment horizontal="right" vertical="center"/>
    </xf>
    <xf numFmtId="164" fontId="57" fillId="16" borderId="8" xfId="12" applyNumberFormat="1" applyFont="1" applyFill="1" applyBorder="1" applyAlignment="1" applyProtection="1">
      <alignment horizontal="right" vertical="center"/>
      <protection hidden="1"/>
    </xf>
    <xf numFmtId="2" fontId="20" fillId="0" borderId="24" xfId="12" applyNumberFormat="1" applyFont="1" applyFill="1" applyBorder="1" applyAlignment="1">
      <alignment vertical="center" wrapText="1"/>
    </xf>
    <xf numFmtId="4" fontId="20" fillId="0" borderId="23" xfId="0" applyNumberFormat="1" applyFont="1" applyFill="1" applyBorder="1" applyAlignment="1">
      <alignment vertical="top" wrapText="1"/>
    </xf>
    <xf numFmtId="164" fontId="20" fillId="0" borderId="23" xfId="12" applyNumberFormat="1" applyFont="1" applyFill="1" applyBorder="1" applyAlignment="1">
      <alignment vertical="top" wrapText="1"/>
    </xf>
    <xf numFmtId="3" fontId="20" fillId="0" borderId="24" xfId="0" applyNumberFormat="1" applyFont="1" applyFill="1" applyBorder="1" applyAlignment="1">
      <alignment vertical="top" wrapText="1"/>
    </xf>
    <xf numFmtId="164" fontId="20" fillId="0" borderId="24" xfId="12" applyNumberFormat="1" applyFont="1" applyFill="1" applyBorder="1" applyAlignment="1">
      <alignment vertical="top" wrapText="1"/>
    </xf>
    <xf numFmtId="43" fontId="20" fillId="0" borderId="24" xfId="12" applyFont="1" applyFill="1" applyBorder="1" applyAlignment="1">
      <alignment horizontal="right" vertical="center" wrapText="1"/>
    </xf>
    <xf numFmtId="3" fontId="20" fillId="0" borderId="24" xfId="12" applyNumberFormat="1" applyFont="1" applyFill="1" applyBorder="1" applyAlignment="1">
      <alignment vertical="center" wrapText="1"/>
    </xf>
    <xf numFmtId="3" fontId="19" fillId="0" borderId="42" xfId="12" applyNumberFormat="1" applyFont="1" applyFill="1" applyBorder="1" applyAlignment="1">
      <alignment vertical="center" wrapText="1"/>
    </xf>
    <xf numFmtId="3" fontId="20" fillId="0" borderId="24" xfId="12" applyNumberFormat="1" applyFont="1" applyFill="1" applyBorder="1" applyAlignment="1">
      <alignment vertical="top"/>
    </xf>
    <xf numFmtId="164" fontId="20" fillId="0" borderId="24" xfId="12" applyNumberFormat="1" applyFont="1" applyFill="1" applyBorder="1" applyAlignment="1">
      <alignment vertical="center"/>
    </xf>
    <xf numFmtId="164" fontId="20" fillId="0" borderId="23" xfId="12" applyNumberFormat="1" applyFont="1" applyFill="1" applyBorder="1" applyAlignment="1">
      <alignment vertical="center" wrapText="1"/>
    </xf>
    <xf numFmtId="3" fontId="20" fillId="0" borderId="23" xfId="0" applyNumberFormat="1" applyFont="1" applyFill="1" applyBorder="1" applyAlignment="1">
      <alignment vertical="center" wrapText="1"/>
    </xf>
    <xf numFmtId="164" fontId="20" fillId="0" borderId="24" xfId="12" applyNumberFormat="1" applyFont="1" applyFill="1" applyBorder="1" applyAlignment="1">
      <alignment horizontal="left" vertical="center" wrapText="1"/>
    </xf>
    <xf numFmtId="164" fontId="19" fillId="0" borderId="50" xfId="12" applyNumberFormat="1" applyFont="1" applyFill="1" applyBorder="1" applyAlignment="1">
      <alignment vertical="center" wrapText="1"/>
    </xf>
    <xf numFmtId="3" fontId="19" fillId="0" borderId="7" xfId="0" applyNumberFormat="1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left" vertical="center" wrapText="1"/>
    </xf>
    <xf numFmtId="43" fontId="20" fillId="0" borderId="1" xfId="12" applyFont="1" applyFill="1" applyBorder="1" applyAlignment="1">
      <alignment vertical="center" wrapText="1"/>
    </xf>
    <xf numFmtId="0" fontId="20" fillId="0" borderId="1" xfId="12" applyNumberFormat="1" applyFont="1" applyFill="1" applyBorder="1" applyAlignment="1">
      <alignment vertical="center" wrapText="1"/>
    </xf>
    <xf numFmtId="43" fontId="20" fillId="0" borderId="1" xfId="12" applyFont="1" applyFill="1" applyBorder="1" applyAlignment="1">
      <alignment horizontal="left" vertical="center"/>
    </xf>
    <xf numFmtId="0" fontId="20" fillId="0" borderId="32" xfId="0" applyFont="1" applyFill="1" applyBorder="1" applyAlignment="1">
      <alignment horizontal="left" wrapText="1"/>
    </xf>
    <xf numFmtId="0" fontId="20" fillId="0" borderId="32" xfId="0" applyFont="1" applyFill="1" applyBorder="1" applyAlignment="1">
      <alignment horizontal="left" vertical="center" wrapText="1"/>
    </xf>
    <xf numFmtId="0" fontId="20" fillId="0" borderId="51" xfId="0" applyFont="1" applyFill="1" applyBorder="1" applyAlignment="1">
      <alignment horizontal="left" wrapText="1"/>
    </xf>
    <xf numFmtId="0" fontId="19" fillId="0" borderId="32" xfId="0" applyFont="1" applyFill="1" applyBorder="1" applyAlignment="1">
      <alignment horizontal="left" vertical="top" wrapText="1"/>
    </xf>
    <xf numFmtId="0" fontId="20" fillId="0" borderId="32" xfId="0" applyFont="1" applyFill="1" applyBorder="1" applyAlignment="1">
      <alignment horizontal="left" vertical="top" wrapText="1"/>
    </xf>
    <xf numFmtId="0" fontId="19" fillId="0" borderId="1" xfId="0" applyFont="1" applyFill="1" applyBorder="1" applyAlignment="1">
      <alignment horizontal="left" vertical="top" wrapText="1"/>
    </xf>
    <xf numFmtId="1" fontId="20" fillId="0" borderId="1" xfId="0" applyNumberFormat="1" applyFont="1" applyFill="1" applyBorder="1" applyAlignment="1" applyProtection="1">
      <alignment horizontal="center" vertical="center"/>
      <protection locked="0" hidden="1"/>
    </xf>
    <xf numFmtId="3" fontId="20" fillId="0" borderId="37" xfId="0" applyNumberFormat="1" applyFont="1" applyFill="1" applyBorder="1" applyAlignment="1">
      <alignment horizontal="right" vertical="center" wrapText="1"/>
    </xf>
    <xf numFmtId="0" fontId="19" fillId="0" borderId="38" xfId="0" applyFont="1" applyFill="1" applyBorder="1" applyAlignment="1">
      <alignment horizontal="center" vertical="top" wrapText="1"/>
    </xf>
    <xf numFmtId="0" fontId="19" fillId="0" borderId="39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vertical="top" wrapText="1"/>
    </xf>
    <xf numFmtId="164" fontId="34" fillId="0" borderId="11" xfId="12" applyNumberFormat="1" applyFont="1" applyFill="1" applyBorder="1" applyAlignment="1">
      <alignment vertical="center"/>
    </xf>
    <xf numFmtId="0" fontId="34" fillId="0" borderId="42" xfId="0" applyFont="1" applyFill="1" applyBorder="1" applyAlignment="1">
      <alignment vertical="center"/>
    </xf>
    <xf numFmtId="0" fontId="34" fillId="0" borderId="8" xfId="0" applyFont="1" applyFill="1" applyBorder="1" applyAlignment="1">
      <alignment vertical="center"/>
    </xf>
    <xf numFmtId="43" fontId="53" fillId="0" borderId="43" xfId="0" applyNumberFormat="1" applyFont="1" applyFill="1" applyBorder="1" applyAlignment="1">
      <alignment vertical="center"/>
    </xf>
    <xf numFmtId="2" fontId="20" fillId="0" borderId="24" xfId="0" applyNumberFormat="1" applyFont="1" applyFill="1" applyBorder="1" applyAlignment="1">
      <alignment horizontal="right" vertical="center" wrapText="1"/>
    </xf>
    <xf numFmtId="0" fontId="19" fillId="0" borderId="77" xfId="0" applyFont="1" applyFill="1" applyBorder="1" applyAlignment="1">
      <alignment vertical="top"/>
    </xf>
    <xf numFmtId="164" fontId="18" fillId="0" borderId="11" xfId="12" applyNumberFormat="1" applyFont="1" applyFill="1" applyBorder="1" applyAlignment="1">
      <alignment horizontal="center"/>
    </xf>
    <xf numFmtId="164" fontId="18" fillId="0" borderId="22" xfId="12" applyNumberFormat="1" applyFont="1" applyFill="1" applyBorder="1" applyAlignment="1">
      <alignment horizontal="center"/>
    </xf>
    <xf numFmtId="164" fontId="18" fillId="0" borderId="7" xfId="12" applyNumberFormat="1" applyFont="1" applyFill="1" applyBorder="1" applyAlignment="1">
      <alignment horizontal="center"/>
    </xf>
    <xf numFmtId="3" fontId="19" fillId="0" borderId="8" xfId="0" applyNumberFormat="1" applyFont="1" applyFill="1" applyBorder="1" applyAlignment="1">
      <alignment horizontal="right" vertical="top" wrapText="1"/>
    </xf>
    <xf numFmtId="3" fontId="20" fillId="0" borderId="23" xfId="0" applyNumberFormat="1" applyFont="1" applyFill="1" applyBorder="1" applyAlignment="1">
      <alignment horizontal="right" vertical="top" wrapText="1"/>
    </xf>
    <xf numFmtId="3" fontId="20" fillId="0" borderId="23" xfId="0" applyNumberFormat="1" applyFont="1" applyFill="1" applyBorder="1" applyAlignment="1">
      <alignment horizontal="right" vertical="center"/>
    </xf>
    <xf numFmtId="164" fontId="20" fillId="0" borderId="23" xfId="12" applyNumberFormat="1" applyFont="1" applyFill="1" applyBorder="1" applyAlignment="1">
      <alignment horizontal="right" vertical="top"/>
    </xf>
    <xf numFmtId="164" fontId="19" fillId="0" borderId="43" xfId="12" applyNumberFormat="1" applyFont="1" applyFill="1" applyBorder="1" applyAlignment="1">
      <alignment vertical="center"/>
    </xf>
    <xf numFmtId="3" fontId="19" fillId="0" borderId="2" xfId="12" applyNumberFormat="1" applyFont="1" applyFill="1" applyBorder="1" applyAlignment="1">
      <alignment horizontal="right" vertical="center" wrapText="1"/>
    </xf>
    <xf numFmtId="43" fontId="20" fillId="0" borderId="2" xfId="12" applyNumberFormat="1" applyFont="1" applyFill="1" applyBorder="1" applyAlignment="1">
      <alignment vertical="center" wrapText="1"/>
    </xf>
    <xf numFmtId="4" fontId="20" fillId="0" borderId="2" xfId="0" applyNumberFormat="1" applyFont="1" applyFill="1" applyBorder="1" applyAlignment="1">
      <alignment horizontal="right" vertical="center" wrapText="1"/>
    </xf>
    <xf numFmtId="43" fontId="20" fillId="0" borderId="24" xfId="12" applyNumberFormat="1" applyFont="1" applyFill="1" applyBorder="1" applyAlignment="1">
      <alignment vertical="top"/>
    </xf>
    <xf numFmtId="43" fontId="20" fillId="0" borderId="24" xfId="12" applyFont="1" applyFill="1" applyBorder="1" applyAlignment="1">
      <alignment vertical="top"/>
    </xf>
    <xf numFmtId="43" fontId="78" fillId="0" borderId="28" xfId="12" applyFont="1" applyFill="1" applyBorder="1" applyAlignment="1">
      <alignment horizontal="right" vertical="top" wrapText="1"/>
    </xf>
    <xf numFmtId="3" fontId="78" fillId="0" borderId="28" xfId="0" applyNumberFormat="1" applyFont="1" applyFill="1" applyBorder="1"/>
    <xf numFmtId="43" fontId="19" fillId="0" borderId="41" xfId="12" applyNumberFormat="1" applyFont="1" applyFill="1" applyBorder="1" applyAlignment="1">
      <alignment vertical="top" wrapText="1"/>
    </xf>
    <xf numFmtId="43" fontId="19" fillId="0" borderId="42" xfId="12" applyFont="1" applyFill="1" applyBorder="1" applyAlignment="1">
      <alignment horizontal="right" vertical="top" wrapText="1"/>
    </xf>
    <xf numFmtId="3" fontId="19" fillId="0" borderId="43" xfId="0" applyNumberFormat="1" applyFont="1" applyFill="1" applyBorder="1"/>
    <xf numFmtId="164" fontId="20" fillId="0" borderId="24" xfId="12" applyNumberFormat="1" applyFont="1" applyFill="1" applyBorder="1" applyAlignment="1">
      <alignment horizontal="center" vertical="top" wrapText="1"/>
    </xf>
    <xf numFmtId="164" fontId="20" fillId="0" borderId="24" xfId="0" applyNumberFormat="1" applyFont="1" applyFill="1" applyBorder="1" applyAlignment="1">
      <alignment vertical="top"/>
    </xf>
    <xf numFmtId="164" fontId="20" fillId="0" borderId="24" xfId="12" applyNumberFormat="1" applyFont="1" applyFill="1" applyBorder="1" applyAlignment="1" applyProtection="1">
      <alignment vertical="center"/>
      <protection locked="0" hidden="1"/>
    </xf>
    <xf numFmtId="164" fontId="20" fillId="0" borderId="2" xfId="12" applyNumberFormat="1" applyFont="1" applyFill="1" applyBorder="1" applyAlignment="1" applyProtection="1">
      <alignment vertical="center"/>
      <protection locked="0" hidden="1"/>
    </xf>
    <xf numFmtId="3" fontId="19" fillId="0" borderId="2" xfId="12" applyNumberFormat="1" applyFont="1" applyFill="1" applyBorder="1" applyAlignment="1">
      <alignment vertical="center" wrapText="1"/>
    </xf>
    <xf numFmtId="0" fontId="19" fillId="0" borderId="32" xfId="0" applyFont="1" applyFill="1" applyBorder="1" applyAlignment="1">
      <alignment vertical="center"/>
    </xf>
    <xf numFmtId="164" fontId="20" fillId="0" borderId="24" xfId="0" applyNumberFormat="1" applyFont="1" applyFill="1" applyBorder="1" applyAlignment="1">
      <alignment horizontal="right" vertical="top" wrapText="1"/>
    </xf>
    <xf numFmtId="164" fontId="19" fillId="0" borderId="41" xfId="0" applyNumberFormat="1" applyFont="1" applyFill="1" applyBorder="1" applyAlignment="1">
      <alignment vertical="center"/>
    </xf>
    <xf numFmtId="164" fontId="19" fillId="0" borderId="42" xfId="0" applyNumberFormat="1" applyFont="1" applyFill="1" applyBorder="1" applyAlignment="1">
      <alignment vertical="center"/>
    </xf>
    <xf numFmtId="0" fontId="19" fillId="0" borderId="32" xfId="0" applyFont="1" applyFill="1" applyBorder="1" applyAlignment="1">
      <alignment horizontal="left" vertical="center" wrapText="1"/>
    </xf>
    <xf numFmtId="164" fontId="19" fillId="0" borderId="41" xfId="12" applyNumberFormat="1" applyFont="1" applyFill="1" applyBorder="1" applyAlignment="1">
      <alignment wrapText="1"/>
    </xf>
    <xf numFmtId="164" fontId="19" fillId="0" borderId="42" xfId="12" applyNumberFormat="1" applyFont="1" applyFill="1" applyBorder="1" applyAlignment="1">
      <alignment wrapText="1"/>
    </xf>
    <xf numFmtId="164" fontId="19" fillId="0" borderId="43" xfId="12" applyNumberFormat="1" applyFont="1" applyFill="1" applyBorder="1" applyAlignment="1">
      <alignment wrapText="1"/>
    </xf>
    <xf numFmtId="43" fontId="20" fillId="0" borderId="1" xfId="12" applyFont="1" applyFill="1" applyBorder="1" applyAlignment="1">
      <alignment horizontal="center" vertical="center"/>
    </xf>
    <xf numFmtId="0" fontId="89" fillId="0" borderId="7" xfId="19" applyFont="1" applyFill="1" applyBorder="1" applyAlignment="1">
      <alignment horizontal="center" vertical="center" wrapText="1"/>
    </xf>
    <xf numFmtId="0" fontId="89" fillId="0" borderId="8" xfId="19" applyFont="1" applyFill="1" applyBorder="1" applyAlignment="1">
      <alignment horizontal="center" vertical="center" wrapText="1"/>
    </xf>
    <xf numFmtId="0" fontId="89" fillId="0" borderId="7" xfId="12" applyNumberFormat="1" applyFont="1" applyFill="1" applyBorder="1" applyAlignment="1">
      <alignment horizontal="center" vertical="center" wrapText="1"/>
    </xf>
    <xf numFmtId="164" fontId="89" fillId="0" borderId="7" xfId="12" applyNumberFormat="1" applyFont="1" applyFill="1" applyBorder="1" applyAlignment="1">
      <alignment horizontal="center" vertical="center" wrapText="1"/>
    </xf>
    <xf numFmtId="0" fontId="89" fillId="0" borderId="7" xfId="19" applyNumberFormat="1" applyFont="1" applyFill="1" applyBorder="1" applyAlignment="1">
      <alignment horizontal="center" vertical="center" wrapText="1"/>
    </xf>
    <xf numFmtId="0" fontId="88" fillId="0" borderId="3" xfId="0" applyFont="1" applyFill="1" applyBorder="1"/>
    <xf numFmtId="0" fontId="88" fillId="0" borderId="0" xfId="0" applyFont="1" applyFill="1" applyAlignment="1">
      <alignment horizontal="center" wrapText="1"/>
    </xf>
    <xf numFmtId="164" fontId="88" fillId="0" borderId="3" xfId="12" applyNumberFormat="1" applyFont="1" applyFill="1" applyBorder="1" applyAlignment="1">
      <alignment horizontal="right"/>
    </xf>
    <xf numFmtId="4" fontId="88" fillId="0" borderId="3" xfId="0" applyNumberFormat="1" applyFont="1" applyFill="1" applyBorder="1" applyAlignment="1">
      <alignment wrapText="1"/>
    </xf>
    <xf numFmtId="0" fontId="88" fillId="0" borderId="3" xfId="0" applyNumberFormat="1" applyFont="1" applyFill="1" applyBorder="1" applyAlignment="1">
      <alignment horizontal="center"/>
    </xf>
    <xf numFmtId="0" fontId="88" fillId="0" borderId="0" xfId="0" applyFont="1" applyFill="1"/>
    <xf numFmtId="0" fontId="88" fillId="0" borderId="3" xfId="0" applyFont="1" applyFill="1" applyBorder="1" applyAlignment="1">
      <alignment horizontal="right" wrapText="1"/>
    </xf>
    <xf numFmtId="0" fontId="89" fillId="0" borderId="7" xfId="0" applyFont="1" applyFill="1" applyBorder="1"/>
    <xf numFmtId="0" fontId="89" fillId="0" borderId="8" xfId="0" applyFont="1" applyFill="1" applyBorder="1" applyAlignment="1">
      <alignment horizontal="center" wrapText="1"/>
    </xf>
    <xf numFmtId="164" fontId="88" fillId="0" borderId="7" xfId="12" applyNumberFormat="1" applyFont="1" applyFill="1" applyBorder="1"/>
    <xf numFmtId="0" fontId="88" fillId="0" borderId="7" xfId="12" applyNumberFormat="1" applyFont="1" applyFill="1" applyBorder="1" applyAlignment="1">
      <alignment horizontal="center"/>
    </xf>
    <xf numFmtId="0" fontId="88" fillId="0" borderId="3" xfId="0" applyFont="1" applyFill="1" applyBorder="1" applyAlignment="1">
      <alignment wrapText="1"/>
    </xf>
    <xf numFmtId="164" fontId="89" fillId="0" borderId="7" xfId="12" applyNumberFormat="1" applyFont="1" applyFill="1" applyBorder="1"/>
    <xf numFmtId="0" fontId="89" fillId="0" borderId="7" xfId="12" applyNumberFormat="1" applyFont="1" applyFill="1" applyBorder="1" applyAlignment="1">
      <alignment horizontal="center"/>
    </xf>
    <xf numFmtId="0" fontId="89" fillId="0" borderId="0" xfId="0" applyFont="1" applyFill="1"/>
    <xf numFmtId="164" fontId="89" fillId="0" borderId="7" xfId="0" applyNumberFormat="1" applyFont="1" applyFill="1" applyBorder="1"/>
    <xf numFmtId="0" fontId="89" fillId="0" borderId="7" xfId="0" applyNumberFormat="1" applyFont="1" applyFill="1" applyBorder="1" applyAlignment="1">
      <alignment horizontal="center"/>
    </xf>
    <xf numFmtId="0" fontId="88" fillId="0" borderId="16" xfId="0" applyFont="1" applyFill="1" applyBorder="1"/>
    <xf numFmtId="0" fontId="88" fillId="0" borderId="13" xfId="0" applyFont="1" applyFill="1" applyBorder="1" applyAlignment="1">
      <alignment horizontal="center" wrapText="1"/>
    </xf>
    <xf numFmtId="164" fontId="88" fillId="0" borderId="14" xfId="12" applyNumberFormat="1" applyFont="1" applyFill="1" applyBorder="1" applyAlignment="1">
      <alignment horizontal="right"/>
    </xf>
    <xf numFmtId="43" fontId="88" fillId="0" borderId="13" xfId="12" applyFont="1" applyFill="1" applyBorder="1" applyAlignment="1">
      <alignment wrapText="1"/>
    </xf>
    <xf numFmtId="0" fontId="88" fillId="0" borderId="14" xfId="0" applyNumberFormat="1" applyFont="1" applyFill="1" applyBorder="1" applyAlignment="1">
      <alignment horizontal="center"/>
    </xf>
    <xf numFmtId="164" fontId="88" fillId="0" borderId="15" xfId="12" applyNumberFormat="1" applyFont="1" applyFill="1" applyBorder="1" applyAlignment="1">
      <alignment horizontal="right"/>
    </xf>
    <xf numFmtId="0" fontId="88" fillId="0" borderId="18" xfId="0" applyFont="1" applyFill="1" applyBorder="1"/>
    <xf numFmtId="0" fontId="88" fillId="0" borderId="0" xfId="0" applyFont="1" applyFill="1" applyBorder="1" applyAlignment="1">
      <alignment horizontal="center" wrapText="1"/>
    </xf>
    <xf numFmtId="43" fontId="88" fillId="0" borderId="0" xfId="12" applyFont="1" applyFill="1" applyBorder="1" applyAlignment="1">
      <alignment wrapText="1"/>
    </xf>
    <xf numFmtId="164" fontId="88" fillId="0" borderId="6" xfId="12" applyNumberFormat="1" applyFont="1" applyFill="1" applyBorder="1" applyAlignment="1">
      <alignment horizontal="right"/>
    </xf>
    <xf numFmtId="0" fontId="89" fillId="0" borderId="11" xfId="0" applyFont="1" applyFill="1" applyBorder="1"/>
    <xf numFmtId="164" fontId="89" fillId="0" borderId="7" xfId="12" applyNumberFormat="1" applyFont="1" applyFill="1" applyBorder="1" applyAlignment="1">
      <alignment horizontal="right"/>
    </xf>
    <xf numFmtId="43" fontId="89" fillId="0" borderId="8" xfId="12" applyFont="1" applyFill="1" applyBorder="1" applyAlignment="1">
      <alignment horizontal="right"/>
    </xf>
    <xf numFmtId="164" fontId="89" fillId="0" borderId="22" xfId="12" applyNumberFormat="1" applyFont="1" applyFill="1" applyBorder="1" applyAlignment="1">
      <alignment horizontal="right"/>
    </xf>
    <xf numFmtId="164" fontId="88" fillId="0" borderId="0" xfId="12" applyNumberFormat="1" applyFont="1" applyFill="1" applyBorder="1" applyAlignment="1">
      <alignment horizontal="right"/>
    </xf>
    <xf numFmtId="0" fontId="89" fillId="0" borderId="11" xfId="0" applyFont="1" applyFill="1" applyBorder="1" applyAlignment="1">
      <alignment vertical="center"/>
    </xf>
    <xf numFmtId="0" fontId="89" fillId="0" borderId="0" xfId="0" applyFont="1" applyFill="1" applyBorder="1" applyAlignment="1">
      <alignment vertical="center"/>
    </xf>
    <xf numFmtId="0" fontId="88" fillId="0" borderId="0" xfId="0" applyFont="1" applyFill="1" applyAlignment="1">
      <alignment vertical="center"/>
    </xf>
    <xf numFmtId="0" fontId="89" fillId="0" borderId="16" xfId="0" applyFont="1" applyFill="1" applyBorder="1"/>
    <xf numFmtId="164" fontId="89" fillId="0" borderId="14" xfId="12" applyNumberFormat="1" applyFont="1" applyFill="1" applyBorder="1" applyAlignment="1">
      <alignment horizontal="right"/>
    </xf>
    <xf numFmtId="164" fontId="89" fillId="0" borderId="15" xfId="12" applyNumberFormat="1" applyFont="1" applyFill="1" applyBorder="1" applyAlignment="1">
      <alignment horizontal="right"/>
    </xf>
    <xf numFmtId="0" fontId="89" fillId="0" borderId="14" xfId="12" applyNumberFormat="1" applyFont="1" applyFill="1" applyBorder="1" applyAlignment="1">
      <alignment horizontal="center"/>
    </xf>
    <xf numFmtId="164" fontId="89" fillId="0" borderId="7" xfId="12" applyNumberFormat="1" applyFont="1" applyFill="1" applyBorder="1" applyAlignment="1">
      <alignment horizontal="center" vertical="center"/>
    </xf>
    <xf numFmtId="43" fontId="89" fillId="0" borderId="7" xfId="12" applyFont="1" applyFill="1" applyBorder="1" applyAlignment="1">
      <alignment horizontal="center" vertical="center"/>
    </xf>
    <xf numFmtId="0" fontId="89" fillId="0" borderId="7" xfId="0" applyNumberFormat="1" applyFont="1" applyFill="1" applyBorder="1" applyAlignment="1">
      <alignment horizontal="center" vertical="center"/>
    </xf>
    <xf numFmtId="164" fontId="89" fillId="0" borderId="7" xfId="0" applyNumberFormat="1" applyFont="1" applyFill="1" applyBorder="1" applyAlignment="1">
      <alignment horizontal="center" vertical="center"/>
    </xf>
    <xf numFmtId="164" fontId="15" fillId="16" borderId="1" xfId="12" applyNumberFormat="1" applyFont="1" applyFill="1" applyBorder="1" applyAlignment="1" applyProtection="1">
      <alignment horizontal="right" vertical="center"/>
    </xf>
    <xf numFmtId="164" fontId="15" fillId="16" borderId="24" xfId="12" applyNumberFormat="1" applyFont="1" applyFill="1" applyBorder="1" applyAlignment="1" applyProtection="1">
      <alignment vertical="center"/>
      <protection locked="0"/>
    </xf>
    <xf numFmtId="164" fontId="16" fillId="16" borderId="41" xfId="12" applyNumberFormat="1" applyFont="1" applyFill="1" applyBorder="1" applyAlignment="1" applyProtection="1">
      <alignment vertical="center"/>
    </xf>
    <xf numFmtId="3" fontId="15" fillId="16" borderId="36" xfId="0" applyNumberFormat="1" applyFont="1" applyFill="1" applyBorder="1" applyAlignment="1" applyProtection="1">
      <alignment vertical="center"/>
      <protection locked="0"/>
    </xf>
    <xf numFmtId="164" fontId="15" fillId="16" borderId="6" xfId="12" applyNumberFormat="1" applyFont="1" applyFill="1" applyBorder="1" applyAlignment="1" applyProtection="1">
      <alignment vertical="center"/>
      <protection locked="0"/>
    </xf>
    <xf numFmtId="0" fontId="16" fillId="16" borderId="38" xfId="36" applyFont="1" applyFill="1" applyBorder="1" applyAlignment="1" applyProtection="1">
      <alignment vertical="center" wrapText="1"/>
      <protection locked="0"/>
    </xf>
    <xf numFmtId="164" fontId="16" fillId="16" borderId="11" xfId="12" applyNumberFormat="1" applyFont="1" applyFill="1" applyBorder="1" applyAlignment="1" applyProtection="1">
      <alignment vertical="center"/>
    </xf>
    <xf numFmtId="164" fontId="16" fillId="16" borderId="7" xfId="12" applyNumberFormat="1" applyFont="1" applyFill="1" applyBorder="1" applyAlignment="1" applyProtection="1">
      <alignment vertical="center"/>
    </xf>
    <xf numFmtId="0" fontId="16" fillId="16" borderId="38" xfId="36" applyFont="1" applyFill="1" applyBorder="1" applyAlignment="1" applyProtection="1">
      <alignment vertical="top" wrapText="1"/>
      <protection locked="0"/>
    </xf>
    <xf numFmtId="164" fontId="16" fillId="16" borderId="22" xfId="12" applyNumberFormat="1" applyFont="1" applyFill="1" applyBorder="1" applyProtection="1"/>
    <xf numFmtId="164" fontId="16" fillId="16" borderId="11" xfId="12" applyNumberFormat="1" applyFont="1" applyFill="1" applyBorder="1" applyProtection="1"/>
    <xf numFmtId="3" fontId="15" fillId="16" borderId="36" xfId="0" applyNumberFormat="1" applyFont="1" applyFill="1" applyBorder="1" applyProtection="1">
      <protection locked="0"/>
    </xf>
    <xf numFmtId="3" fontId="15" fillId="16" borderId="24" xfId="0" applyNumberFormat="1" applyFont="1" applyFill="1" applyBorder="1" applyProtection="1">
      <protection locked="0"/>
    </xf>
    <xf numFmtId="164" fontId="16" fillId="16" borderId="24" xfId="12" applyNumberFormat="1" applyFont="1" applyFill="1" applyBorder="1" applyProtection="1">
      <protection locked="0"/>
    </xf>
    <xf numFmtId="3" fontId="16" fillId="16" borderId="1" xfId="0" applyNumberFormat="1" applyFont="1" applyFill="1" applyBorder="1" applyProtection="1"/>
    <xf numFmtId="0" fontId="34" fillId="16" borderId="1" xfId="4" applyFont="1" applyFill="1" applyBorder="1" applyAlignment="1" applyProtection="1">
      <alignment horizontal="left"/>
      <protection locked="0" hidden="1"/>
    </xf>
    <xf numFmtId="164" fontId="34" fillId="16" borderId="1" xfId="12" applyNumberFormat="1" applyFont="1" applyFill="1" applyBorder="1" applyAlignment="1" applyProtection="1">
      <alignment horizontal="right" vertical="center"/>
      <protection hidden="1"/>
    </xf>
    <xf numFmtId="164" fontId="15" fillId="0" borderId="1" xfId="12" applyNumberFormat="1" applyFont="1" applyFill="1" applyBorder="1" applyAlignment="1">
      <alignment wrapText="1"/>
    </xf>
    <xf numFmtId="164" fontId="15" fillId="0" borderId="1" xfId="12" applyNumberFormat="1" applyFont="1" applyFill="1" applyBorder="1" applyAlignment="1">
      <alignment horizontal="right" wrapText="1"/>
    </xf>
    <xf numFmtId="164" fontId="15" fillId="0" borderId="48" xfId="12" applyNumberFormat="1" applyFont="1" applyFill="1" applyBorder="1" applyAlignment="1">
      <alignment horizontal="right" wrapText="1"/>
    </xf>
    <xf numFmtId="164" fontId="16" fillId="0" borderId="43" xfId="12" applyNumberFormat="1" applyFont="1" applyFill="1" applyBorder="1" applyAlignment="1">
      <alignment horizontal="right" vertical="top" wrapText="1"/>
    </xf>
    <xf numFmtId="164" fontId="15" fillId="0" borderId="2" xfId="12" applyNumberFormat="1" applyFont="1" applyFill="1" applyBorder="1" applyAlignment="1">
      <alignment horizontal="right" vertical="top" wrapText="1"/>
    </xf>
    <xf numFmtId="164" fontId="15" fillId="0" borderId="24" xfId="12" applyNumberFormat="1" applyFont="1" applyFill="1" applyBorder="1" applyAlignment="1">
      <alignment horizontal="right" wrapText="1"/>
    </xf>
    <xf numFmtId="164" fontId="16" fillId="0" borderId="43" xfId="12" applyNumberFormat="1" applyFont="1" applyFill="1" applyBorder="1" applyAlignment="1">
      <alignment horizontal="right" wrapText="1"/>
    </xf>
    <xf numFmtId="164" fontId="16" fillId="0" borderId="7" xfId="12" applyNumberFormat="1" applyFont="1" applyFill="1" applyBorder="1" applyAlignment="1">
      <alignment horizontal="right" vertical="top" wrapText="1"/>
    </xf>
    <xf numFmtId="164" fontId="15" fillId="0" borderId="2" xfId="12" applyNumberFormat="1" applyFont="1" applyFill="1" applyBorder="1" applyAlignment="1">
      <alignment horizontal="right" wrapText="1"/>
    </xf>
    <xf numFmtId="164" fontId="16" fillId="0" borderId="22" xfId="12" applyNumberFormat="1" applyFont="1" applyFill="1" applyBorder="1" applyAlignment="1">
      <alignment wrapText="1"/>
    </xf>
    <xf numFmtId="164" fontId="15" fillId="0" borderId="3" xfId="12" applyNumberFormat="1" applyFont="1" applyFill="1" applyBorder="1" applyAlignment="1">
      <alignment horizontal="right" wrapText="1"/>
    </xf>
    <xf numFmtId="164" fontId="16" fillId="0" borderId="7" xfId="12" applyNumberFormat="1" applyFont="1" applyFill="1" applyBorder="1" applyAlignment="1">
      <alignment horizontal="right" wrapText="1"/>
    </xf>
    <xf numFmtId="0" fontId="17" fillId="0" borderId="1" xfId="0" applyFont="1" applyFill="1" applyBorder="1" applyAlignment="1">
      <alignment horizontal="justify" wrapText="1"/>
    </xf>
    <xf numFmtId="43" fontId="17" fillId="0" borderId="1" xfId="12" applyFont="1" applyFill="1" applyBorder="1" applyAlignment="1">
      <alignment horizontal="right" wrapText="1"/>
    </xf>
    <xf numFmtId="43" fontId="17" fillId="0" borderId="24" xfId="12" applyFont="1" applyFill="1" applyBorder="1" applyAlignment="1">
      <alignment horizontal="right" wrapText="1"/>
    </xf>
    <xf numFmtId="0" fontId="20" fillId="0" borderId="0" xfId="0" applyFont="1" applyFill="1" applyAlignment="1" applyProtection="1">
      <alignment vertical="center"/>
      <protection locked="0" hidden="1"/>
    </xf>
    <xf numFmtId="0" fontId="19" fillId="0" borderId="14" xfId="19" applyFont="1" applyFill="1" applyBorder="1" applyAlignment="1" applyProtection="1">
      <alignment horizontal="center" vertical="center" wrapText="1"/>
      <protection locked="0" hidden="1"/>
    </xf>
    <xf numFmtId="0" fontId="19" fillId="0" borderId="5" xfId="19" applyFont="1" applyFill="1" applyBorder="1" applyAlignment="1" applyProtection="1">
      <alignment horizontal="center" vertical="center" wrapText="1"/>
      <protection locked="0" hidden="1"/>
    </xf>
    <xf numFmtId="164" fontId="19" fillId="0" borderId="14" xfId="12" applyNumberFormat="1" applyFont="1" applyFill="1" applyBorder="1" applyAlignment="1" applyProtection="1">
      <alignment horizontal="center" wrapText="1"/>
      <protection locked="0" hidden="1"/>
    </xf>
    <xf numFmtId="1" fontId="19" fillId="0" borderId="24" xfId="0" applyNumberFormat="1" applyFont="1" applyFill="1" applyBorder="1" applyAlignment="1" applyProtection="1">
      <alignment horizontal="center" vertical="center"/>
      <protection locked="0" hidden="1"/>
    </xf>
    <xf numFmtId="0" fontId="19" fillId="0" borderId="24" xfId="0" applyFont="1" applyFill="1" applyBorder="1" applyAlignment="1" applyProtection="1">
      <alignment vertical="center" wrapText="1"/>
      <protection locked="0" hidden="1"/>
    </xf>
    <xf numFmtId="164" fontId="20" fillId="0" borderId="1" xfId="12" applyNumberFormat="1" applyFont="1" applyFill="1" applyBorder="1" applyAlignment="1" applyProtection="1">
      <alignment horizontal="right" vertical="center"/>
      <protection locked="0" hidden="1"/>
    </xf>
    <xf numFmtId="0" fontId="20" fillId="0" borderId="1" xfId="0" applyFont="1" applyFill="1" applyBorder="1" applyAlignment="1" applyProtection="1">
      <alignment horizontal="left" vertical="center" wrapText="1"/>
      <protection locked="0" hidden="1"/>
    </xf>
    <xf numFmtId="164" fontId="20" fillId="0" borderId="24" xfId="12" applyNumberFormat="1" applyFont="1" applyFill="1" applyBorder="1" applyAlignment="1" applyProtection="1">
      <alignment horizontal="right" vertical="center"/>
      <protection locked="0" hidden="1"/>
    </xf>
    <xf numFmtId="1" fontId="19" fillId="0" borderId="1" xfId="0" applyNumberFormat="1" applyFont="1" applyFill="1" applyBorder="1" applyAlignment="1" applyProtection="1">
      <alignment horizontal="center" vertical="center"/>
      <protection locked="0" hidden="1"/>
    </xf>
    <xf numFmtId="164" fontId="19" fillId="0" borderId="41" xfId="12" applyNumberFormat="1" applyFont="1" applyFill="1" applyBorder="1" applyAlignment="1" applyProtection="1">
      <alignment vertical="center"/>
      <protection hidden="1"/>
    </xf>
    <xf numFmtId="164" fontId="19" fillId="0" borderId="42" xfId="12" applyNumberFormat="1" applyFont="1" applyFill="1" applyBorder="1" applyAlignment="1" applyProtection="1">
      <alignment horizontal="right" vertical="center"/>
      <protection hidden="1"/>
    </xf>
    <xf numFmtId="164" fontId="19" fillId="0" borderId="41" xfId="12" applyNumberFormat="1" applyFont="1" applyFill="1" applyBorder="1" applyAlignment="1" applyProtection="1">
      <alignment horizontal="right" vertical="center"/>
      <protection hidden="1"/>
    </xf>
    <xf numFmtId="0" fontId="19" fillId="0" borderId="0" xfId="0" applyFont="1" applyFill="1" applyAlignment="1" applyProtection="1">
      <alignment vertical="center"/>
      <protection locked="0" hidden="1"/>
    </xf>
    <xf numFmtId="1" fontId="19" fillId="0" borderId="23" xfId="0" applyNumberFormat="1" applyFont="1" applyFill="1" applyBorder="1" applyAlignment="1" applyProtection="1">
      <alignment horizontal="center" vertical="center"/>
      <protection locked="0" hidden="1"/>
    </xf>
    <xf numFmtId="0" fontId="19" fillId="0" borderId="23" xfId="0" applyFont="1" applyFill="1" applyBorder="1" applyAlignment="1" applyProtection="1">
      <alignment vertical="center" wrapText="1"/>
      <protection locked="0" hidden="1"/>
    </xf>
    <xf numFmtId="164" fontId="20" fillId="0" borderId="1" xfId="12" applyNumberFormat="1" applyFont="1" applyFill="1" applyBorder="1" applyAlignment="1" applyProtection="1">
      <alignment vertical="center"/>
      <protection hidden="1"/>
    </xf>
    <xf numFmtId="164" fontId="19" fillId="0" borderId="11" xfId="12" applyNumberFormat="1" applyFont="1" applyFill="1" applyBorder="1" applyAlignment="1" applyProtection="1">
      <alignment vertical="center"/>
      <protection hidden="1"/>
    </xf>
    <xf numFmtId="1" fontId="20" fillId="0" borderId="0" xfId="0" applyNumberFormat="1" applyFont="1" applyFill="1" applyBorder="1" applyAlignment="1" applyProtection="1">
      <alignment horizontal="center" vertical="center"/>
      <protection locked="0" hidden="1"/>
    </xf>
    <xf numFmtId="164" fontId="19" fillId="0" borderId="0" xfId="12" applyNumberFormat="1" applyFont="1" applyFill="1" applyBorder="1" applyAlignment="1" applyProtection="1">
      <alignment vertical="center"/>
      <protection locked="0" hidden="1"/>
    </xf>
    <xf numFmtId="0" fontId="19" fillId="0" borderId="7" xfId="19" applyFont="1" applyFill="1" applyBorder="1" applyAlignment="1" applyProtection="1">
      <alignment horizontal="center" vertical="center" wrapText="1"/>
      <protection locked="0" hidden="1"/>
    </xf>
    <xf numFmtId="1" fontId="19" fillId="0" borderId="3" xfId="0" applyNumberFormat="1" applyFont="1" applyFill="1" applyBorder="1" applyAlignment="1" applyProtection="1">
      <alignment horizontal="center" vertical="center"/>
      <protection locked="0" hidden="1"/>
    </xf>
    <xf numFmtId="0" fontId="19" fillId="0" borderId="18" xfId="0" applyFont="1" applyFill="1" applyBorder="1" applyAlignment="1" applyProtection="1">
      <alignment vertical="center" wrapText="1"/>
      <protection locked="0" hidden="1"/>
    </xf>
    <xf numFmtId="164" fontId="20" fillId="0" borderId="3" xfId="12" applyNumberFormat="1" applyFont="1" applyFill="1" applyBorder="1" applyAlignment="1" applyProtection="1">
      <alignment vertical="center"/>
      <protection locked="0" hidden="1"/>
    </xf>
    <xf numFmtId="164" fontId="20" fillId="0" borderId="6" xfId="12" applyNumberFormat="1" applyFont="1" applyFill="1" applyBorder="1" applyAlignment="1" applyProtection="1">
      <alignment vertical="center"/>
      <protection locked="0" hidden="1"/>
    </xf>
    <xf numFmtId="164" fontId="19" fillId="0" borderId="43" xfId="12" applyNumberFormat="1" applyFont="1" applyFill="1" applyBorder="1" applyAlignment="1" applyProtection="1">
      <alignment horizontal="right" vertical="center"/>
      <protection hidden="1"/>
    </xf>
    <xf numFmtId="0" fontId="19" fillId="0" borderId="1" xfId="0" applyFont="1" applyFill="1" applyBorder="1" applyAlignment="1" applyProtection="1">
      <alignment vertical="center" wrapText="1"/>
      <protection locked="0" hidden="1"/>
    </xf>
    <xf numFmtId="164" fontId="19" fillId="0" borderId="42" xfId="12" applyNumberFormat="1" applyFont="1" applyFill="1" applyBorder="1" applyAlignment="1" applyProtection="1">
      <alignment vertical="center"/>
      <protection hidden="1"/>
    </xf>
    <xf numFmtId="164" fontId="19" fillId="0" borderId="43" xfId="12" applyNumberFormat="1" applyFont="1" applyFill="1" applyBorder="1" applyAlignment="1" applyProtection="1">
      <alignment vertical="center"/>
      <protection hidden="1"/>
    </xf>
    <xf numFmtId="1" fontId="20" fillId="0" borderId="3" xfId="0" applyNumberFormat="1" applyFont="1" applyFill="1" applyBorder="1" applyAlignment="1" applyProtection="1">
      <alignment horizontal="center" vertical="center"/>
      <protection locked="0" hidden="1"/>
    </xf>
    <xf numFmtId="0" fontId="19" fillId="0" borderId="0" xfId="0" applyFont="1" applyFill="1" applyAlignment="1" applyProtection="1">
      <alignment horizontal="center" vertical="center" wrapText="1"/>
      <protection locked="0" hidden="1"/>
    </xf>
    <xf numFmtId="164" fontId="20" fillId="0" borderId="0" xfId="12" applyNumberFormat="1" applyFont="1" applyFill="1" applyBorder="1" applyAlignment="1" applyProtection="1">
      <alignment vertical="center"/>
      <protection locked="0" hidden="1"/>
    </xf>
    <xf numFmtId="164" fontId="20" fillId="0" borderId="4" xfId="12" applyNumberFormat="1" applyFont="1" applyFill="1" applyBorder="1" applyAlignment="1" applyProtection="1">
      <alignment vertical="center"/>
      <protection locked="0" hidden="1"/>
    </xf>
    <xf numFmtId="1" fontId="19" fillId="0" borderId="7" xfId="20" applyNumberFormat="1" applyFont="1" applyFill="1" applyBorder="1" applyAlignment="1" applyProtection="1">
      <alignment horizontal="center" vertical="center"/>
      <protection locked="0" hidden="1"/>
    </xf>
    <xf numFmtId="164" fontId="19" fillId="0" borderId="7" xfId="12" applyNumberFormat="1" applyFont="1" applyFill="1" applyBorder="1" applyAlignment="1" applyProtection="1">
      <alignment vertical="center"/>
      <protection hidden="1"/>
    </xf>
    <xf numFmtId="0" fontId="20" fillId="0" borderId="5" xfId="0" applyFont="1" applyFill="1" applyBorder="1" applyAlignment="1" applyProtection="1">
      <alignment vertical="center"/>
      <protection locked="0" hidden="1"/>
    </xf>
    <xf numFmtId="0" fontId="20" fillId="0" borderId="25" xfId="0" applyFont="1" applyFill="1" applyBorder="1" applyAlignment="1" applyProtection="1">
      <alignment horizontal="center" vertical="center"/>
      <protection locked="0" hidden="1"/>
    </xf>
    <xf numFmtId="164" fontId="20" fillId="0" borderId="14" xfId="12" applyNumberFormat="1" applyFont="1" applyFill="1" applyBorder="1" applyAlignment="1" applyProtection="1">
      <alignment vertical="center"/>
      <protection locked="0" hidden="1"/>
    </xf>
    <xf numFmtId="164" fontId="20" fillId="0" borderId="25" xfId="12" applyNumberFormat="1" applyFont="1" applyFill="1" applyBorder="1" applyAlignment="1" applyProtection="1">
      <alignment vertical="center"/>
      <protection locked="0" hidden="1"/>
    </xf>
    <xf numFmtId="164" fontId="20" fillId="0" borderId="5" xfId="12" applyNumberFormat="1" applyFont="1" applyFill="1" applyBorder="1" applyAlignment="1" applyProtection="1">
      <alignment vertical="center"/>
      <protection locked="0" hidden="1"/>
    </xf>
    <xf numFmtId="0" fontId="20" fillId="0" borderId="1" xfId="0" applyFont="1" applyFill="1" applyBorder="1" applyAlignment="1" applyProtection="1">
      <alignment vertical="center"/>
      <protection locked="0" hidden="1"/>
    </xf>
    <xf numFmtId="164" fontId="19" fillId="0" borderId="7" xfId="12" applyNumberFormat="1" applyFont="1" applyFill="1" applyBorder="1" applyAlignment="1" applyProtection="1">
      <alignment vertical="center"/>
      <protection locked="0" hidden="1"/>
    </xf>
    <xf numFmtId="164" fontId="19" fillId="0" borderId="7" xfId="12" applyNumberFormat="1" applyFont="1" applyFill="1" applyBorder="1" applyAlignment="1" applyProtection="1">
      <alignment horizontal="center" vertical="center"/>
      <protection hidden="1"/>
    </xf>
    <xf numFmtId="0" fontId="19" fillId="0" borderId="1" xfId="0" applyFont="1" applyFill="1" applyBorder="1" applyAlignment="1" applyProtection="1">
      <alignment horizontal="left" vertical="center" wrapText="1"/>
      <protection locked="0" hidden="1"/>
    </xf>
    <xf numFmtId="164" fontId="20" fillId="0" borderId="1" xfId="12" applyNumberFormat="1" applyFont="1" applyFill="1" applyBorder="1" applyAlignment="1" applyProtection="1">
      <alignment horizontal="center" vertical="center"/>
      <protection hidden="1"/>
    </xf>
    <xf numFmtId="164" fontId="19" fillId="0" borderId="1" xfId="12" applyNumberFormat="1" applyFont="1" applyFill="1" applyBorder="1" applyAlignment="1" applyProtection="1">
      <alignment horizontal="center" vertical="center"/>
      <protection locked="0" hidden="1"/>
    </xf>
    <xf numFmtId="0" fontId="19" fillId="0" borderId="32" xfId="0" applyFont="1" applyFill="1" applyBorder="1" applyAlignment="1" applyProtection="1">
      <alignment vertical="center" wrapText="1"/>
      <protection locked="0" hidden="1"/>
    </xf>
    <xf numFmtId="164" fontId="20" fillId="0" borderId="31" xfId="12" applyNumberFormat="1" applyFont="1" applyFill="1" applyBorder="1" applyAlignment="1" applyProtection="1">
      <alignment vertical="center"/>
      <protection locked="0" hidden="1"/>
    </xf>
    <xf numFmtId="164" fontId="20" fillId="0" borderId="7" xfId="12" applyNumberFormat="1" applyFont="1" applyFill="1" applyBorder="1" applyAlignment="1" applyProtection="1">
      <alignment vertical="center"/>
      <protection locked="0" hidden="1"/>
    </xf>
    <xf numFmtId="1" fontId="19" fillId="0" borderId="7" xfId="19" applyNumberFormat="1" applyFont="1" applyFill="1" applyBorder="1" applyAlignment="1" applyProtection="1">
      <alignment horizontal="center" vertical="center"/>
      <protection locked="0" hidden="1"/>
    </xf>
    <xf numFmtId="0" fontId="19" fillId="0" borderId="21" xfId="19" applyFont="1" applyFill="1" applyBorder="1" applyAlignment="1" applyProtection="1">
      <alignment vertical="center" wrapText="1"/>
      <protection locked="0" hidden="1"/>
    </xf>
    <xf numFmtId="1" fontId="19" fillId="0" borderId="2" xfId="0" applyNumberFormat="1" applyFont="1" applyFill="1" applyBorder="1" applyAlignment="1" applyProtection="1">
      <alignment horizontal="center" vertical="center"/>
      <protection locked="0" hidden="1"/>
    </xf>
    <xf numFmtId="0" fontId="19" fillId="0" borderId="2" xfId="0" applyFont="1" applyFill="1" applyBorder="1" applyAlignment="1" applyProtection="1">
      <alignment vertical="center" wrapText="1"/>
      <protection locked="0" hidden="1"/>
    </xf>
    <xf numFmtId="164" fontId="20" fillId="0" borderId="24" xfId="12" applyNumberFormat="1" applyFont="1" applyFill="1" applyBorder="1" applyAlignment="1" applyProtection="1">
      <alignment vertical="center"/>
      <protection hidden="1"/>
    </xf>
    <xf numFmtId="164" fontId="19" fillId="0" borderId="4" xfId="12" applyNumberFormat="1" applyFont="1" applyFill="1" applyBorder="1" applyAlignment="1" applyProtection="1">
      <alignment vertical="center"/>
      <protection hidden="1"/>
    </xf>
    <xf numFmtId="1" fontId="20" fillId="0" borderId="24" xfId="0" applyNumberFormat="1" applyFont="1" applyFill="1" applyBorder="1" applyAlignment="1" applyProtection="1">
      <alignment horizontal="center" vertical="center"/>
      <protection locked="0" hidden="1"/>
    </xf>
    <xf numFmtId="0" fontId="20" fillId="0" borderId="24" xfId="0" applyFont="1" applyFill="1" applyBorder="1" applyAlignment="1" applyProtection="1">
      <alignment vertical="center" wrapText="1"/>
      <protection locked="0" hidden="1"/>
    </xf>
    <xf numFmtId="1" fontId="20" fillId="0" borderId="7" xfId="19" applyNumberFormat="1" applyFont="1" applyFill="1" applyBorder="1" applyAlignment="1" applyProtection="1">
      <alignment horizontal="center" vertical="center"/>
      <protection locked="0" hidden="1"/>
    </xf>
    <xf numFmtId="0" fontId="19" fillId="0" borderId="8" xfId="19" applyFont="1" applyFill="1" applyBorder="1" applyAlignment="1" applyProtection="1">
      <alignment vertical="center" wrapText="1"/>
      <protection locked="0" hidden="1"/>
    </xf>
    <xf numFmtId="1" fontId="20" fillId="0" borderId="0" xfId="19" applyNumberFormat="1" applyFont="1" applyFill="1" applyBorder="1" applyAlignment="1" applyProtection="1">
      <alignment horizontal="center" vertical="center"/>
      <protection locked="0" hidden="1"/>
    </xf>
    <xf numFmtId="0" fontId="19" fillId="0" borderId="0" xfId="19" applyFont="1" applyFill="1" applyBorder="1" applyAlignment="1" applyProtection="1">
      <alignment vertical="center" wrapText="1"/>
      <protection locked="0" hidden="1"/>
    </xf>
    <xf numFmtId="164" fontId="19" fillId="0" borderId="0" xfId="12" applyNumberFormat="1" applyFont="1" applyFill="1" applyBorder="1" applyAlignment="1" applyProtection="1">
      <alignment vertical="center"/>
      <protection hidden="1"/>
    </xf>
    <xf numFmtId="1" fontId="18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8" fillId="0" borderId="32" xfId="0" applyFont="1" applyFill="1" applyBorder="1" applyAlignment="1" applyProtection="1">
      <alignment vertical="center" wrapText="1"/>
      <protection locked="0" hidden="1"/>
    </xf>
    <xf numFmtId="0" fontId="17" fillId="0" borderId="0" xfId="0" applyFont="1" applyFill="1" applyAlignment="1" applyProtection="1">
      <alignment vertical="center"/>
      <protection locked="0" hidden="1"/>
    </xf>
    <xf numFmtId="1" fontId="17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7" fillId="0" borderId="32" xfId="0" applyFont="1" applyFill="1" applyBorder="1" applyAlignment="1" applyProtection="1">
      <alignment vertical="center" wrapText="1"/>
      <protection locked="0" hidden="1"/>
    </xf>
    <xf numFmtId="164" fontId="17" fillId="0" borderId="1" xfId="12" applyNumberFormat="1" applyFont="1" applyFill="1" applyBorder="1" applyAlignment="1" applyProtection="1">
      <alignment vertical="center"/>
      <protection locked="0" hidden="1"/>
    </xf>
    <xf numFmtId="164" fontId="18" fillId="0" borderId="1" xfId="12" applyNumberFormat="1" applyFont="1" applyFill="1" applyBorder="1" applyAlignment="1" applyProtection="1">
      <alignment vertical="center"/>
      <protection locked="0" hidden="1"/>
    </xf>
    <xf numFmtId="1" fontId="20" fillId="0" borderId="4" xfId="19" applyNumberFormat="1" applyFont="1" applyFill="1" applyBorder="1" applyAlignment="1" applyProtection="1">
      <alignment horizontal="center" vertical="center"/>
      <protection locked="0" hidden="1"/>
    </xf>
    <xf numFmtId="0" fontId="19" fillId="0" borderId="21" xfId="19" applyFont="1" applyFill="1" applyBorder="1" applyAlignment="1" applyProtection="1">
      <alignment vertical="center"/>
      <protection locked="0" hidden="1"/>
    </xf>
    <xf numFmtId="0" fontId="20" fillId="0" borderId="14" xfId="0" applyFont="1" applyFill="1" applyBorder="1" applyAlignment="1" applyProtection="1">
      <alignment vertical="center"/>
      <protection locked="0" hidden="1"/>
    </xf>
    <xf numFmtId="0" fontId="19" fillId="0" borderId="25" xfId="0" applyFont="1" applyFill="1" applyBorder="1" applyAlignment="1" applyProtection="1">
      <alignment horizontal="center" vertical="center"/>
      <protection locked="0" hidden="1"/>
    </xf>
    <xf numFmtId="164" fontId="20" fillId="0" borderId="61" xfId="12" applyNumberFormat="1" applyFont="1" applyFill="1" applyBorder="1" applyAlignment="1" applyProtection="1">
      <alignment vertical="center"/>
      <protection locked="0" hidden="1"/>
    </xf>
    <xf numFmtId="164" fontId="20" fillId="0" borderId="23" xfId="12" applyNumberFormat="1" applyFont="1" applyFill="1" applyBorder="1" applyAlignment="1" applyProtection="1">
      <alignment vertical="center"/>
      <protection locked="0" hidden="1"/>
    </xf>
    <xf numFmtId="0" fontId="19" fillId="0" borderId="0" xfId="0" applyFont="1" applyFill="1" applyBorder="1" applyAlignment="1" applyProtection="1">
      <alignment vertical="center" wrapText="1"/>
      <protection locked="0" hidden="1"/>
    </xf>
    <xf numFmtId="164" fontId="19" fillId="0" borderId="4" xfId="12" applyNumberFormat="1" applyFont="1" applyFill="1" applyBorder="1" applyAlignment="1" applyProtection="1">
      <alignment vertical="center"/>
      <protection locked="0" hidden="1"/>
    </xf>
    <xf numFmtId="0" fontId="19" fillId="0" borderId="0" xfId="0" applyFont="1" applyFill="1" applyAlignment="1" applyProtection="1">
      <alignment vertical="center" wrapText="1"/>
      <protection locked="0" hidden="1"/>
    </xf>
    <xf numFmtId="164" fontId="19" fillId="0" borderId="22" xfId="12" applyNumberFormat="1" applyFont="1" applyFill="1" applyBorder="1" applyAlignment="1" applyProtection="1">
      <alignment vertical="center"/>
      <protection hidden="1"/>
    </xf>
    <xf numFmtId="0" fontId="20" fillId="0" borderId="0" xfId="0" applyFont="1" applyFill="1" applyBorder="1" applyAlignment="1" applyProtection="1">
      <alignment vertical="center"/>
      <protection locked="0" hidden="1"/>
    </xf>
    <xf numFmtId="164" fontId="19" fillId="0" borderId="7" xfId="19" applyNumberFormat="1" applyFont="1" applyFill="1" applyBorder="1" applyAlignment="1" applyProtection="1">
      <alignment horizontal="center" wrapText="1"/>
      <protection locked="0" hidden="1"/>
    </xf>
    <xf numFmtId="164" fontId="19" fillId="0" borderId="1" xfId="12" applyNumberFormat="1" applyFont="1" applyFill="1" applyBorder="1" applyAlignment="1" applyProtection="1">
      <alignment vertical="center"/>
      <protection hidden="1"/>
    </xf>
    <xf numFmtId="164" fontId="19" fillId="0" borderId="41" xfId="12" applyNumberFormat="1" applyFont="1" applyFill="1" applyBorder="1" applyAlignment="1" applyProtection="1">
      <alignment vertical="center"/>
      <protection locked="0" hidden="1"/>
    </xf>
    <xf numFmtId="164" fontId="19" fillId="0" borderId="42" xfId="12" applyNumberFormat="1" applyFont="1" applyFill="1" applyBorder="1" applyAlignment="1" applyProtection="1">
      <alignment vertical="center"/>
      <protection locked="0" hidden="1"/>
    </xf>
    <xf numFmtId="164" fontId="19" fillId="0" borderId="43" xfId="12" applyNumberFormat="1" applyFont="1" applyFill="1" applyBorder="1" applyAlignment="1" applyProtection="1">
      <alignment vertical="center"/>
      <protection locked="0" hidden="1"/>
    </xf>
    <xf numFmtId="164" fontId="19" fillId="0" borderId="23" xfId="12" applyNumberFormat="1" applyFont="1" applyFill="1" applyBorder="1" applyAlignment="1" applyProtection="1">
      <alignment vertical="center"/>
      <protection hidden="1"/>
    </xf>
    <xf numFmtId="0" fontId="19" fillId="0" borderId="0" xfId="15" applyFont="1" applyFill="1" applyBorder="1" applyAlignment="1" applyProtection="1">
      <alignment vertical="center"/>
      <protection locked="0" hidden="1"/>
    </xf>
    <xf numFmtId="164" fontId="19" fillId="0" borderId="0" xfId="15" applyNumberFormat="1" applyFont="1" applyFill="1" applyBorder="1" applyAlignment="1" applyProtection="1">
      <alignment vertical="center"/>
      <protection locked="0" hidden="1"/>
    </xf>
    <xf numFmtId="164" fontId="19" fillId="0" borderId="26" xfId="12" applyNumberFormat="1" applyFont="1" applyFill="1" applyBorder="1" applyAlignment="1" applyProtection="1">
      <alignment vertical="center"/>
      <protection hidden="1"/>
    </xf>
    <xf numFmtId="0" fontId="19" fillId="0" borderId="0" xfId="15" applyFont="1" applyFill="1" applyBorder="1" applyAlignment="1" applyProtection="1">
      <alignment horizontal="center" vertical="center"/>
      <protection locked="0" hidden="1"/>
    </xf>
    <xf numFmtId="0" fontId="20" fillId="0" borderId="36" xfId="0" applyFont="1" applyFill="1" applyBorder="1" applyAlignment="1" applyProtection="1">
      <alignment vertical="center" wrapText="1"/>
      <protection locked="0" hidden="1"/>
    </xf>
    <xf numFmtId="164" fontId="20" fillId="0" borderId="36" xfId="12" applyNumberFormat="1" applyFont="1" applyFill="1" applyBorder="1" applyAlignment="1" applyProtection="1">
      <alignment vertical="center"/>
      <protection locked="0" hidden="1"/>
    </xf>
    <xf numFmtId="164" fontId="20" fillId="0" borderId="37" xfId="12" applyNumberFormat="1" applyFont="1" applyFill="1" applyBorder="1" applyAlignment="1" applyProtection="1">
      <alignment vertical="center"/>
      <protection locked="0" hidden="1"/>
    </xf>
    <xf numFmtId="164" fontId="19" fillId="0" borderId="22" xfId="12" applyNumberFormat="1" applyFont="1" applyFill="1" applyBorder="1" applyAlignment="1" applyProtection="1">
      <alignment vertical="center"/>
      <protection locked="0" hidden="1"/>
    </xf>
    <xf numFmtId="164" fontId="19" fillId="0" borderId="26" xfId="12" applyNumberFormat="1" applyFont="1" applyFill="1" applyBorder="1" applyAlignment="1" applyProtection="1">
      <alignment vertical="center"/>
      <protection locked="0" hidden="1"/>
    </xf>
    <xf numFmtId="0" fontId="19" fillId="0" borderId="7" xfId="19" applyFont="1" applyFill="1" applyBorder="1" applyAlignment="1" applyProtection="1">
      <alignment vertical="center" wrapText="1"/>
      <protection locked="0" hidden="1"/>
    </xf>
    <xf numFmtId="1" fontId="20" fillId="0" borderId="0" xfId="19" applyNumberFormat="1" applyFont="1" applyFill="1" applyAlignment="1" applyProtection="1">
      <alignment horizontal="center" vertical="center"/>
      <protection locked="0" hidden="1"/>
    </xf>
    <xf numFmtId="0" fontId="20" fillId="0" borderId="0" xfId="19" applyFont="1" applyFill="1" applyAlignment="1" applyProtection="1">
      <alignment vertical="center" wrapText="1"/>
      <protection locked="0" hidden="1"/>
    </xf>
    <xf numFmtId="164" fontId="20" fillId="0" borderId="0" xfId="12" applyNumberFormat="1" applyFont="1" applyFill="1" applyAlignment="1" applyProtection="1">
      <alignment vertical="center"/>
      <protection locked="0" hidden="1"/>
    </xf>
    <xf numFmtId="0" fontId="95" fillId="0" borderId="0" xfId="0" applyFont="1" applyFill="1"/>
    <xf numFmtId="0" fontId="20" fillId="0" borderId="1" xfId="0" applyFont="1" applyFill="1" applyBorder="1" applyAlignment="1" applyProtection="1">
      <alignment horizontal="center" vertical="center"/>
      <protection locked="0" hidden="1"/>
    </xf>
    <xf numFmtId="0" fontId="20" fillId="0" borderId="32" xfId="0" applyFont="1" applyFill="1" applyBorder="1" applyAlignment="1" applyProtection="1">
      <alignment vertical="center"/>
      <protection locked="0" hidden="1"/>
    </xf>
    <xf numFmtId="164" fontId="20" fillId="0" borderId="2" xfId="12" applyNumberFormat="1" applyFont="1" applyFill="1" applyBorder="1" applyAlignment="1" applyProtection="1">
      <alignment vertical="center"/>
      <protection hidden="1"/>
    </xf>
    <xf numFmtId="1" fontId="20" fillId="0" borderId="1" xfId="0" applyNumberFormat="1" applyFont="1" applyFill="1" applyBorder="1" applyAlignment="1">
      <alignment horizontal="center" vertical="center"/>
    </xf>
    <xf numFmtId="1" fontId="19" fillId="0" borderId="30" xfId="0" applyNumberFormat="1" applyFont="1" applyFill="1" applyBorder="1" applyAlignment="1">
      <alignment horizontal="center"/>
    </xf>
    <xf numFmtId="0" fontId="19" fillId="0" borderId="38" xfId="0" applyFont="1" applyFill="1" applyBorder="1" applyAlignment="1" applyProtection="1">
      <alignment vertical="center" wrapText="1"/>
      <protection locked="0" hidden="1"/>
    </xf>
    <xf numFmtId="0" fontId="20" fillId="0" borderId="16" xfId="0" applyFont="1" applyFill="1" applyBorder="1" applyAlignment="1" applyProtection="1">
      <alignment vertical="center"/>
      <protection locked="0" hidden="1"/>
    </xf>
    <xf numFmtId="0" fontId="20" fillId="0" borderId="14" xfId="0" applyFont="1" applyFill="1" applyBorder="1" applyAlignment="1" applyProtection="1">
      <alignment horizontal="center" vertical="center"/>
      <protection locked="0" hidden="1"/>
    </xf>
    <xf numFmtId="3" fontId="20" fillId="0" borderId="24" xfId="0" applyNumberFormat="1" applyFont="1" applyFill="1" applyBorder="1"/>
    <xf numFmtId="0" fontId="19" fillId="0" borderId="32" xfId="0" applyFont="1" applyFill="1" applyBorder="1" applyAlignment="1" applyProtection="1">
      <alignment horizontal="left" vertical="center" wrapText="1"/>
      <protection locked="0" hidden="1"/>
    </xf>
    <xf numFmtId="164" fontId="19" fillId="0" borderId="31" xfId="12" applyNumberFormat="1" applyFont="1" applyFill="1" applyBorder="1" applyAlignment="1" applyProtection="1">
      <alignment vertical="center"/>
      <protection locked="0" hidden="1"/>
    </xf>
    <xf numFmtId="164" fontId="19" fillId="0" borderId="23" xfId="12" applyNumberFormat="1" applyFont="1" applyFill="1" applyBorder="1" applyAlignment="1" applyProtection="1">
      <alignment vertical="center"/>
      <protection locked="0" hidden="1"/>
    </xf>
    <xf numFmtId="0" fontId="20" fillId="0" borderId="32" xfId="0" applyFont="1" applyFill="1" applyBorder="1" applyAlignment="1" applyProtection="1">
      <alignment horizontal="left" vertical="center" wrapText="1"/>
      <protection locked="0" hidden="1"/>
    </xf>
    <xf numFmtId="164" fontId="19" fillId="0" borderId="24" xfId="12" applyNumberFormat="1" applyFont="1" applyFill="1" applyBorder="1" applyAlignment="1" applyProtection="1">
      <alignment vertical="center"/>
      <protection locked="0" hidden="1"/>
    </xf>
    <xf numFmtId="1" fontId="19" fillId="0" borderId="32" xfId="19" applyNumberFormat="1" applyFont="1" applyFill="1" applyBorder="1" applyAlignment="1" applyProtection="1">
      <alignment horizontal="center" vertical="center"/>
      <protection locked="0" hidden="1"/>
    </xf>
    <xf numFmtId="164" fontId="20" fillId="0" borderId="1" xfId="25" applyNumberFormat="1" applyFont="1" applyFill="1" applyBorder="1" applyAlignment="1" applyProtection="1">
      <alignment vertical="center"/>
      <protection locked="0" hidden="1"/>
    </xf>
    <xf numFmtId="164" fontId="20" fillId="0" borderId="24" xfId="25" applyNumberFormat="1" applyFont="1" applyFill="1" applyBorder="1" applyAlignment="1" applyProtection="1">
      <alignment vertical="center"/>
      <protection locked="0" hidden="1"/>
    </xf>
    <xf numFmtId="164" fontId="19" fillId="0" borderId="7" xfId="25" applyNumberFormat="1" applyFont="1" applyFill="1" applyBorder="1" applyAlignment="1" applyProtection="1">
      <alignment vertical="center"/>
      <protection hidden="1"/>
    </xf>
    <xf numFmtId="164" fontId="20" fillId="0" borderId="15" xfId="12" applyNumberFormat="1" applyFont="1" applyFill="1" applyBorder="1" applyAlignment="1" applyProtection="1">
      <alignment vertical="center"/>
      <protection locked="0" hidden="1"/>
    </xf>
    <xf numFmtId="0" fontId="19" fillId="0" borderId="1" xfId="0" applyFont="1" applyFill="1" applyBorder="1" applyAlignment="1" applyProtection="1">
      <alignment vertical="center"/>
      <protection locked="0" hidden="1"/>
    </xf>
    <xf numFmtId="1" fontId="19" fillId="0" borderId="1" xfId="19" applyNumberFormat="1" applyFont="1" applyFill="1" applyBorder="1" applyAlignment="1" applyProtection="1">
      <alignment horizontal="center" vertical="center"/>
      <protection locked="0" hidden="1"/>
    </xf>
    <xf numFmtId="0" fontId="19" fillId="0" borderId="1" xfId="19" applyFont="1" applyFill="1" applyBorder="1" applyAlignment="1" applyProtection="1">
      <alignment vertical="center" wrapText="1"/>
      <protection locked="0" hidden="1"/>
    </xf>
    <xf numFmtId="164" fontId="19" fillId="0" borderId="58" xfId="12" applyNumberFormat="1" applyFont="1" applyFill="1" applyBorder="1" applyAlignment="1" applyProtection="1">
      <alignment vertical="center"/>
      <protection hidden="1"/>
    </xf>
    <xf numFmtId="0" fontId="19" fillId="0" borderId="3" xfId="0" applyFont="1" applyFill="1" applyBorder="1" applyAlignment="1" applyProtection="1">
      <alignment vertical="center" wrapText="1"/>
      <protection locked="0" hidden="1"/>
    </xf>
    <xf numFmtId="164" fontId="20" fillId="0" borderId="24" xfId="12" applyNumberFormat="1" applyFont="1" applyFill="1" applyBorder="1" applyAlignment="1" applyProtection="1">
      <alignment horizontal="right" vertical="center"/>
      <protection hidden="1"/>
    </xf>
    <xf numFmtId="1" fontId="20" fillId="0" borderId="1" xfId="0" applyNumberFormat="1" applyFont="1" applyFill="1" applyBorder="1" applyAlignment="1">
      <alignment horizontal="center"/>
    </xf>
    <xf numFmtId="164" fontId="19" fillId="0" borderId="21" xfId="12" applyNumberFormat="1" applyFont="1" applyFill="1" applyBorder="1" applyAlignment="1" applyProtection="1">
      <alignment vertical="center"/>
      <protection locked="0" hidden="1"/>
    </xf>
    <xf numFmtId="1" fontId="19" fillId="0" borderId="0" xfId="19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Fill="1"/>
    <xf numFmtId="0" fontId="19" fillId="0" borderId="41" xfId="19" applyFont="1" applyFill="1" applyBorder="1" applyAlignment="1" applyProtection="1">
      <alignment horizontal="center" vertical="center" wrapText="1"/>
      <protection locked="0" hidden="1"/>
    </xf>
    <xf numFmtId="164" fontId="19" fillId="0" borderId="42" xfId="33" applyNumberFormat="1" applyFont="1" applyFill="1" applyBorder="1" applyAlignment="1" applyProtection="1">
      <alignment horizontal="center" vertical="center" wrapText="1"/>
      <protection locked="0" hidden="1"/>
    </xf>
    <xf numFmtId="164" fontId="19" fillId="0" borderId="43" xfId="19" applyNumberFormat="1" applyFont="1" applyFill="1" applyBorder="1" applyAlignment="1" applyProtection="1">
      <alignment horizontal="center" vertical="center" wrapText="1"/>
      <protection locked="0" hidden="1"/>
    </xf>
    <xf numFmtId="0" fontId="95" fillId="0" borderId="0" xfId="0" applyFont="1" applyFill="1" applyAlignment="1">
      <alignment vertical="center"/>
    </xf>
    <xf numFmtId="1" fontId="27" fillId="0" borderId="1" xfId="0" applyNumberFormat="1" applyFont="1" applyFill="1" applyBorder="1" applyAlignment="1" applyProtection="1">
      <alignment horizontal="center" vertical="center"/>
      <protection locked="0" hidden="1"/>
    </xf>
    <xf numFmtId="164" fontId="20" fillId="0" borderId="1" xfId="33" applyNumberFormat="1" applyFont="1" applyFill="1" applyBorder="1" applyAlignment="1" applyProtection="1">
      <alignment horizontal="center" vertical="center"/>
      <protection locked="0" hidden="1"/>
    </xf>
    <xf numFmtId="164" fontId="20" fillId="0" borderId="1" xfId="33" applyNumberFormat="1" applyFont="1" applyFill="1" applyBorder="1" applyAlignment="1" applyProtection="1">
      <alignment vertical="center"/>
      <protection locked="0" hidden="1"/>
    </xf>
    <xf numFmtId="164" fontId="19" fillId="0" borderId="41" xfId="33" applyNumberFormat="1" applyFont="1" applyFill="1" applyBorder="1" applyAlignment="1" applyProtection="1">
      <alignment horizontal="center" vertical="center"/>
      <protection hidden="1"/>
    </xf>
    <xf numFmtId="164" fontId="19" fillId="0" borderId="42" xfId="33" applyNumberFormat="1" applyFont="1" applyFill="1" applyBorder="1" applyAlignment="1" applyProtection="1">
      <alignment vertical="center"/>
      <protection hidden="1"/>
    </xf>
    <xf numFmtId="164" fontId="20" fillId="0" borderId="2" xfId="33" applyNumberFormat="1" applyFont="1" applyFill="1" applyBorder="1" applyAlignment="1" applyProtection="1">
      <alignment horizontal="center" vertical="center"/>
      <protection locked="0" hidden="1"/>
    </xf>
    <xf numFmtId="164" fontId="20" fillId="0" borderId="2" xfId="33" applyNumberFormat="1" applyFont="1" applyFill="1" applyBorder="1" applyAlignment="1" applyProtection="1">
      <alignment vertical="center"/>
      <protection locked="0" hidden="1"/>
    </xf>
    <xf numFmtId="164" fontId="20" fillId="0" borderId="24" xfId="33" applyNumberFormat="1" applyFont="1" applyFill="1" applyBorder="1" applyAlignment="1" applyProtection="1">
      <alignment horizontal="center" vertical="center"/>
      <protection locked="0" hidden="1"/>
    </xf>
    <xf numFmtId="164" fontId="20" fillId="0" borderId="24" xfId="33" applyNumberFormat="1" applyFont="1" applyFill="1" applyBorder="1" applyAlignment="1" applyProtection="1">
      <alignment vertical="center"/>
      <protection locked="0" hidden="1"/>
    </xf>
    <xf numFmtId="164" fontId="19" fillId="0" borderId="43" xfId="33" applyNumberFormat="1" applyFont="1" applyFill="1" applyBorder="1" applyAlignment="1" applyProtection="1">
      <alignment horizontal="center" vertical="center"/>
      <protection hidden="1"/>
    </xf>
    <xf numFmtId="164" fontId="19" fillId="0" borderId="7" xfId="33" applyNumberFormat="1" applyFont="1" applyFill="1" applyBorder="1" applyAlignment="1" applyProtection="1">
      <alignment vertical="center"/>
      <protection hidden="1"/>
    </xf>
    <xf numFmtId="164" fontId="19" fillId="0" borderId="20" xfId="12" applyNumberFormat="1" applyFont="1" applyFill="1" applyBorder="1" applyAlignment="1" applyProtection="1">
      <alignment vertical="center"/>
      <protection hidden="1"/>
    </xf>
    <xf numFmtId="0" fontId="96" fillId="0" borderId="0" xfId="0" applyFont="1" applyFill="1"/>
    <xf numFmtId="1" fontId="19" fillId="0" borderId="4" xfId="19" applyNumberFormat="1" applyFont="1" applyFill="1" applyBorder="1" applyAlignment="1" applyProtection="1">
      <alignment horizontal="center" vertical="center"/>
      <protection locked="0" hidden="1"/>
    </xf>
    <xf numFmtId="1" fontId="19" fillId="0" borderId="1" xfId="0" applyNumberFormat="1" applyFont="1" applyFill="1" applyBorder="1" applyAlignment="1">
      <alignment horizontal="center"/>
    </xf>
    <xf numFmtId="164" fontId="95" fillId="0" borderId="0" xfId="0" applyNumberFormat="1" applyFont="1" applyFill="1"/>
    <xf numFmtId="0" fontId="17" fillId="0" borderId="14" xfId="0" applyFont="1" applyFill="1" applyBorder="1" applyAlignment="1" applyProtection="1">
      <alignment vertical="center"/>
      <protection locked="0" hidden="1"/>
    </xf>
    <xf numFmtId="0" fontId="17" fillId="0" borderId="25" xfId="0" applyFont="1" applyFill="1" applyBorder="1" applyAlignment="1" applyProtection="1">
      <alignment horizontal="center" vertical="center"/>
      <protection locked="0" hidden="1"/>
    </xf>
    <xf numFmtId="164" fontId="17" fillId="0" borderId="14" xfId="12" applyNumberFormat="1" applyFont="1" applyFill="1" applyBorder="1" applyAlignment="1" applyProtection="1">
      <alignment horizontal="right" vertical="center"/>
      <protection locked="0" hidden="1"/>
    </xf>
    <xf numFmtId="164" fontId="17" fillId="0" borderId="25" xfId="12" applyNumberFormat="1" applyFont="1" applyFill="1" applyBorder="1" applyAlignment="1" applyProtection="1">
      <alignment horizontal="right" vertical="center"/>
      <protection locked="0" hidden="1"/>
    </xf>
    <xf numFmtId="164" fontId="17" fillId="0" borderId="5" xfId="12" applyNumberFormat="1" applyFont="1" applyFill="1" applyBorder="1" applyAlignment="1" applyProtection="1">
      <alignment horizontal="right" vertical="center"/>
      <protection locked="0" hidden="1"/>
    </xf>
    <xf numFmtId="164" fontId="17" fillId="0" borderId="1" xfId="12" applyNumberFormat="1" applyFont="1" applyFill="1" applyBorder="1" applyAlignment="1" applyProtection="1">
      <alignment horizontal="right" vertical="center"/>
      <protection locked="0" hidden="1"/>
    </xf>
    <xf numFmtId="164" fontId="17" fillId="0" borderId="24" xfId="12" applyNumberFormat="1" applyFont="1" applyFill="1" applyBorder="1" applyAlignment="1" applyProtection="1">
      <alignment horizontal="right" vertical="center"/>
      <protection locked="0" hidden="1"/>
    </xf>
    <xf numFmtId="164" fontId="18" fillId="0" borderId="41" xfId="12" applyNumberFormat="1" applyFont="1" applyFill="1" applyBorder="1" applyAlignment="1" applyProtection="1">
      <alignment horizontal="right" vertical="center"/>
      <protection hidden="1"/>
    </xf>
    <xf numFmtId="164" fontId="18" fillId="0" borderId="42" xfId="12" applyNumberFormat="1" applyFont="1" applyFill="1" applyBorder="1" applyAlignment="1" applyProtection="1">
      <alignment horizontal="right" vertical="center"/>
      <protection hidden="1"/>
    </xf>
    <xf numFmtId="164" fontId="18" fillId="0" borderId="43" xfId="12" applyNumberFormat="1" applyFont="1" applyFill="1" applyBorder="1" applyAlignment="1" applyProtection="1">
      <alignment horizontal="right" vertical="center"/>
      <protection hidden="1"/>
    </xf>
    <xf numFmtId="0" fontId="17" fillId="0" borderId="32" xfId="0" applyFont="1" applyFill="1" applyBorder="1" applyAlignment="1">
      <alignment vertical="center" wrapText="1"/>
    </xf>
    <xf numFmtId="164" fontId="17" fillId="0" borderId="1" xfId="12" applyNumberFormat="1" applyFont="1" applyFill="1" applyBorder="1" applyAlignment="1" applyProtection="1">
      <alignment horizontal="right" vertical="center"/>
      <protection hidden="1"/>
    </xf>
    <xf numFmtId="164" fontId="17" fillId="0" borderId="24" xfId="12" applyNumberFormat="1" applyFont="1" applyFill="1" applyBorder="1" applyAlignment="1" applyProtection="1">
      <alignment horizontal="right" vertical="center"/>
      <protection hidden="1"/>
    </xf>
    <xf numFmtId="0" fontId="17" fillId="0" borderId="1" xfId="0" applyFont="1" applyFill="1" applyBorder="1" applyAlignment="1" applyProtection="1">
      <alignment vertical="center" wrapText="1"/>
      <protection locked="0" hidden="1"/>
    </xf>
    <xf numFmtId="164" fontId="17" fillId="0" borderId="23" xfId="12" applyNumberFormat="1" applyFont="1" applyFill="1" applyBorder="1" applyAlignment="1" applyProtection="1">
      <alignment vertical="center"/>
      <protection locked="0" hidden="1"/>
    </xf>
    <xf numFmtId="0" fontId="97" fillId="0" borderId="0" xfId="0" applyFont="1" applyFill="1"/>
    <xf numFmtId="164" fontId="18" fillId="0" borderId="23" xfId="12" applyNumberFormat="1" applyFont="1" applyFill="1" applyBorder="1" applyAlignment="1" applyProtection="1">
      <alignment horizontal="right" vertical="center"/>
      <protection hidden="1"/>
    </xf>
    <xf numFmtId="1" fontId="18" fillId="0" borderId="4" xfId="19" applyNumberFormat="1" applyFont="1" applyFill="1" applyBorder="1" applyAlignment="1" applyProtection="1">
      <alignment horizontal="center" vertical="center"/>
      <protection locked="0" hidden="1"/>
    </xf>
    <xf numFmtId="0" fontId="18" fillId="0" borderId="21" xfId="19" applyFont="1" applyFill="1" applyBorder="1" applyAlignment="1" applyProtection="1">
      <alignment vertical="center" wrapText="1"/>
      <protection locked="0" hidden="1"/>
    </xf>
    <xf numFmtId="164" fontId="18" fillId="0" borderId="7" xfId="12" applyNumberFormat="1" applyFont="1" applyFill="1" applyBorder="1" applyAlignment="1" applyProtection="1">
      <alignment horizontal="right" vertical="center"/>
      <protection hidden="1"/>
    </xf>
    <xf numFmtId="164" fontId="7" fillId="0" borderId="0" xfId="0" applyNumberFormat="1" applyFont="1" applyFill="1"/>
    <xf numFmtId="0" fontId="19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justify" wrapText="1"/>
    </xf>
    <xf numFmtId="164" fontId="19" fillId="0" borderId="0" xfId="12" applyNumberFormat="1" applyFont="1" applyFill="1" applyBorder="1" applyAlignment="1">
      <alignment horizontal="right" wrapText="1"/>
    </xf>
    <xf numFmtId="164" fontId="19" fillId="0" borderId="0" xfId="12" applyNumberFormat="1" applyFont="1" applyFill="1" applyBorder="1" applyAlignment="1">
      <alignment horizontal="center" vertical="center" wrapText="1"/>
    </xf>
    <xf numFmtId="164" fontId="20" fillId="0" borderId="24" xfId="12" applyNumberFormat="1" applyFont="1" applyFill="1" applyBorder="1" applyAlignment="1" applyProtection="1">
      <alignment horizontal="center" vertical="center"/>
      <protection locked="0" hidden="1"/>
    </xf>
    <xf numFmtId="164" fontId="19" fillId="0" borderId="3" xfId="12" applyNumberFormat="1" applyFont="1" applyFill="1" applyBorder="1" applyAlignment="1" applyProtection="1">
      <alignment vertical="center"/>
      <protection locked="0" hidden="1"/>
    </xf>
    <xf numFmtId="164" fontId="20" fillId="0" borderId="24" xfId="0" applyNumberFormat="1" applyFont="1" applyFill="1" applyBorder="1"/>
    <xf numFmtId="164" fontId="20" fillId="0" borderId="1" xfId="0" applyNumberFormat="1" applyFont="1" applyFill="1" applyBorder="1"/>
    <xf numFmtId="1" fontId="20" fillId="0" borderId="32" xfId="19" applyNumberFormat="1" applyFont="1" applyFill="1" applyBorder="1" applyAlignment="1" applyProtection="1">
      <alignment horizontal="center" vertical="center"/>
      <protection locked="0" hidden="1"/>
    </xf>
    <xf numFmtId="164" fontId="19" fillId="0" borderId="8" xfId="12" applyNumberFormat="1" applyFont="1" applyFill="1" applyBorder="1" applyAlignment="1" applyProtection="1">
      <alignment vertical="center"/>
      <protection hidden="1"/>
    </xf>
    <xf numFmtId="0" fontId="99" fillId="0" borderId="0" xfId="0" applyFont="1" applyFill="1" applyAlignment="1" applyProtection="1">
      <alignment vertical="center"/>
      <protection locked="0" hidden="1"/>
    </xf>
    <xf numFmtId="0" fontId="98" fillId="0" borderId="7" xfId="19" applyFont="1" applyFill="1" applyBorder="1" applyAlignment="1" applyProtection="1">
      <alignment horizontal="center" vertical="center" wrapText="1"/>
      <protection locked="0" hidden="1"/>
    </xf>
    <xf numFmtId="164" fontId="98" fillId="0" borderId="7" xfId="12" applyNumberFormat="1" applyFont="1" applyFill="1" applyBorder="1" applyAlignment="1" applyProtection="1">
      <alignment horizontal="center" wrapText="1"/>
      <protection locked="0" hidden="1"/>
    </xf>
    <xf numFmtId="1" fontId="99" fillId="0" borderId="1" xfId="0" applyNumberFormat="1" applyFont="1" applyFill="1" applyBorder="1" applyAlignment="1" applyProtection="1">
      <alignment horizontal="center" vertical="center"/>
      <protection locked="0" hidden="1"/>
    </xf>
    <xf numFmtId="0" fontId="99" fillId="0" borderId="1" xfId="0" applyFont="1" applyFill="1" applyBorder="1" applyAlignment="1" applyProtection="1">
      <alignment vertical="center" wrapText="1"/>
      <protection locked="0" hidden="1"/>
    </xf>
    <xf numFmtId="164" fontId="99" fillId="0" borderId="1" xfId="33" applyNumberFormat="1" applyFont="1" applyFill="1" applyBorder="1" applyAlignment="1" applyProtection="1">
      <alignment vertical="center"/>
      <protection locked="0" hidden="1"/>
    </xf>
    <xf numFmtId="164" fontId="99" fillId="0" borderId="61" xfId="33" applyNumberFormat="1" applyFont="1" applyFill="1" applyBorder="1" applyAlignment="1" applyProtection="1">
      <alignment vertical="center"/>
      <protection locked="0" hidden="1"/>
    </xf>
    <xf numFmtId="0" fontId="98" fillId="0" borderId="32" xfId="0" applyFont="1" applyFill="1" applyBorder="1" applyAlignment="1" applyProtection="1">
      <alignment vertical="center" wrapText="1"/>
      <protection locked="0" hidden="1"/>
    </xf>
    <xf numFmtId="164" fontId="98" fillId="0" borderId="41" xfId="33" applyNumberFormat="1" applyFont="1" applyFill="1" applyBorder="1" applyAlignment="1" applyProtection="1">
      <alignment vertical="center"/>
      <protection hidden="1"/>
    </xf>
    <xf numFmtId="1" fontId="98" fillId="0" borderId="1" xfId="0" applyNumberFormat="1" applyFont="1" applyFill="1" applyBorder="1" applyAlignment="1" applyProtection="1">
      <alignment horizontal="center" vertical="center"/>
      <protection locked="0" hidden="1"/>
    </xf>
    <xf numFmtId="0" fontId="98" fillId="0" borderId="1" xfId="0" applyFont="1" applyFill="1" applyBorder="1" applyAlignment="1" applyProtection="1">
      <alignment vertical="center" wrapText="1"/>
      <protection locked="0" hidden="1"/>
    </xf>
    <xf numFmtId="164" fontId="99" fillId="0" borderId="24" xfId="33" applyNumberFormat="1" applyFont="1" applyFill="1" applyBorder="1" applyAlignment="1" applyProtection="1">
      <alignment vertical="center"/>
      <protection locked="0" hidden="1"/>
    </xf>
    <xf numFmtId="0" fontId="19" fillId="0" borderId="32" xfId="0" applyFont="1" applyFill="1" applyBorder="1" applyAlignment="1" applyProtection="1">
      <alignment vertical="center"/>
      <protection locked="0" hidden="1"/>
    </xf>
    <xf numFmtId="1" fontId="20" fillId="0" borderId="1" xfId="19" applyNumberFormat="1" applyFont="1" applyFill="1" applyBorder="1" applyAlignment="1" applyProtection="1">
      <alignment horizontal="center" vertical="center"/>
      <protection locked="0" hidden="1"/>
    </xf>
    <xf numFmtId="1" fontId="2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64" fontId="20" fillId="0" borderId="1" xfId="25" applyNumberFormat="1" applyFont="1" applyFill="1" applyBorder="1" applyAlignment="1" applyProtection="1">
      <alignment vertical="center" wrapText="1"/>
      <protection locked="0" hidden="1"/>
    </xf>
    <xf numFmtId="164" fontId="20" fillId="0" borderId="24" xfId="25" applyNumberFormat="1" applyFont="1" applyFill="1" applyBorder="1" applyAlignment="1" applyProtection="1">
      <alignment vertical="center" wrapText="1"/>
      <protection locked="0" hidden="1"/>
    </xf>
    <xf numFmtId="3" fontId="20" fillId="0" borderId="24" xfId="0" applyNumberFormat="1" applyFont="1" applyFill="1" applyBorder="1" applyAlignment="1">
      <alignment wrapText="1"/>
    </xf>
    <xf numFmtId="1" fontId="19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164" fontId="19" fillId="0" borderId="41" xfId="25" applyNumberFormat="1" applyFont="1" applyFill="1" applyBorder="1" applyAlignment="1" applyProtection="1">
      <alignment vertical="center" wrapText="1"/>
      <protection hidden="1"/>
    </xf>
    <xf numFmtId="164" fontId="19" fillId="0" borderId="42" xfId="25" applyNumberFormat="1" applyFont="1" applyFill="1" applyBorder="1" applyAlignment="1" applyProtection="1">
      <alignment vertical="center" wrapText="1"/>
      <protection hidden="1"/>
    </xf>
    <xf numFmtId="164" fontId="19" fillId="0" borderId="43" xfId="25" applyNumberFormat="1" applyFont="1" applyFill="1" applyBorder="1" applyAlignment="1" applyProtection="1">
      <alignment vertical="center" wrapText="1"/>
      <protection hidden="1"/>
    </xf>
    <xf numFmtId="1" fontId="20" fillId="0" borderId="32" xfId="19" applyNumberFormat="1" applyFont="1" applyFill="1" applyBorder="1" applyAlignment="1" applyProtection="1">
      <alignment horizontal="center" vertical="center" wrapText="1"/>
      <protection locked="0" hidden="1"/>
    </xf>
    <xf numFmtId="0" fontId="19" fillId="0" borderId="32" xfId="19" applyFont="1" applyFill="1" applyBorder="1" applyAlignment="1" applyProtection="1">
      <alignment vertical="center" wrapText="1"/>
      <protection locked="0" hidden="1"/>
    </xf>
    <xf numFmtId="164" fontId="19" fillId="0" borderId="7" xfId="12" applyNumberFormat="1" applyFont="1" applyFill="1" applyBorder="1" applyAlignment="1" applyProtection="1">
      <alignment vertical="center" wrapText="1"/>
      <protection hidden="1"/>
    </xf>
    <xf numFmtId="164" fontId="19" fillId="0" borderId="22" xfId="12" applyNumberFormat="1" applyFont="1" applyFill="1" applyBorder="1" applyAlignment="1" applyProtection="1">
      <alignment vertical="center" wrapText="1"/>
      <protection hidden="1"/>
    </xf>
    <xf numFmtId="164" fontId="19" fillId="0" borderId="0" xfId="15" applyNumberFormat="1" applyFont="1" applyFill="1" applyBorder="1" applyAlignment="1" applyProtection="1">
      <alignment horizontal="center" vertical="center"/>
      <protection locked="0" hidden="1"/>
    </xf>
    <xf numFmtId="0" fontId="18" fillId="0" borderId="1" xfId="0" applyFont="1" applyFill="1" applyBorder="1" applyAlignment="1" applyProtection="1">
      <alignment vertical="center" wrapText="1"/>
      <protection locked="0" hidden="1"/>
    </xf>
    <xf numFmtId="164" fontId="17" fillId="0" borderId="1" xfId="25" applyNumberFormat="1" applyFont="1" applyFill="1" applyBorder="1" applyAlignment="1" applyProtection="1">
      <alignment vertical="center"/>
      <protection locked="0" hidden="1"/>
    </xf>
    <xf numFmtId="164" fontId="17" fillId="0" borderId="24" xfId="25" applyNumberFormat="1" applyFont="1" applyFill="1" applyBorder="1" applyAlignment="1" applyProtection="1">
      <alignment vertical="center"/>
      <protection locked="0" hidden="1"/>
    </xf>
    <xf numFmtId="164" fontId="17" fillId="0" borderId="24" xfId="12" applyNumberFormat="1" applyFont="1" applyFill="1" applyBorder="1" applyAlignment="1" applyProtection="1">
      <alignment vertical="center"/>
      <protection locked="0" hidden="1"/>
    </xf>
    <xf numFmtId="164" fontId="18" fillId="0" borderId="41" xfId="25" applyNumberFormat="1" applyFont="1" applyFill="1" applyBorder="1" applyAlignment="1" applyProtection="1">
      <alignment vertical="center"/>
      <protection hidden="1"/>
    </xf>
    <xf numFmtId="164" fontId="18" fillId="0" borderId="41" xfId="12" applyNumberFormat="1" applyFont="1" applyFill="1" applyBorder="1" applyAlignment="1" applyProtection="1">
      <alignment vertical="center"/>
      <protection hidden="1"/>
    </xf>
    <xf numFmtId="164" fontId="17" fillId="0" borderId="1" xfId="25" applyNumberFormat="1" applyFont="1" applyFill="1" applyBorder="1" applyAlignment="1" applyProtection="1">
      <alignment vertical="center"/>
      <protection hidden="1"/>
    </xf>
    <xf numFmtId="164" fontId="18" fillId="0" borderId="43" xfId="12" applyNumberFormat="1" applyFont="1" applyFill="1" applyBorder="1" applyAlignment="1" applyProtection="1">
      <alignment vertical="center"/>
      <protection hidden="1"/>
    </xf>
    <xf numFmtId="164" fontId="18" fillId="0" borderId="7" xfId="12" applyNumberFormat="1" applyFont="1" applyFill="1" applyBorder="1" applyAlignment="1" applyProtection="1">
      <alignment vertical="center"/>
      <protection hidden="1"/>
    </xf>
    <xf numFmtId="43" fontId="19" fillId="0" borderId="0" xfId="12" applyFont="1" applyFill="1" applyBorder="1" applyAlignment="1" applyProtection="1">
      <alignment vertical="center"/>
      <protection hidden="1"/>
    </xf>
    <xf numFmtId="0" fontId="100" fillId="0" borderId="7" xfId="19" applyFont="1" applyFill="1" applyBorder="1" applyAlignment="1" applyProtection="1">
      <alignment horizontal="center" vertical="center" wrapText="1"/>
      <protection locked="0" hidden="1"/>
    </xf>
    <xf numFmtId="164" fontId="100" fillId="0" borderId="7" xfId="12" applyNumberFormat="1" applyFont="1" applyFill="1" applyBorder="1" applyAlignment="1" applyProtection="1">
      <alignment horizontal="center" wrapText="1"/>
      <protection locked="0" hidden="1"/>
    </xf>
    <xf numFmtId="0" fontId="101" fillId="0" borderId="0" xfId="0" applyFont="1" applyFill="1" applyAlignment="1" applyProtection="1">
      <alignment vertical="center"/>
      <protection locked="0" hidden="1"/>
    </xf>
    <xf numFmtId="1" fontId="100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00" fillId="0" borderId="1" xfId="0" applyFont="1" applyFill="1" applyBorder="1" applyAlignment="1" applyProtection="1">
      <alignment vertical="center" wrapText="1"/>
      <protection locked="0" hidden="1"/>
    </xf>
    <xf numFmtId="164" fontId="101" fillId="0" borderId="1" xfId="12" applyNumberFormat="1" applyFont="1" applyFill="1" applyBorder="1" applyAlignment="1" applyProtection="1">
      <alignment vertical="center"/>
      <protection locked="0" hidden="1"/>
    </xf>
    <xf numFmtId="1" fontId="101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01" fillId="0" borderId="1" xfId="0" applyFont="1" applyFill="1" applyBorder="1" applyAlignment="1" applyProtection="1">
      <alignment vertical="center" wrapText="1"/>
      <protection locked="0" hidden="1"/>
    </xf>
    <xf numFmtId="164" fontId="101" fillId="0" borderId="1" xfId="25" applyNumberFormat="1" applyFont="1" applyFill="1" applyBorder="1" applyAlignment="1" applyProtection="1">
      <alignment vertical="center"/>
      <protection locked="0" hidden="1"/>
    </xf>
    <xf numFmtId="0" fontId="101" fillId="0" borderId="32" xfId="0" applyFont="1" applyFill="1" applyBorder="1" applyAlignment="1" applyProtection="1">
      <alignment vertical="center" wrapText="1"/>
      <protection locked="0" hidden="1"/>
    </xf>
    <xf numFmtId="164" fontId="101" fillId="0" borderId="24" xfId="12" applyNumberFormat="1" applyFont="1" applyFill="1" applyBorder="1" applyAlignment="1" applyProtection="1">
      <alignment vertical="center"/>
      <protection hidden="1"/>
    </xf>
    <xf numFmtId="164" fontId="101" fillId="0" borderId="24" xfId="25" applyNumberFormat="1" applyFont="1" applyFill="1" applyBorder="1" applyAlignment="1" applyProtection="1">
      <alignment vertical="center"/>
      <protection locked="0" hidden="1"/>
    </xf>
    <xf numFmtId="0" fontId="100" fillId="0" borderId="32" xfId="0" applyFont="1" applyFill="1" applyBorder="1" applyAlignment="1" applyProtection="1">
      <alignment vertical="center" wrapText="1"/>
      <protection locked="0" hidden="1"/>
    </xf>
    <xf numFmtId="164" fontId="100" fillId="0" borderId="41" xfId="12" applyNumberFormat="1" applyFont="1" applyFill="1" applyBorder="1" applyAlignment="1" applyProtection="1">
      <alignment vertical="center"/>
      <protection hidden="1"/>
    </xf>
    <xf numFmtId="164" fontId="101" fillId="0" borderId="2" xfId="12" applyNumberFormat="1" applyFont="1" applyFill="1" applyBorder="1" applyAlignment="1" applyProtection="1">
      <alignment vertical="center"/>
      <protection locked="0" hidden="1"/>
    </xf>
    <xf numFmtId="164" fontId="100" fillId="0" borderId="29" xfId="12" applyNumberFormat="1" applyFont="1" applyFill="1" applyBorder="1" applyAlignment="1" applyProtection="1">
      <alignment vertical="center"/>
      <protection hidden="1"/>
    </xf>
    <xf numFmtId="164" fontId="100" fillId="0" borderId="60" xfId="12" applyNumberFormat="1" applyFont="1" applyFill="1" applyBorder="1" applyAlignment="1" applyProtection="1">
      <alignment vertical="center"/>
      <protection hidden="1"/>
    </xf>
    <xf numFmtId="0" fontId="100" fillId="0" borderId="0" xfId="0" applyFont="1" applyFill="1" applyAlignment="1" applyProtection="1">
      <alignment vertical="center"/>
      <protection locked="0" hidden="1"/>
    </xf>
    <xf numFmtId="0" fontId="101" fillId="0" borderId="1" xfId="0" applyFont="1" applyFill="1" applyBorder="1" applyAlignment="1" applyProtection="1">
      <alignment vertical="center"/>
      <protection locked="0" hidden="1"/>
    </xf>
    <xf numFmtId="164" fontId="101" fillId="0" borderId="1" xfId="12" applyNumberFormat="1" applyFont="1" applyFill="1" applyBorder="1" applyAlignment="1" applyProtection="1">
      <alignment vertical="center"/>
      <protection hidden="1"/>
    </xf>
    <xf numFmtId="164" fontId="101" fillId="0" borderId="24" xfId="12" applyNumberFormat="1" applyFont="1" applyFill="1" applyBorder="1" applyAlignment="1" applyProtection="1">
      <alignment vertical="center"/>
      <protection locked="0" hidden="1"/>
    </xf>
    <xf numFmtId="164" fontId="100" fillId="0" borderId="42" xfId="12" applyNumberFormat="1" applyFont="1" applyFill="1" applyBorder="1" applyAlignment="1" applyProtection="1">
      <alignment vertical="center"/>
      <protection hidden="1"/>
    </xf>
    <xf numFmtId="164" fontId="100" fillId="0" borderId="20" xfId="12" applyNumberFormat="1" applyFont="1" applyFill="1" applyBorder="1" applyAlignment="1" applyProtection="1">
      <alignment vertical="center"/>
      <protection hidden="1"/>
    </xf>
    <xf numFmtId="164" fontId="100" fillId="0" borderId="52" xfId="12" applyNumberFormat="1" applyFont="1" applyFill="1" applyBorder="1" applyAlignment="1" applyProtection="1">
      <alignment vertical="center"/>
      <protection hidden="1"/>
    </xf>
    <xf numFmtId="1" fontId="101" fillId="0" borderId="1" xfId="0" applyNumberFormat="1" applyFont="1" applyFill="1" applyBorder="1" applyAlignment="1">
      <alignment horizontal="center" vertical="center"/>
    </xf>
    <xf numFmtId="0" fontId="101" fillId="0" borderId="1" xfId="0" applyFont="1" applyFill="1" applyBorder="1" applyAlignment="1"/>
    <xf numFmtId="164" fontId="101" fillId="0" borderId="2" xfId="25" applyNumberFormat="1" applyFont="1" applyFill="1" applyBorder="1" applyAlignment="1" applyProtection="1">
      <alignment vertical="center"/>
      <protection locked="0" hidden="1"/>
    </xf>
    <xf numFmtId="1" fontId="101" fillId="0" borderId="1" xfId="24" applyNumberFormat="1" applyFont="1" applyFill="1" applyBorder="1" applyAlignment="1">
      <alignment horizontal="center" vertical="center"/>
    </xf>
    <xf numFmtId="0" fontId="101" fillId="0" borderId="1" xfId="24" applyFont="1" applyFill="1" applyBorder="1" applyAlignment="1">
      <alignment wrapText="1"/>
    </xf>
    <xf numFmtId="164" fontId="100" fillId="0" borderId="22" xfId="12" applyNumberFormat="1" applyFont="1" applyFill="1" applyBorder="1" applyAlignment="1" applyProtection="1">
      <alignment vertical="center"/>
      <protection hidden="1"/>
    </xf>
    <xf numFmtId="164" fontId="20" fillId="0" borderId="60" xfId="12" applyNumberFormat="1" applyFont="1" applyFill="1" applyBorder="1" applyAlignment="1" applyProtection="1">
      <alignment vertical="center"/>
      <protection hidden="1"/>
    </xf>
    <xf numFmtId="164" fontId="20" fillId="0" borderId="42" xfId="12" applyNumberFormat="1" applyFont="1" applyFill="1" applyBorder="1" applyAlignment="1" applyProtection="1">
      <alignment vertical="center"/>
      <protection hidden="1"/>
    </xf>
    <xf numFmtId="164" fontId="19" fillId="0" borderId="14" xfId="12" applyNumberFormat="1" applyFont="1" applyFill="1" applyBorder="1" applyAlignment="1" applyProtection="1">
      <alignment vertical="center"/>
      <protection hidden="1"/>
    </xf>
    <xf numFmtId="164" fontId="19" fillId="0" borderId="50" xfId="12" applyNumberFormat="1" applyFont="1" applyFill="1" applyBorder="1" applyAlignment="1" applyProtection="1">
      <alignment vertical="center"/>
      <protection hidden="1"/>
    </xf>
    <xf numFmtId="0" fontId="103" fillId="0" borderId="0" xfId="0" applyFont="1" applyFill="1" applyAlignment="1" applyProtection="1">
      <alignment vertical="center"/>
      <protection locked="0" hidden="1"/>
    </xf>
    <xf numFmtId="0" fontId="102" fillId="0" borderId="7" xfId="19" applyFont="1" applyFill="1" applyBorder="1" applyAlignment="1" applyProtection="1">
      <alignment horizontal="center" vertical="center" wrapText="1"/>
      <protection locked="0" hidden="1"/>
    </xf>
    <xf numFmtId="164" fontId="102" fillId="0" borderId="7" xfId="12" applyNumberFormat="1" applyFont="1" applyFill="1" applyBorder="1" applyAlignment="1" applyProtection="1">
      <alignment horizontal="center" wrapText="1"/>
      <protection locked="0" hidden="1"/>
    </xf>
    <xf numFmtId="1" fontId="102" fillId="0" borderId="3" xfId="0" applyNumberFormat="1" applyFont="1" applyFill="1" applyBorder="1" applyAlignment="1" applyProtection="1">
      <alignment horizontal="center" vertical="center"/>
      <protection locked="0" hidden="1"/>
    </xf>
    <xf numFmtId="0" fontId="102" fillId="0" borderId="0" xfId="0" applyFont="1" applyFill="1" applyAlignment="1" applyProtection="1">
      <alignment vertical="center" wrapText="1"/>
      <protection locked="0" hidden="1"/>
    </xf>
    <xf numFmtId="164" fontId="103" fillId="0" borderId="3" xfId="12" applyNumberFormat="1" applyFont="1" applyFill="1" applyBorder="1" applyAlignment="1" applyProtection="1">
      <alignment vertical="center"/>
      <protection locked="0" hidden="1"/>
    </xf>
    <xf numFmtId="1" fontId="103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03" fillId="0" borderId="1" xfId="0" applyFont="1" applyFill="1" applyBorder="1" applyAlignment="1" applyProtection="1">
      <alignment vertical="center" wrapText="1"/>
      <protection locked="0" hidden="1"/>
    </xf>
    <xf numFmtId="164" fontId="103" fillId="0" borderId="24" xfId="12" applyNumberFormat="1" applyFont="1" applyFill="1" applyBorder="1" applyAlignment="1" applyProtection="1">
      <alignment vertical="center"/>
      <protection locked="0" hidden="1"/>
    </xf>
    <xf numFmtId="164" fontId="103" fillId="0" borderId="24" xfId="12" applyNumberFormat="1" applyFont="1" applyFill="1" applyBorder="1" applyAlignment="1" applyProtection="1">
      <alignment vertical="center"/>
      <protection hidden="1"/>
    </xf>
    <xf numFmtId="0" fontId="102" fillId="0" borderId="32" xfId="0" applyFont="1" applyFill="1" applyBorder="1" applyAlignment="1" applyProtection="1">
      <alignment vertical="center" wrapText="1"/>
      <protection locked="0" hidden="1"/>
    </xf>
    <xf numFmtId="164" fontId="102" fillId="0" borderId="7" xfId="12" applyNumberFormat="1" applyFont="1" applyFill="1" applyBorder="1" applyAlignment="1" applyProtection="1">
      <alignment vertical="center"/>
      <protection hidden="1"/>
    </xf>
    <xf numFmtId="1" fontId="102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02" fillId="0" borderId="1" xfId="0" applyFont="1" applyFill="1" applyBorder="1" applyAlignment="1" applyProtection="1">
      <alignment vertical="center" wrapText="1"/>
      <protection locked="0" hidden="1"/>
    </xf>
    <xf numFmtId="164" fontId="103" fillId="0" borderId="2" xfId="12" applyNumberFormat="1" applyFont="1" applyFill="1" applyBorder="1" applyAlignment="1" applyProtection="1">
      <alignment vertical="center"/>
      <protection locked="0" hidden="1"/>
    </xf>
    <xf numFmtId="164" fontId="103" fillId="0" borderId="1" xfId="12" applyNumberFormat="1" applyFont="1" applyFill="1" applyBorder="1" applyAlignment="1" applyProtection="1">
      <alignment vertical="center"/>
      <protection locked="0" hidden="1"/>
    </xf>
    <xf numFmtId="164" fontId="102" fillId="0" borderId="41" xfId="12" applyNumberFormat="1" applyFont="1" applyFill="1" applyBorder="1" applyAlignment="1" applyProtection="1">
      <alignment vertical="center"/>
      <protection hidden="1"/>
    </xf>
    <xf numFmtId="164" fontId="103" fillId="0" borderId="1" xfId="12" applyNumberFormat="1" applyFont="1" applyFill="1" applyBorder="1" applyAlignment="1" applyProtection="1">
      <alignment vertical="center"/>
      <protection hidden="1"/>
    </xf>
    <xf numFmtId="164" fontId="102" fillId="0" borderId="42" xfId="12" applyNumberFormat="1" applyFont="1" applyFill="1" applyBorder="1" applyAlignment="1" applyProtection="1">
      <alignment vertical="center"/>
      <protection hidden="1"/>
    </xf>
    <xf numFmtId="0" fontId="103" fillId="0" borderId="1" xfId="0" applyFont="1" applyFill="1" applyBorder="1" applyAlignment="1" applyProtection="1">
      <alignment vertical="center"/>
      <protection locked="0" hidden="1"/>
    </xf>
    <xf numFmtId="164" fontId="103" fillId="0" borderId="1" xfId="12" applyNumberFormat="1" applyFont="1" applyFill="1" applyBorder="1" applyAlignment="1" applyProtection="1">
      <alignment horizontal="right" vertical="center"/>
      <protection locked="0" hidden="1"/>
    </xf>
    <xf numFmtId="164" fontId="103" fillId="0" borderId="61" xfId="12" applyNumberFormat="1" applyFont="1" applyFill="1" applyBorder="1" applyAlignment="1" applyProtection="1">
      <alignment vertical="center"/>
      <protection locked="0" hidden="1"/>
    </xf>
    <xf numFmtId="0" fontId="103" fillId="0" borderId="0" xfId="0" applyFont="1" applyFill="1" applyAlignment="1">
      <alignment wrapText="1"/>
    </xf>
    <xf numFmtId="164" fontId="102" fillId="0" borderId="7" xfId="12" applyNumberFormat="1" applyFont="1" applyFill="1" applyBorder="1" applyAlignment="1" applyProtection="1">
      <alignment vertical="center"/>
      <protection locked="0" hidden="1"/>
    </xf>
    <xf numFmtId="164" fontId="19" fillId="0" borderId="7" xfId="12" applyNumberFormat="1" applyFont="1" applyFill="1" applyBorder="1" applyAlignment="1" applyProtection="1">
      <alignment horizontal="right" vertical="center"/>
      <protection hidden="1"/>
    </xf>
    <xf numFmtId="0" fontId="15" fillId="0" borderId="0" xfId="0" applyFont="1" applyFill="1" applyAlignment="1" applyProtection="1">
      <alignment vertical="center"/>
      <protection locked="0" hidden="1"/>
    </xf>
    <xf numFmtId="0" fontId="16" fillId="0" borderId="7" xfId="19" applyFont="1" applyFill="1" applyBorder="1" applyAlignment="1" applyProtection="1">
      <alignment horizontal="center" vertical="center" wrapText="1"/>
      <protection locked="0" hidden="1"/>
    </xf>
    <xf numFmtId="164" fontId="16" fillId="0" borderId="7" xfId="12" applyNumberFormat="1" applyFont="1" applyFill="1" applyBorder="1" applyAlignment="1" applyProtection="1">
      <alignment horizontal="center" wrapText="1"/>
      <protection locked="0" hidden="1"/>
    </xf>
    <xf numFmtId="1" fontId="16" fillId="0" borderId="2" xfId="0" applyNumberFormat="1" applyFont="1" applyFill="1" applyBorder="1" applyAlignment="1" applyProtection="1">
      <alignment horizontal="center" vertical="center"/>
      <protection locked="0" hidden="1"/>
    </xf>
    <xf numFmtId="0" fontId="16" fillId="0" borderId="2" xfId="0" applyFont="1" applyFill="1" applyBorder="1" applyAlignment="1" applyProtection="1">
      <alignment vertical="center" wrapText="1"/>
      <protection locked="0" hidden="1"/>
    </xf>
    <xf numFmtId="164" fontId="15" fillId="0" borderId="2" xfId="12" applyNumberFormat="1" applyFont="1" applyFill="1" applyBorder="1" applyAlignment="1" applyProtection="1">
      <alignment vertical="center"/>
      <protection locked="0" hidden="1"/>
    </xf>
    <xf numFmtId="1" fontId="15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5" fillId="0" borderId="1" xfId="0" applyFont="1" applyFill="1" applyBorder="1" applyAlignment="1" applyProtection="1">
      <alignment vertical="center" wrapText="1"/>
      <protection locked="0" hidden="1"/>
    </xf>
    <xf numFmtId="164" fontId="15" fillId="0" borderId="1" xfId="12" applyNumberFormat="1" applyFont="1" applyFill="1" applyBorder="1" applyAlignment="1" applyProtection="1">
      <alignment vertical="center"/>
      <protection locked="0" hidden="1"/>
    </xf>
    <xf numFmtId="164" fontId="15" fillId="0" borderId="24" xfId="12" applyNumberFormat="1" applyFont="1" applyFill="1" applyBorder="1" applyAlignment="1" applyProtection="1">
      <alignment vertical="center"/>
      <protection locked="0" hidden="1"/>
    </xf>
    <xf numFmtId="0" fontId="16" fillId="0" borderId="32" xfId="0" applyFont="1" applyFill="1" applyBorder="1" applyAlignment="1" applyProtection="1">
      <alignment vertical="center" wrapText="1"/>
      <protection locked="0" hidden="1"/>
    </xf>
    <xf numFmtId="164" fontId="16" fillId="0" borderId="41" xfId="12" applyNumberFormat="1" applyFont="1" applyFill="1" applyBorder="1" applyAlignment="1" applyProtection="1">
      <alignment vertical="center"/>
      <protection hidden="1"/>
    </xf>
    <xf numFmtId="164" fontId="16" fillId="0" borderId="42" xfId="12" applyNumberFormat="1" applyFont="1" applyFill="1" applyBorder="1" applyAlignment="1" applyProtection="1">
      <alignment vertical="center"/>
      <protection hidden="1"/>
    </xf>
    <xf numFmtId="1" fontId="16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6" fillId="0" borderId="1" xfId="0" applyFont="1" applyFill="1" applyBorder="1" applyAlignment="1" applyProtection="1">
      <alignment vertical="center" wrapText="1"/>
      <protection locked="0" hidden="1"/>
    </xf>
    <xf numFmtId="164" fontId="16" fillId="0" borderId="7" xfId="12" applyNumberFormat="1" applyFont="1" applyFill="1" applyBorder="1" applyAlignment="1" applyProtection="1">
      <alignment vertical="center"/>
      <protection hidden="1"/>
    </xf>
    <xf numFmtId="164" fontId="16" fillId="0" borderId="11" xfId="12" applyNumberFormat="1" applyFont="1" applyFill="1" applyBorder="1" applyAlignment="1" applyProtection="1">
      <alignment vertical="center"/>
      <protection hidden="1"/>
    </xf>
    <xf numFmtId="164" fontId="20" fillId="0" borderId="1" xfId="33" applyNumberFormat="1" applyFont="1" applyFill="1" applyBorder="1" applyAlignment="1" applyProtection="1">
      <alignment vertical="center"/>
      <protection hidden="1"/>
    </xf>
    <xf numFmtId="164" fontId="20" fillId="0" borderId="61" xfId="33" applyNumberFormat="1" applyFont="1" applyFill="1" applyBorder="1" applyAlignment="1" applyProtection="1">
      <alignment vertical="center"/>
      <protection locked="0" hidden="1"/>
    </xf>
    <xf numFmtId="164" fontId="19" fillId="0" borderId="61" xfId="12" applyNumberFormat="1" applyFont="1" applyFill="1" applyBorder="1" applyAlignment="1" applyProtection="1">
      <alignment vertical="center"/>
      <protection hidden="1"/>
    </xf>
    <xf numFmtId="164" fontId="19" fillId="0" borderId="0" xfId="33" applyNumberFormat="1" applyFont="1" applyFill="1" applyBorder="1" applyAlignment="1" applyProtection="1">
      <alignment vertical="center"/>
      <protection locked="0" hidden="1"/>
    </xf>
    <xf numFmtId="0" fontId="19" fillId="0" borderId="31" xfId="0" applyFont="1" applyFill="1" applyBorder="1" applyAlignment="1" applyProtection="1">
      <alignment vertical="center" wrapText="1"/>
      <protection locked="0" hidden="1"/>
    </xf>
    <xf numFmtId="43" fontId="20" fillId="0" borderId="1" xfId="12" applyFont="1" applyFill="1" applyBorder="1" applyAlignment="1" applyProtection="1">
      <alignment vertical="center"/>
      <protection locked="0" hidden="1"/>
    </xf>
    <xf numFmtId="164" fontId="20" fillId="0" borderId="24" xfId="0" applyNumberFormat="1" applyFont="1" applyFill="1" applyBorder="1" applyAlignment="1">
      <alignment horizontal="right" vertical="center"/>
    </xf>
    <xf numFmtId="43" fontId="20" fillId="0" borderId="24" xfId="12" applyFont="1" applyFill="1" applyBorder="1" applyAlignment="1" applyProtection="1">
      <alignment vertical="center"/>
      <protection locked="0" hidden="1"/>
    </xf>
    <xf numFmtId="0" fontId="19" fillId="0" borderId="0" xfId="0" applyFont="1" applyFill="1" applyBorder="1" applyAlignment="1" applyProtection="1">
      <alignment vertical="center"/>
      <protection locked="0" hidden="1"/>
    </xf>
    <xf numFmtId="2" fontId="20" fillId="0" borderId="1" xfId="33" applyNumberFormat="1" applyFont="1" applyFill="1" applyBorder="1" applyAlignment="1" applyProtection="1">
      <alignment vertical="center"/>
      <protection locked="0" hidden="1"/>
    </xf>
    <xf numFmtId="0" fontId="104" fillId="0" borderId="0" xfId="0" applyFont="1" applyFill="1" applyAlignment="1" applyProtection="1">
      <alignment vertical="center"/>
      <protection locked="0" hidden="1"/>
    </xf>
    <xf numFmtId="164" fontId="104" fillId="0" borderId="0" xfId="12" applyNumberFormat="1" applyFont="1" applyFill="1" applyAlignment="1" applyProtection="1">
      <alignment vertical="center"/>
      <protection locked="0" hidden="1"/>
    </xf>
    <xf numFmtId="43" fontId="104" fillId="0" borderId="0" xfId="12" applyFont="1" applyFill="1" applyAlignment="1" applyProtection="1">
      <alignment vertical="center"/>
      <protection locked="0" hidden="1"/>
    </xf>
    <xf numFmtId="0" fontId="18" fillId="0" borderId="7" xfId="19" applyFont="1" applyFill="1" applyBorder="1" applyAlignment="1" applyProtection="1">
      <alignment horizontal="center" vertical="center" wrapText="1"/>
      <protection locked="0" hidden="1"/>
    </xf>
    <xf numFmtId="164" fontId="18" fillId="0" borderId="7" xfId="12" applyNumberFormat="1" applyFont="1" applyFill="1" applyBorder="1" applyAlignment="1" applyProtection="1">
      <alignment horizontal="center" wrapText="1"/>
      <protection locked="0" hidden="1"/>
    </xf>
    <xf numFmtId="164" fontId="18" fillId="0" borderId="7" xfId="12" applyNumberFormat="1" applyFont="1" applyFill="1" applyBorder="1" applyAlignment="1" applyProtection="1">
      <alignment horizontal="center" vertical="center" wrapText="1"/>
      <protection locked="0" hidden="1"/>
    </xf>
    <xf numFmtId="0" fontId="103" fillId="0" borderId="32" xfId="0" applyFont="1" applyFill="1" applyBorder="1" applyAlignment="1" applyProtection="1">
      <alignment vertical="center" wrapText="1"/>
      <protection locked="0" hidden="1"/>
    </xf>
    <xf numFmtId="1" fontId="103" fillId="0" borderId="1" xfId="0" applyNumberFormat="1" applyFont="1" applyFill="1" applyBorder="1" applyAlignment="1">
      <alignment horizontal="center"/>
    </xf>
    <xf numFmtId="164" fontId="102" fillId="0" borderId="58" xfId="12" applyNumberFormat="1" applyFont="1" applyFill="1" applyBorder="1" applyAlignment="1" applyProtection="1">
      <alignment vertical="center"/>
      <protection hidden="1"/>
    </xf>
    <xf numFmtId="1" fontId="19" fillId="0" borderId="18" xfId="0" applyNumberFormat="1" applyFont="1" applyFill="1" applyBorder="1" applyAlignment="1" applyProtection="1">
      <alignment horizontal="center" vertical="center"/>
      <protection locked="0" hidden="1"/>
    </xf>
    <xf numFmtId="0" fontId="20" fillId="0" borderId="51" xfId="0" applyFont="1" applyFill="1" applyBorder="1" applyAlignment="1" applyProtection="1">
      <alignment vertical="center" wrapText="1"/>
      <protection locked="0" hidden="1"/>
    </xf>
    <xf numFmtId="1" fontId="18" fillId="0" borderId="3" xfId="0" applyNumberFormat="1" applyFont="1" applyFill="1" applyBorder="1" applyAlignment="1" applyProtection="1">
      <alignment horizontal="center" vertical="center"/>
      <protection locked="0" hidden="1"/>
    </xf>
    <xf numFmtId="0" fontId="18" fillId="0" borderId="0" xfId="0" applyFont="1" applyFill="1" applyAlignment="1" applyProtection="1">
      <alignment vertical="center" wrapText="1"/>
      <protection locked="0" hidden="1"/>
    </xf>
    <xf numFmtId="1" fontId="17" fillId="0" borderId="18" xfId="0" applyNumberFormat="1" applyFont="1" applyFill="1" applyBorder="1" applyAlignment="1" applyProtection="1">
      <alignment horizontal="center" vertical="center"/>
      <protection locked="0" hidden="1"/>
    </xf>
    <xf numFmtId="164" fontId="17" fillId="0" borderId="24" xfId="25" applyNumberFormat="1" applyFont="1" applyFill="1" applyBorder="1" applyAlignment="1" applyProtection="1">
      <alignment horizontal="right" vertical="center"/>
      <protection locked="0" hidden="1"/>
    </xf>
    <xf numFmtId="164" fontId="18" fillId="0" borderId="41" xfId="25" applyNumberFormat="1" applyFont="1" applyFill="1" applyBorder="1" applyAlignment="1" applyProtection="1">
      <alignment horizontal="right" vertical="center"/>
      <protection hidden="1"/>
    </xf>
    <xf numFmtId="164" fontId="18" fillId="0" borderId="42" xfId="25" applyNumberFormat="1" applyFont="1" applyFill="1" applyBorder="1" applyAlignment="1" applyProtection="1">
      <alignment horizontal="right" vertical="center"/>
      <protection hidden="1"/>
    </xf>
    <xf numFmtId="164" fontId="18" fillId="0" borderId="43" xfId="25" applyNumberFormat="1" applyFont="1" applyFill="1" applyBorder="1" applyAlignment="1" applyProtection="1">
      <alignment horizontal="right" vertical="center"/>
      <protection hidden="1"/>
    </xf>
    <xf numFmtId="1" fontId="18" fillId="0" borderId="18" xfId="0" applyNumberFormat="1" applyFont="1" applyFill="1" applyBorder="1" applyAlignment="1" applyProtection="1">
      <alignment horizontal="center" vertical="center"/>
      <protection locked="0" hidden="1"/>
    </xf>
    <xf numFmtId="164" fontId="17" fillId="0" borderId="1" xfId="25" applyNumberFormat="1" applyFont="1" applyFill="1" applyBorder="1" applyAlignment="1" applyProtection="1">
      <alignment horizontal="right" vertical="center"/>
      <protection locked="0" hidden="1"/>
    </xf>
    <xf numFmtId="0" fontId="17" fillId="0" borderId="24" xfId="0" applyFont="1" applyFill="1" applyBorder="1" applyAlignment="1" applyProtection="1">
      <alignment vertical="center" wrapText="1"/>
      <protection locked="0" hidden="1"/>
    </xf>
    <xf numFmtId="164" fontId="18" fillId="0" borderId="2" xfId="25" applyNumberFormat="1" applyFont="1" applyFill="1" applyBorder="1" applyAlignment="1" applyProtection="1">
      <alignment horizontal="right" vertical="center"/>
      <protection locked="0" hidden="1"/>
    </xf>
    <xf numFmtId="0" fontId="17" fillId="0" borderId="1" xfId="0" applyFont="1" applyFill="1" applyBorder="1" applyAlignment="1" applyProtection="1">
      <alignment vertical="center"/>
      <protection locked="0" hidden="1"/>
    </xf>
    <xf numFmtId="0" fontId="17" fillId="0" borderId="1" xfId="0" applyFont="1" applyFill="1" applyBorder="1" applyAlignment="1" applyProtection="1">
      <alignment horizontal="center" vertical="center"/>
      <protection locked="0" hidden="1"/>
    </xf>
    <xf numFmtId="0" fontId="17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vertical="center" wrapText="1"/>
    </xf>
    <xf numFmtId="164" fontId="17" fillId="0" borderId="61" xfId="25" applyNumberFormat="1" applyFont="1" applyFill="1" applyBorder="1" applyAlignment="1" applyProtection="1">
      <alignment vertical="center"/>
      <protection hidden="1"/>
    </xf>
    <xf numFmtId="164" fontId="17" fillId="0" borderId="23" xfId="25" applyNumberFormat="1" applyFont="1" applyFill="1" applyBorder="1" applyAlignment="1" applyProtection="1">
      <alignment vertical="center"/>
      <protection hidden="1"/>
    </xf>
    <xf numFmtId="1" fontId="100" fillId="0" borderId="2" xfId="0" applyNumberFormat="1" applyFont="1" applyFill="1" applyBorder="1" applyAlignment="1" applyProtection="1">
      <alignment horizontal="center" vertical="center"/>
      <protection locked="0" hidden="1"/>
    </xf>
    <xf numFmtId="0" fontId="100" fillId="0" borderId="2" xfId="0" applyFont="1" applyFill="1" applyBorder="1" applyAlignment="1" applyProtection="1">
      <alignment vertical="center" wrapText="1"/>
      <protection locked="0" hidden="1"/>
    </xf>
    <xf numFmtId="1" fontId="101" fillId="0" borderId="1" xfId="24" applyNumberFormat="1" applyFont="1" applyFill="1" applyBorder="1" applyAlignment="1" applyProtection="1">
      <alignment horizontal="center" vertical="center"/>
      <protection locked="0" hidden="1"/>
    </xf>
    <xf numFmtId="0" fontId="101" fillId="0" borderId="1" xfId="24" applyFont="1" applyFill="1" applyBorder="1" applyAlignment="1" applyProtection="1">
      <alignment vertical="center" wrapText="1"/>
      <protection locked="0" hidden="1"/>
    </xf>
    <xf numFmtId="164" fontId="101" fillId="0" borderId="61" xfId="25" applyNumberFormat="1" applyFont="1" applyFill="1" applyBorder="1" applyAlignment="1" applyProtection="1">
      <alignment vertical="center"/>
      <protection locked="0" hidden="1"/>
    </xf>
    <xf numFmtId="164" fontId="101" fillId="0" borderId="23" xfId="25" applyNumberFormat="1" applyFont="1" applyFill="1" applyBorder="1" applyAlignment="1" applyProtection="1">
      <alignment vertical="center"/>
      <protection locked="0" hidden="1"/>
    </xf>
    <xf numFmtId="164" fontId="101" fillId="0" borderId="61" xfId="12" applyNumberFormat="1" applyFont="1" applyFill="1" applyBorder="1" applyAlignment="1" applyProtection="1">
      <alignment vertical="center"/>
      <protection locked="0" hidden="1"/>
    </xf>
    <xf numFmtId="2" fontId="101" fillId="0" borderId="61" xfId="12" applyNumberFormat="1" applyFont="1" applyFill="1" applyBorder="1" applyAlignment="1" applyProtection="1">
      <alignment vertical="center"/>
      <protection locked="0" hidden="1"/>
    </xf>
    <xf numFmtId="164" fontId="101" fillId="0" borderId="0" xfId="25" applyNumberFormat="1" applyFont="1" applyFill="1" applyBorder="1" applyAlignment="1" applyProtection="1">
      <alignment vertical="center"/>
      <protection locked="0" hidden="1"/>
    </xf>
    <xf numFmtId="0" fontId="20" fillId="0" borderId="9" xfId="0" applyFont="1" applyFill="1" applyBorder="1" applyAlignment="1" applyProtection="1">
      <alignment vertical="center"/>
      <protection locked="0" hidden="1"/>
    </xf>
    <xf numFmtId="164" fontId="20" fillId="0" borderId="1" xfId="25" applyNumberFormat="1" applyFont="1" applyFill="1" applyBorder="1" applyAlignment="1" applyProtection="1">
      <alignment horizontal="right" vertical="center"/>
      <protection locked="0" hidden="1"/>
    </xf>
    <xf numFmtId="0" fontId="20" fillId="0" borderId="1" xfId="24" applyFont="1" applyFill="1" applyBorder="1" applyAlignment="1" applyProtection="1">
      <alignment vertical="center" wrapText="1"/>
      <protection locked="0" hidden="1"/>
    </xf>
    <xf numFmtId="164" fontId="20" fillId="0" borderId="43" xfId="12" applyNumberFormat="1" applyFont="1" applyFill="1" applyBorder="1" applyAlignment="1" applyProtection="1">
      <alignment vertical="center"/>
      <protection hidden="1"/>
    </xf>
    <xf numFmtId="164" fontId="102" fillId="0" borderId="43" xfId="12" applyNumberFormat="1" applyFont="1" applyFill="1" applyBorder="1" applyAlignment="1" applyProtection="1">
      <alignment vertical="center"/>
      <protection hidden="1"/>
    </xf>
    <xf numFmtId="0" fontId="105" fillId="0" borderId="0" xfId="0" applyFont="1" applyFill="1"/>
    <xf numFmtId="0" fontId="103" fillId="0" borderId="1" xfId="0" applyFont="1" applyFill="1" applyBorder="1" applyAlignment="1">
      <alignment vertical="center" wrapText="1"/>
    </xf>
    <xf numFmtId="0" fontId="106" fillId="0" borderId="0" xfId="0" applyFont="1" applyFill="1"/>
    <xf numFmtId="3" fontId="103" fillId="0" borderId="24" xfId="0" applyNumberFormat="1" applyFont="1" applyFill="1" applyBorder="1"/>
    <xf numFmtId="164" fontId="20" fillId="0" borderId="0" xfId="0" applyNumberFormat="1" applyFont="1" applyFill="1"/>
    <xf numFmtId="164" fontId="20" fillId="0" borderId="1" xfId="12" applyNumberFormat="1" applyFont="1" applyFill="1" applyBorder="1" applyAlignment="1" applyProtection="1">
      <alignment horizontal="center" vertical="center"/>
      <protection locked="0" hidden="1"/>
    </xf>
    <xf numFmtId="164" fontId="20" fillId="0" borderId="23" xfId="12" applyNumberFormat="1" applyFont="1" applyFill="1" applyBorder="1" applyAlignment="1" applyProtection="1">
      <alignment horizontal="center" vertical="center"/>
      <protection locked="0" hidden="1"/>
    </xf>
    <xf numFmtId="164" fontId="19" fillId="0" borderId="52" xfId="12" applyNumberFormat="1" applyFont="1" applyFill="1" applyBorder="1" applyAlignment="1" applyProtection="1">
      <alignment vertical="center"/>
      <protection hidden="1"/>
    </xf>
    <xf numFmtId="164" fontId="19" fillId="0" borderId="41" xfId="33" applyNumberFormat="1" applyFont="1" applyFill="1" applyBorder="1" applyAlignment="1" applyProtection="1">
      <alignment vertical="center"/>
      <protection hidden="1"/>
    </xf>
    <xf numFmtId="164" fontId="20" fillId="0" borderId="24" xfId="33" applyNumberFormat="1" applyFont="1" applyFill="1" applyBorder="1" applyAlignment="1" applyProtection="1">
      <alignment vertical="center"/>
      <protection hidden="1"/>
    </xf>
    <xf numFmtId="0" fontId="18" fillId="0" borderId="36" xfId="0" applyFont="1" applyFill="1" applyBorder="1" applyAlignment="1" applyProtection="1">
      <alignment vertical="center" wrapText="1"/>
      <protection locked="0" hidden="1"/>
    </xf>
    <xf numFmtId="164" fontId="17" fillId="0" borderId="6" xfId="12" applyNumberFormat="1" applyFont="1" applyFill="1" applyBorder="1" applyAlignment="1" applyProtection="1">
      <alignment vertical="center"/>
      <protection locked="0" hidden="1"/>
    </xf>
    <xf numFmtId="164" fontId="17" fillId="0" borderId="3" xfId="12" applyNumberFormat="1" applyFont="1" applyFill="1" applyBorder="1" applyAlignment="1" applyProtection="1">
      <alignment vertical="center"/>
      <protection locked="0" hidden="1"/>
    </xf>
    <xf numFmtId="0" fontId="17" fillId="0" borderId="36" xfId="0" applyFont="1" applyFill="1" applyBorder="1" applyAlignment="1" applyProtection="1">
      <alignment vertical="center" wrapText="1"/>
      <protection locked="0" hidden="1"/>
    </xf>
    <xf numFmtId="164" fontId="18" fillId="0" borderId="26" xfId="12" applyNumberFormat="1" applyFont="1" applyFill="1" applyBorder="1" applyAlignment="1" applyProtection="1">
      <alignment vertical="center"/>
      <protection hidden="1"/>
    </xf>
    <xf numFmtId="164" fontId="18" fillId="0" borderId="4" xfId="12" applyNumberFormat="1" applyFont="1" applyFill="1" applyBorder="1" applyAlignment="1" applyProtection="1">
      <alignment vertical="center"/>
      <protection hidden="1"/>
    </xf>
    <xf numFmtId="1" fontId="17" fillId="0" borderId="0" xfId="0" applyNumberFormat="1" applyFont="1" applyFill="1" applyBorder="1" applyAlignment="1" applyProtection="1">
      <alignment horizontal="center" vertical="center"/>
      <protection locked="0" hidden="1"/>
    </xf>
    <xf numFmtId="0" fontId="18" fillId="0" borderId="0" xfId="0" applyFont="1" applyFill="1" applyBorder="1" applyAlignment="1" applyProtection="1">
      <alignment vertical="center" wrapText="1"/>
      <protection locked="0" hidden="1"/>
    </xf>
    <xf numFmtId="164" fontId="18" fillId="0" borderId="0" xfId="12" applyNumberFormat="1" applyFont="1" applyFill="1" applyBorder="1" applyAlignment="1" applyProtection="1">
      <alignment vertical="center"/>
      <protection locked="0" hidden="1"/>
    </xf>
    <xf numFmtId="0" fontId="17" fillId="0" borderId="27" xfId="0" applyFont="1" applyFill="1" applyBorder="1" applyAlignment="1" applyProtection="1">
      <alignment vertical="center" wrapText="1"/>
      <protection locked="0" hidden="1"/>
    </xf>
    <xf numFmtId="164" fontId="17" fillId="0" borderId="1" xfId="12" applyNumberFormat="1" applyFont="1" applyFill="1" applyBorder="1" applyAlignment="1" applyProtection="1">
      <alignment horizontal="center" vertical="center"/>
      <protection locked="0" hidden="1"/>
    </xf>
    <xf numFmtId="0" fontId="18" fillId="0" borderId="27" xfId="0" applyFont="1" applyFill="1" applyBorder="1" applyAlignment="1" applyProtection="1">
      <alignment vertical="center" wrapText="1"/>
      <protection locked="0" hidden="1"/>
    </xf>
    <xf numFmtId="164" fontId="17" fillId="0" borderId="24" xfId="12" applyNumberFormat="1" applyFont="1" applyFill="1" applyBorder="1" applyAlignment="1" applyProtection="1">
      <alignment vertical="center"/>
      <protection hidden="1"/>
    </xf>
    <xf numFmtId="164" fontId="18" fillId="0" borderId="22" xfId="12" applyNumberFormat="1" applyFont="1" applyFill="1" applyBorder="1" applyAlignment="1" applyProtection="1">
      <alignment vertical="center"/>
      <protection hidden="1"/>
    </xf>
    <xf numFmtId="164" fontId="17" fillId="0" borderId="24" xfId="0" applyNumberFormat="1" applyFont="1" applyFill="1" applyBorder="1" applyAlignment="1" applyProtection="1">
      <alignment vertical="center"/>
      <protection locked="0" hidden="1"/>
    </xf>
    <xf numFmtId="164" fontId="18" fillId="0" borderId="41" xfId="0" applyNumberFormat="1" applyFont="1" applyFill="1" applyBorder="1" applyAlignment="1" applyProtection="1">
      <alignment vertical="center"/>
      <protection hidden="1"/>
    </xf>
    <xf numFmtId="164" fontId="18" fillId="0" borderId="42" xfId="12" applyNumberFormat="1" applyFont="1" applyFill="1" applyBorder="1" applyAlignment="1" applyProtection="1">
      <alignment vertical="center"/>
      <protection hidden="1"/>
    </xf>
    <xf numFmtId="164" fontId="17" fillId="0" borderId="1" xfId="12" applyNumberFormat="1" applyFont="1" applyFill="1" applyBorder="1"/>
    <xf numFmtId="164" fontId="17" fillId="0" borderId="1" xfId="0" applyNumberFormat="1" applyFont="1" applyFill="1" applyBorder="1"/>
    <xf numFmtId="164" fontId="18" fillId="0" borderId="15" xfId="12" applyNumberFormat="1" applyFont="1" applyFill="1" applyBorder="1" applyAlignment="1" applyProtection="1">
      <alignment vertical="center"/>
      <protection hidden="1"/>
    </xf>
    <xf numFmtId="1" fontId="19" fillId="0" borderId="0" xfId="29" applyNumberFormat="1" applyFont="1" applyFill="1" applyBorder="1" applyAlignment="1" applyProtection="1">
      <alignment horizontal="center" vertical="center"/>
      <protection locked="0" hidden="1"/>
    </xf>
    <xf numFmtId="0" fontId="19" fillId="0" borderId="0" xfId="29" applyFont="1" applyFill="1" applyBorder="1" applyAlignment="1" applyProtection="1">
      <alignment vertical="center" wrapText="1"/>
      <protection locked="0" hidden="1"/>
    </xf>
    <xf numFmtId="164" fontId="19" fillId="0" borderId="0" xfId="25" applyNumberFormat="1" applyFont="1" applyFill="1" applyBorder="1" applyAlignment="1" applyProtection="1">
      <alignment vertical="center"/>
      <protection hidden="1"/>
    </xf>
    <xf numFmtId="164" fontId="19" fillId="0" borderId="7" xfId="33" applyNumberFormat="1" applyFont="1" applyFill="1" applyBorder="1" applyAlignment="1" applyProtection="1">
      <alignment horizontal="center" wrapText="1"/>
      <protection locked="0" hidden="1"/>
    </xf>
    <xf numFmtId="164" fontId="20" fillId="0" borderId="23" xfId="33" applyNumberFormat="1" applyFont="1" applyFill="1" applyBorder="1" applyAlignment="1" applyProtection="1">
      <alignment vertical="center"/>
      <protection locked="0" hidden="1"/>
    </xf>
    <xf numFmtId="0" fontId="7" fillId="0" borderId="0" xfId="0" applyFont="1" applyFill="1" applyBorder="1"/>
    <xf numFmtId="0" fontId="19" fillId="0" borderId="42" xfId="19" applyFont="1" applyFill="1" applyBorder="1" applyAlignment="1" applyProtection="1">
      <alignment horizontal="center" vertical="center" wrapText="1"/>
      <protection locked="0" hidden="1"/>
    </xf>
    <xf numFmtId="164" fontId="19" fillId="0" borderId="42" xfId="33" applyNumberFormat="1" applyFont="1" applyFill="1" applyBorder="1" applyAlignment="1" applyProtection="1">
      <alignment horizontal="center" wrapText="1"/>
      <protection locked="0" hidden="1"/>
    </xf>
    <xf numFmtId="164" fontId="19" fillId="0" borderId="43" xfId="19" applyNumberFormat="1" applyFont="1" applyFill="1" applyBorder="1" applyAlignment="1" applyProtection="1">
      <alignment horizontal="center" wrapText="1"/>
      <protection locked="0" hidden="1"/>
    </xf>
    <xf numFmtId="1" fontId="19" fillId="0" borderId="55" xfId="0" applyNumberFormat="1" applyFont="1" applyFill="1" applyBorder="1" applyAlignment="1" applyProtection="1">
      <alignment horizontal="center" vertical="center"/>
      <protection locked="0" hidden="1"/>
    </xf>
    <xf numFmtId="1" fontId="20" fillId="0" borderId="54" xfId="0" applyNumberFormat="1" applyFont="1" applyFill="1" applyBorder="1" applyAlignment="1" applyProtection="1">
      <alignment horizontal="center" vertical="center"/>
      <protection locked="0" hidden="1"/>
    </xf>
    <xf numFmtId="164" fontId="20" fillId="0" borderId="47" xfId="33" applyNumberFormat="1" applyFont="1" applyFill="1" applyBorder="1" applyAlignment="1" applyProtection="1">
      <alignment vertical="center"/>
      <protection locked="0" hidden="1"/>
    </xf>
    <xf numFmtId="164" fontId="20" fillId="0" borderId="57" xfId="33" applyNumberFormat="1" applyFont="1" applyFill="1" applyBorder="1" applyAlignment="1" applyProtection="1">
      <alignment vertical="center"/>
      <protection locked="0" hidden="1"/>
    </xf>
    <xf numFmtId="164" fontId="19" fillId="0" borderId="43" xfId="33" applyNumberFormat="1" applyFont="1" applyFill="1" applyBorder="1" applyAlignment="1" applyProtection="1">
      <alignment vertical="center"/>
      <protection hidden="1"/>
    </xf>
    <xf numFmtId="1" fontId="19" fillId="0" borderId="54" xfId="0" applyNumberFormat="1" applyFont="1" applyFill="1" applyBorder="1" applyAlignment="1" applyProtection="1">
      <alignment horizontal="center" vertical="center"/>
      <protection locked="0" hidden="1"/>
    </xf>
    <xf numFmtId="1" fontId="20" fillId="0" borderId="54" xfId="0" applyNumberFormat="1" applyFont="1" applyFill="1" applyBorder="1" applyAlignment="1">
      <alignment horizontal="center"/>
    </xf>
    <xf numFmtId="1" fontId="19" fillId="0" borderId="54" xfId="19" applyNumberFormat="1" applyFont="1" applyFill="1" applyBorder="1" applyAlignment="1" applyProtection="1">
      <alignment horizontal="center" vertical="center"/>
      <protection locked="0" hidden="1"/>
    </xf>
    <xf numFmtId="0" fontId="17" fillId="0" borderId="5" xfId="0" applyFont="1" applyFill="1" applyBorder="1" applyAlignment="1" applyProtection="1">
      <alignment vertical="center"/>
      <protection locked="0" hidden="1"/>
    </xf>
    <xf numFmtId="164" fontId="17" fillId="0" borderId="14" xfId="33" applyNumberFormat="1" applyFont="1" applyFill="1" applyBorder="1" applyAlignment="1" applyProtection="1">
      <alignment vertical="center"/>
      <protection locked="0" hidden="1"/>
    </xf>
    <xf numFmtId="164" fontId="17" fillId="0" borderId="25" xfId="33" applyNumberFormat="1" applyFont="1" applyFill="1" applyBorder="1" applyAlignment="1" applyProtection="1">
      <alignment vertical="center"/>
      <protection locked="0" hidden="1"/>
    </xf>
    <xf numFmtId="164" fontId="17" fillId="0" borderId="5" xfId="33" applyNumberFormat="1" applyFont="1" applyFill="1" applyBorder="1" applyAlignment="1" applyProtection="1">
      <alignment vertical="center"/>
      <protection locked="0" hidden="1"/>
    </xf>
    <xf numFmtId="164" fontId="17" fillId="0" borderId="1" xfId="33" applyNumberFormat="1" applyFont="1" applyFill="1" applyBorder="1" applyAlignment="1" applyProtection="1">
      <alignment vertical="center"/>
      <protection locked="0" hidden="1"/>
    </xf>
    <xf numFmtId="164" fontId="17" fillId="0" borderId="24" xfId="33" applyNumberFormat="1" applyFont="1" applyFill="1" applyBorder="1" applyAlignment="1" applyProtection="1">
      <alignment vertical="center"/>
      <protection locked="0" hidden="1"/>
    </xf>
    <xf numFmtId="164" fontId="18" fillId="0" borderId="41" xfId="33" applyNumberFormat="1" applyFont="1" applyFill="1" applyBorder="1" applyAlignment="1" applyProtection="1">
      <alignment vertical="center"/>
      <protection hidden="1"/>
    </xf>
    <xf numFmtId="164" fontId="18" fillId="0" borderId="42" xfId="33" applyNumberFormat="1" applyFont="1" applyFill="1" applyBorder="1" applyAlignment="1" applyProtection="1">
      <alignment vertical="center"/>
      <protection hidden="1"/>
    </xf>
    <xf numFmtId="164" fontId="18" fillId="0" borderId="43" xfId="33" applyNumberFormat="1" applyFont="1" applyFill="1" applyBorder="1" applyAlignment="1" applyProtection="1">
      <alignment vertical="center"/>
      <protection hidden="1"/>
    </xf>
    <xf numFmtId="164" fontId="17" fillId="0" borderId="2" xfId="33" applyNumberFormat="1" applyFont="1" applyFill="1" applyBorder="1" applyAlignment="1" applyProtection="1">
      <alignment vertical="center"/>
      <protection locked="0" hidden="1"/>
    </xf>
    <xf numFmtId="164" fontId="17" fillId="0" borderId="24" xfId="33" applyNumberFormat="1" applyFont="1" applyFill="1" applyBorder="1" applyAlignment="1" applyProtection="1">
      <alignment vertical="center"/>
      <protection hidden="1"/>
    </xf>
    <xf numFmtId="164" fontId="19" fillId="0" borderId="0" xfId="12" applyNumberFormat="1" applyFont="1" applyFill="1" applyBorder="1" applyAlignment="1" applyProtection="1">
      <alignment horizontal="center" vertical="center"/>
      <protection locked="0" hidden="1"/>
    </xf>
    <xf numFmtId="43" fontId="19" fillId="0" borderId="0" xfId="15" applyNumberFormat="1" applyFont="1" applyFill="1" applyBorder="1" applyAlignment="1" applyProtection="1">
      <alignment horizontal="center" vertical="center"/>
      <protection locked="0" hidden="1"/>
    </xf>
    <xf numFmtId="164" fontId="19" fillId="0" borderId="29" xfId="12" applyNumberFormat="1" applyFont="1" applyFill="1" applyBorder="1" applyAlignment="1" applyProtection="1">
      <alignment vertical="center"/>
      <protection hidden="1"/>
    </xf>
    <xf numFmtId="0" fontId="18" fillId="0" borderId="0" xfId="0" applyFont="1" applyFill="1" applyAlignment="1" applyProtection="1">
      <alignment vertical="center"/>
      <protection locked="0" hidden="1"/>
    </xf>
    <xf numFmtId="1" fontId="17" fillId="0" borderId="32" xfId="0" applyNumberFormat="1" applyFont="1" applyFill="1" applyBorder="1" applyAlignment="1" applyProtection="1">
      <alignment horizontal="center" vertical="center"/>
      <protection locked="0" hidden="1"/>
    </xf>
    <xf numFmtId="1" fontId="17" fillId="0" borderId="4" xfId="0" applyNumberFormat="1" applyFont="1" applyFill="1" applyBorder="1" applyAlignment="1" applyProtection="1">
      <alignment horizontal="center" vertical="center"/>
      <protection locked="0" hidden="1"/>
    </xf>
    <xf numFmtId="164" fontId="18" fillId="0" borderId="7" xfId="12" applyNumberFormat="1" applyFont="1" applyFill="1" applyBorder="1" applyAlignment="1" applyProtection="1">
      <alignment vertical="center"/>
      <protection locked="0" hidden="1"/>
    </xf>
    <xf numFmtId="4" fontId="15" fillId="0" borderId="1" xfId="24" applyNumberFormat="1" applyFont="1" applyFill="1" applyBorder="1"/>
    <xf numFmtId="164" fontId="15" fillId="0" borderId="24" xfId="25" applyNumberFormat="1" applyFont="1" applyFill="1" applyBorder="1" applyAlignment="1" applyProtection="1">
      <alignment vertical="center"/>
      <protection locked="0" hidden="1"/>
    </xf>
    <xf numFmtId="164" fontId="16" fillId="0" borderId="43" xfId="12" applyNumberFormat="1" applyFont="1" applyFill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center"/>
      <protection locked="0" hidden="1"/>
    </xf>
    <xf numFmtId="3" fontId="15" fillId="0" borderId="24" xfId="24" applyNumberFormat="1" applyFont="1" applyFill="1" applyBorder="1"/>
    <xf numFmtId="164" fontId="15" fillId="0" borderId="1" xfId="25" applyNumberFormat="1" applyFont="1" applyFill="1" applyBorder="1" applyAlignment="1" applyProtection="1">
      <alignment vertical="center"/>
      <protection locked="0" hidden="1"/>
    </xf>
    <xf numFmtId="164" fontId="17" fillId="0" borderId="0" xfId="12" applyNumberFormat="1" applyFont="1" applyFill="1" applyBorder="1" applyAlignment="1" applyProtection="1">
      <alignment vertical="center"/>
      <protection locked="0" hidden="1"/>
    </xf>
    <xf numFmtId="1" fontId="17" fillId="0" borderId="1" xfId="19" applyNumberFormat="1" applyFont="1" applyFill="1" applyBorder="1" applyAlignment="1" applyProtection="1">
      <alignment horizontal="center" vertical="center"/>
      <protection locked="0" hidden="1"/>
    </xf>
    <xf numFmtId="0" fontId="17" fillId="0" borderId="1" xfId="19" applyFont="1" applyFill="1" applyBorder="1" applyAlignment="1" applyProtection="1">
      <alignment vertical="center" wrapText="1"/>
      <protection locked="0" hidden="1"/>
    </xf>
    <xf numFmtId="0" fontId="107" fillId="0" borderId="0" xfId="0" applyFont="1" applyFill="1"/>
    <xf numFmtId="0" fontId="95" fillId="0" borderId="1" xfId="0" applyFont="1" applyFill="1" applyBorder="1"/>
    <xf numFmtId="164" fontId="20" fillId="0" borderId="39" xfId="12" applyNumberFormat="1" applyFont="1" applyFill="1" applyBorder="1" applyAlignment="1" applyProtection="1">
      <alignment vertical="center"/>
      <protection locked="0" hidden="1"/>
    </xf>
    <xf numFmtId="164" fontId="19" fillId="0" borderId="24" xfId="12" applyNumberFormat="1" applyFont="1" applyFill="1" applyBorder="1" applyAlignment="1" applyProtection="1">
      <alignment vertical="center"/>
      <protection hidden="1"/>
    </xf>
    <xf numFmtId="164" fontId="19" fillId="0" borderId="42" xfId="25" applyNumberFormat="1" applyFont="1" applyFill="1" applyBorder="1" applyAlignment="1" applyProtection="1">
      <alignment vertical="center"/>
      <protection locked="0" hidden="1"/>
    </xf>
    <xf numFmtId="164" fontId="20" fillId="0" borderId="2" xfId="25" applyNumberFormat="1" applyFont="1" applyFill="1" applyBorder="1" applyAlignment="1" applyProtection="1">
      <alignment vertical="center"/>
      <protection locked="0" hidden="1"/>
    </xf>
    <xf numFmtId="3" fontId="15" fillId="0" borderId="24" xfId="0" applyNumberFormat="1" applyFont="1" applyFill="1" applyBorder="1"/>
    <xf numFmtId="0" fontId="20" fillId="0" borderId="28" xfId="0" applyFont="1" applyFill="1" applyBorder="1" applyAlignment="1" applyProtection="1">
      <alignment vertical="center"/>
      <protection locked="0" hidden="1"/>
    </xf>
    <xf numFmtId="0" fontId="109" fillId="0" borderId="0" xfId="0" applyFont="1" applyFill="1"/>
    <xf numFmtId="0" fontId="110" fillId="0" borderId="5" xfId="0" applyFont="1" applyFill="1" applyBorder="1" applyAlignment="1" applyProtection="1">
      <alignment vertical="center"/>
      <protection locked="0" hidden="1"/>
    </xf>
    <xf numFmtId="0" fontId="110" fillId="0" borderId="25" xfId="0" applyFont="1" applyFill="1" applyBorder="1" applyAlignment="1" applyProtection="1">
      <alignment horizontal="center" vertical="center"/>
      <protection locked="0" hidden="1"/>
    </xf>
    <xf numFmtId="164" fontId="110" fillId="0" borderId="14" xfId="12" applyNumberFormat="1" applyFont="1" applyFill="1" applyBorder="1" applyAlignment="1" applyProtection="1">
      <alignment vertical="center"/>
      <protection locked="0" hidden="1"/>
    </xf>
    <xf numFmtId="166" fontId="110" fillId="0" borderId="25" xfId="12" applyNumberFormat="1" applyFont="1" applyFill="1" applyBorder="1" applyAlignment="1" applyProtection="1">
      <alignment vertical="center"/>
      <protection locked="0" hidden="1"/>
    </xf>
    <xf numFmtId="164" fontId="110" fillId="0" borderId="5" xfId="12" applyNumberFormat="1" applyFont="1" applyFill="1" applyBorder="1" applyAlignment="1" applyProtection="1">
      <alignment vertical="center"/>
      <protection locked="0" hidden="1"/>
    </xf>
    <xf numFmtId="1" fontId="108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08" fillId="0" borderId="1" xfId="0" applyFont="1" applyFill="1" applyBorder="1" applyAlignment="1" applyProtection="1">
      <alignment vertical="center" wrapText="1"/>
      <protection locked="0" hidden="1"/>
    </xf>
    <xf numFmtId="164" fontId="110" fillId="0" borderId="1" xfId="12" applyNumberFormat="1" applyFont="1" applyFill="1" applyBorder="1" applyAlignment="1" applyProtection="1">
      <alignment vertical="center"/>
      <protection locked="0" hidden="1"/>
    </xf>
    <xf numFmtId="166" fontId="110" fillId="0" borderId="1" xfId="12" applyNumberFormat="1" applyFont="1" applyFill="1" applyBorder="1" applyAlignment="1" applyProtection="1">
      <alignment vertical="center"/>
      <protection locked="0" hidden="1"/>
    </xf>
    <xf numFmtId="1" fontId="110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10" fillId="0" borderId="1" xfId="0" applyFont="1" applyFill="1" applyBorder="1" applyAlignment="1" applyProtection="1">
      <alignment vertical="center" wrapText="1"/>
      <protection locked="0" hidden="1"/>
    </xf>
    <xf numFmtId="164" fontId="110" fillId="0" borderId="24" xfId="12" applyNumberFormat="1" applyFont="1" applyFill="1" applyBorder="1" applyAlignment="1" applyProtection="1">
      <alignment vertical="center"/>
      <protection locked="0" hidden="1"/>
    </xf>
    <xf numFmtId="166" fontId="110" fillId="0" borderId="24" xfId="12" applyNumberFormat="1" applyFont="1" applyFill="1" applyBorder="1" applyAlignment="1" applyProtection="1">
      <alignment vertical="center"/>
      <protection locked="0" hidden="1"/>
    </xf>
    <xf numFmtId="164" fontId="108" fillId="0" borderId="41" xfId="12" applyNumberFormat="1" applyFont="1" applyFill="1" applyBorder="1" applyAlignment="1" applyProtection="1">
      <alignment vertical="center"/>
      <protection hidden="1"/>
    </xf>
    <xf numFmtId="166" fontId="108" fillId="0" borderId="42" xfId="12" applyNumberFormat="1" applyFont="1" applyFill="1" applyBorder="1" applyAlignment="1" applyProtection="1">
      <alignment vertical="center"/>
      <protection hidden="1"/>
    </xf>
    <xf numFmtId="166" fontId="108" fillId="0" borderId="41" xfId="12" applyNumberFormat="1" applyFont="1" applyFill="1" applyBorder="1" applyAlignment="1" applyProtection="1">
      <alignment vertical="center"/>
      <protection hidden="1"/>
    </xf>
    <xf numFmtId="164" fontId="110" fillId="0" borderId="23" xfId="12" applyNumberFormat="1" applyFont="1" applyFill="1" applyBorder="1" applyAlignment="1" applyProtection="1">
      <alignment vertical="center"/>
      <protection locked="0" hidden="1"/>
    </xf>
    <xf numFmtId="166" fontId="110" fillId="0" borderId="23" xfId="12" applyNumberFormat="1" applyFont="1" applyFill="1" applyBorder="1" applyAlignment="1" applyProtection="1">
      <alignment vertical="center"/>
      <protection locked="0" hidden="1"/>
    </xf>
    <xf numFmtId="1" fontId="108" fillId="0" borderId="1" xfId="34" applyNumberFormat="1" applyFont="1" applyFill="1" applyBorder="1" applyAlignment="1" applyProtection="1">
      <alignment horizontal="center" vertical="center"/>
      <protection locked="0" hidden="1"/>
    </xf>
    <xf numFmtId="0" fontId="108" fillId="0" borderId="32" xfId="34" applyFont="1" applyFill="1" applyBorder="1" applyAlignment="1" applyProtection="1">
      <alignment vertical="center" wrapText="1"/>
      <protection locked="0" hidden="1"/>
    </xf>
    <xf numFmtId="164" fontId="108" fillId="0" borderId="41" xfId="12" applyNumberFormat="1" applyFont="1" applyFill="1" applyBorder="1" applyAlignment="1">
      <alignment horizontal="center"/>
    </xf>
    <xf numFmtId="43" fontId="108" fillId="0" borderId="42" xfId="12" applyFont="1" applyFill="1" applyBorder="1" applyAlignment="1">
      <alignment horizontal="center"/>
    </xf>
    <xf numFmtId="0" fontId="94" fillId="0" borderId="0" xfId="0" applyFont="1" applyFill="1"/>
    <xf numFmtId="164" fontId="17" fillId="0" borderId="6" xfId="33" applyNumberFormat="1" applyFont="1" applyFill="1" applyBorder="1" applyAlignment="1" applyProtection="1">
      <alignment vertical="center"/>
      <protection locked="0" hidden="1"/>
    </xf>
    <xf numFmtId="164" fontId="17" fillId="0" borderId="3" xfId="33" applyNumberFormat="1" applyFont="1" applyFill="1" applyBorder="1" applyAlignment="1" applyProtection="1">
      <alignment vertical="center"/>
      <protection locked="0" hidden="1"/>
    </xf>
    <xf numFmtId="164" fontId="18" fillId="0" borderId="7" xfId="33" applyNumberFormat="1" applyFont="1" applyFill="1" applyBorder="1" applyAlignment="1" applyProtection="1">
      <alignment vertical="center"/>
      <protection hidden="1"/>
    </xf>
    <xf numFmtId="164" fontId="18" fillId="0" borderId="22" xfId="33" applyNumberFormat="1" applyFont="1" applyFill="1" applyBorder="1" applyAlignment="1" applyProtection="1">
      <alignment vertical="center"/>
      <protection hidden="1"/>
    </xf>
    <xf numFmtId="43" fontId="19" fillId="0" borderId="42" xfId="12" applyFont="1" applyFill="1" applyBorder="1" applyAlignment="1" applyProtection="1">
      <alignment vertical="center"/>
      <protection hidden="1"/>
    </xf>
    <xf numFmtId="43" fontId="20" fillId="0" borderId="24" xfId="12" applyFont="1" applyFill="1" applyBorder="1" applyAlignment="1" applyProtection="1">
      <alignment vertical="center"/>
      <protection hidden="1"/>
    </xf>
    <xf numFmtId="43" fontId="20" fillId="0" borderId="23" xfId="12" applyFont="1" applyFill="1" applyBorder="1" applyAlignment="1" applyProtection="1">
      <alignment vertical="center"/>
      <protection locked="0" hidden="1"/>
    </xf>
    <xf numFmtId="43" fontId="19" fillId="0" borderId="23" xfId="12" applyFont="1" applyFill="1" applyBorder="1" applyAlignment="1" applyProtection="1">
      <alignment vertical="center"/>
      <protection locked="0" hidden="1"/>
    </xf>
    <xf numFmtId="43" fontId="19" fillId="0" borderId="7" xfId="12" applyFont="1" applyFill="1" applyBorder="1" applyAlignment="1" applyProtection="1">
      <alignment vertical="center"/>
      <protection hidden="1"/>
    </xf>
    <xf numFmtId="164" fontId="17" fillId="0" borderId="1" xfId="12" applyNumberFormat="1" applyFont="1" applyFill="1" applyBorder="1" applyAlignment="1" applyProtection="1">
      <alignment vertical="center"/>
      <protection hidden="1"/>
    </xf>
    <xf numFmtId="1" fontId="18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wrapText="1"/>
    </xf>
    <xf numFmtId="1" fontId="18" fillId="0" borderId="0" xfId="19" applyNumberFormat="1" applyFont="1" applyFill="1" applyBorder="1" applyAlignment="1" applyProtection="1">
      <alignment horizontal="center" vertical="center"/>
      <protection locked="0" hidden="1"/>
    </xf>
    <xf numFmtId="0" fontId="18" fillId="0" borderId="0" xfId="19" applyFont="1" applyFill="1" applyBorder="1" applyAlignment="1" applyProtection="1">
      <alignment vertical="center" wrapText="1"/>
      <protection locked="0" hidden="1"/>
    </xf>
    <xf numFmtId="164" fontId="18" fillId="0" borderId="0" xfId="12" applyNumberFormat="1" applyFont="1" applyFill="1" applyBorder="1" applyAlignment="1" applyProtection="1">
      <alignment vertical="center"/>
      <protection hidden="1"/>
    </xf>
    <xf numFmtId="164" fontId="19" fillId="0" borderId="60" xfId="12" applyNumberFormat="1" applyFont="1" applyFill="1" applyBorder="1" applyAlignment="1" applyProtection="1">
      <alignment vertical="center"/>
      <protection hidden="1"/>
    </xf>
    <xf numFmtId="164" fontId="19" fillId="0" borderId="13" xfId="12" applyNumberFormat="1" applyFont="1" applyFill="1" applyBorder="1" applyAlignment="1" applyProtection="1">
      <alignment vertical="center"/>
      <protection hidden="1"/>
    </xf>
    <xf numFmtId="0" fontId="17" fillId="0" borderId="1" xfId="0" applyFont="1" applyFill="1" applyBorder="1"/>
    <xf numFmtId="164" fontId="18" fillId="0" borderId="7" xfId="19" applyNumberFormat="1" applyFont="1" applyFill="1" applyBorder="1" applyAlignment="1" applyProtection="1">
      <alignment horizontal="center" wrapText="1"/>
      <protection locked="0" hidden="1"/>
    </xf>
    <xf numFmtId="0" fontId="19" fillId="0" borderId="3" xfId="19" applyFont="1" applyFill="1" applyBorder="1" applyAlignment="1" applyProtection="1">
      <alignment vertical="center"/>
      <protection locked="0" hidden="1"/>
    </xf>
    <xf numFmtId="0" fontId="19" fillId="0" borderId="0" xfId="19" applyFont="1" applyFill="1" applyBorder="1" applyAlignment="1" applyProtection="1">
      <alignment vertical="center"/>
      <protection locked="0" hidden="1"/>
    </xf>
    <xf numFmtId="164" fontId="19" fillId="0" borderId="15" xfId="12" applyNumberFormat="1" applyFont="1" applyFill="1" applyBorder="1" applyAlignment="1" applyProtection="1">
      <alignment vertical="center"/>
      <protection hidden="1"/>
    </xf>
    <xf numFmtId="164" fontId="18" fillId="0" borderId="7" xfId="33" applyNumberFormat="1" applyFont="1" applyFill="1" applyBorder="1" applyAlignment="1" applyProtection="1">
      <alignment horizontal="center" wrapText="1"/>
      <protection locked="0" hidden="1"/>
    </xf>
    <xf numFmtId="0" fontId="17" fillId="0" borderId="25" xfId="0" applyFont="1" applyFill="1" applyBorder="1" applyAlignment="1" applyProtection="1">
      <alignment horizontal="center" vertical="center" wrapText="1"/>
      <protection locked="0" hidden="1"/>
    </xf>
    <xf numFmtId="164" fontId="17" fillId="0" borderId="1" xfId="33" applyNumberFormat="1" applyFont="1" applyFill="1" applyBorder="1" applyAlignment="1" applyProtection="1">
      <alignment vertical="center"/>
      <protection hidden="1"/>
    </xf>
    <xf numFmtId="164" fontId="17" fillId="0" borderId="61" xfId="33" applyNumberFormat="1" applyFont="1" applyFill="1" applyBorder="1" applyAlignment="1" applyProtection="1">
      <alignment vertical="center"/>
      <protection locked="0" hidden="1"/>
    </xf>
    <xf numFmtId="164" fontId="17" fillId="0" borderId="23" xfId="33" applyNumberFormat="1" applyFont="1" applyFill="1" applyBorder="1" applyAlignment="1" applyProtection="1">
      <alignment vertical="center"/>
      <protection locked="0" hidden="1"/>
    </xf>
    <xf numFmtId="1" fontId="17" fillId="0" borderId="24" xfId="0" applyNumberFormat="1" applyFont="1" applyFill="1" applyBorder="1" applyAlignment="1" applyProtection="1">
      <alignment horizontal="center" vertical="center"/>
      <protection locked="0" hidden="1"/>
    </xf>
    <xf numFmtId="164" fontId="18" fillId="0" borderId="58" xfId="33" applyNumberFormat="1" applyFont="1" applyFill="1" applyBorder="1" applyAlignment="1" applyProtection="1">
      <alignment vertical="center"/>
      <protection hidden="1"/>
    </xf>
    <xf numFmtId="0" fontId="18" fillId="0" borderId="18" xfId="0" applyFont="1" applyFill="1" applyBorder="1" applyAlignment="1" applyProtection="1">
      <alignment vertical="center" wrapText="1"/>
      <protection locked="0" hidden="1"/>
    </xf>
    <xf numFmtId="164" fontId="17" fillId="0" borderId="0" xfId="0" applyNumberFormat="1" applyFont="1" applyFill="1"/>
    <xf numFmtId="164" fontId="17" fillId="0" borderId="0" xfId="33" applyNumberFormat="1" applyFont="1" applyFill="1"/>
    <xf numFmtId="0" fontId="17" fillId="0" borderId="1" xfId="0" applyFont="1" applyFill="1" applyBorder="1" applyAlignment="1" applyProtection="1">
      <alignment horizontal="center" vertical="center" wrapText="1"/>
      <protection locked="0" hidden="1"/>
    </xf>
    <xf numFmtId="0" fontId="17" fillId="0" borderId="1" xfId="0" applyFont="1" applyFill="1" applyBorder="1" applyAlignment="1">
      <alignment horizontal="center" vertical="center"/>
    </xf>
    <xf numFmtId="164" fontId="18" fillId="0" borderId="1" xfId="12" applyNumberFormat="1" applyFont="1" applyFill="1" applyBorder="1" applyAlignment="1">
      <alignment vertical="center"/>
    </xf>
    <xf numFmtId="164" fontId="18" fillId="0" borderId="6" xfId="33" applyNumberFormat="1" applyFont="1" applyFill="1" applyBorder="1" applyAlignment="1" applyProtection="1">
      <alignment vertical="center"/>
      <protection hidden="1"/>
    </xf>
    <xf numFmtId="164" fontId="18" fillId="0" borderId="23" xfId="33" applyNumberFormat="1" applyFont="1" applyFill="1" applyBorder="1" applyAlignment="1" applyProtection="1">
      <alignment vertical="center"/>
      <protection hidden="1"/>
    </xf>
    <xf numFmtId="1" fontId="18" fillId="0" borderId="1" xfId="19" applyNumberFormat="1" applyFont="1" applyFill="1" applyBorder="1" applyAlignment="1" applyProtection="1">
      <alignment horizontal="center" vertical="center"/>
      <protection locked="0" hidden="1"/>
    </xf>
    <xf numFmtId="0" fontId="18" fillId="0" borderId="32" xfId="19" applyFont="1" applyFill="1" applyBorder="1" applyAlignment="1" applyProtection="1">
      <alignment vertical="center" wrapText="1"/>
      <protection locked="0" hidden="1"/>
    </xf>
    <xf numFmtId="164" fontId="17" fillId="0" borderId="1" xfId="33" applyNumberFormat="1" applyFont="1" applyFill="1" applyBorder="1"/>
    <xf numFmtId="164" fontId="17" fillId="0" borderId="24" xfId="33" applyNumberFormat="1" applyFont="1" applyFill="1" applyBorder="1"/>
    <xf numFmtId="164" fontId="17" fillId="0" borderId="24" xfId="33" applyNumberFormat="1" applyFont="1" applyFill="1" applyBorder="1" applyAlignment="1">
      <alignment horizontal="right"/>
    </xf>
    <xf numFmtId="164" fontId="17" fillId="0" borderId="1" xfId="33" applyNumberFormat="1" applyFont="1" applyFill="1" applyBorder="1" applyAlignment="1">
      <alignment horizontal="right"/>
    </xf>
    <xf numFmtId="43" fontId="18" fillId="0" borderId="41" xfId="33" applyFont="1" applyFill="1" applyBorder="1" applyAlignment="1" applyProtection="1">
      <alignment vertical="center"/>
      <protection hidden="1"/>
    </xf>
    <xf numFmtId="164" fontId="17" fillId="0" borderId="23" xfId="33" applyNumberFormat="1" applyFont="1" applyFill="1" applyBorder="1"/>
    <xf numFmtId="164" fontId="16" fillId="0" borderId="7" xfId="19" applyNumberFormat="1" applyFont="1" applyFill="1" applyBorder="1" applyAlignment="1" applyProtection="1">
      <alignment horizontal="center" wrapText="1"/>
      <protection locked="0" hidden="1"/>
    </xf>
    <xf numFmtId="164" fontId="16" fillId="0" borderId="7" xfId="33" applyNumberFormat="1" applyFont="1" applyFill="1" applyBorder="1" applyAlignment="1" applyProtection="1">
      <alignment horizontal="center" wrapText="1"/>
      <protection locked="0" hidden="1"/>
    </xf>
    <xf numFmtId="164" fontId="15" fillId="0" borderId="1" xfId="33" applyNumberFormat="1" applyFont="1" applyFill="1" applyBorder="1" applyAlignment="1" applyProtection="1">
      <alignment vertical="center"/>
      <protection locked="0" hidden="1"/>
    </xf>
    <xf numFmtId="0" fontId="15" fillId="0" borderId="0" xfId="0" applyFont="1" applyFill="1"/>
    <xf numFmtId="164" fontId="15" fillId="0" borderId="24" xfId="33" applyNumberFormat="1" applyFont="1" applyFill="1" applyBorder="1" applyAlignment="1" applyProtection="1">
      <alignment vertical="center"/>
      <protection locked="0" hidden="1"/>
    </xf>
    <xf numFmtId="164" fontId="16" fillId="0" borderId="41" xfId="33" applyNumberFormat="1" applyFont="1" applyFill="1" applyBorder="1" applyAlignment="1" applyProtection="1">
      <alignment vertical="center"/>
      <protection hidden="1"/>
    </xf>
    <xf numFmtId="164" fontId="16" fillId="0" borderId="42" xfId="33" applyNumberFormat="1" applyFont="1" applyFill="1" applyBorder="1" applyAlignment="1" applyProtection="1">
      <alignment vertical="center"/>
      <protection hidden="1"/>
    </xf>
    <xf numFmtId="164" fontId="16" fillId="0" borderId="43" xfId="33" applyNumberFormat="1" applyFont="1" applyFill="1" applyBorder="1" applyAlignment="1" applyProtection="1">
      <alignment vertical="center"/>
      <protection hidden="1"/>
    </xf>
    <xf numFmtId="0" fontId="15" fillId="0" borderId="1" xfId="0" applyFont="1" applyFill="1" applyBorder="1" applyAlignment="1">
      <alignment horizontal="justify" wrapText="1"/>
    </xf>
    <xf numFmtId="164" fontId="15" fillId="0" borderId="1" xfId="12" applyNumberFormat="1" applyFont="1" applyFill="1" applyBorder="1" applyAlignment="1">
      <alignment horizontal="right" vertical="top" wrapText="1"/>
    </xf>
    <xf numFmtId="164" fontId="15" fillId="0" borderId="1" xfId="0" applyNumberFormat="1" applyFont="1" applyFill="1" applyBorder="1"/>
    <xf numFmtId="164" fontId="16" fillId="0" borderId="23" xfId="33" applyNumberFormat="1" applyFont="1" applyFill="1" applyBorder="1" applyAlignment="1" applyProtection="1">
      <alignment vertical="center"/>
      <protection hidden="1"/>
    </xf>
    <xf numFmtId="1" fontId="16" fillId="0" borderId="1" xfId="19" applyNumberFormat="1" applyFont="1" applyFill="1" applyBorder="1" applyAlignment="1" applyProtection="1">
      <alignment horizontal="center" vertical="center"/>
      <protection locked="0" hidden="1"/>
    </xf>
    <xf numFmtId="0" fontId="16" fillId="0" borderId="32" xfId="19" applyFont="1" applyFill="1" applyBorder="1" applyAlignment="1" applyProtection="1">
      <alignment vertical="center" wrapText="1"/>
      <protection locked="0" hidden="1"/>
    </xf>
    <xf numFmtId="0" fontId="16" fillId="0" borderId="0" xfId="0" applyFont="1" applyFill="1"/>
    <xf numFmtId="164" fontId="18" fillId="0" borderId="7" xfId="33" applyNumberFormat="1" applyFont="1" applyFill="1" applyBorder="1" applyAlignment="1" applyProtection="1">
      <alignment horizontal="center" vertical="center" wrapText="1"/>
      <protection locked="0" hidden="1"/>
    </xf>
    <xf numFmtId="164" fontId="17" fillId="0" borderId="1" xfId="33" applyNumberFormat="1" applyFont="1" applyFill="1" applyBorder="1" applyAlignment="1">
      <alignment horizontal="right" vertical="center" wrapText="1"/>
    </xf>
    <xf numFmtId="164" fontId="17" fillId="0" borderId="24" xfId="33" applyNumberFormat="1" applyFont="1" applyFill="1" applyBorder="1" applyAlignment="1" applyProtection="1">
      <alignment horizontal="right" vertical="center"/>
      <protection locked="0" hidden="1"/>
    </xf>
    <xf numFmtId="164" fontId="17" fillId="0" borderId="24" xfId="33" applyNumberFormat="1" applyFont="1" applyFill="1" applyBorder="1" applyAlignment="1">
      <alignment horizontal="right" vertical="center" wrapText="1"/>
    </xf>
    <xf numFmtId="0" fontId="99" fillId="0" borderId="0" xfId="0" applyFont="1" applyFill="1"/>
    <xf numFmtId="164" fontId="98" fillId="0" borderId="42" xfId="33" applyNumberFormat="1" applyFont="1" applyFill="1" applyBorder="1" applyAlignment="1" applyProtection="1">
      <alignment vertical="center"/>
      <protection hidden="1"/>
    </xf>
    <xf numFmtId="164" fontId="98" fillId="0" borderId="43" xfId="33" applyNumberFormat="1" applyFont="1" applyFill="1" applyBorder="1" applyAlignment="1" applyProtection="1">
      <alignment vertical="center"/>
      <protection hidden="1"/>
    </xf>
    <xf numFmtId="164" fontId="99" fillId="0" borderId="23" xfId="33" applyNumberFormat="1" applyFont="1" applyFill="1" applyBorder="1" applyAlignment="1" applyProtection="1">
      <alignment vertical="center"/>
      <protection locked="0" hidden="1"/>
    </xf>
    <xf numFmtId="164" fontId="99" fillId="0" borderId="1" xfId="33" applyNumberFormat="1" applyFont="1" applyFill="1" applyBorder="1" applyAlignment="1" applyProtection="1">
      <alignment vertical="center"/>
      <protection hidden="1"/>
    </xf>
    <xf numFmtId="164" fontId="99" fillId="0" borderId="24" xfId="33" applyNumberFormat="1" applyFont="1" applyFill="1" applyBorder="1" applyAlignment="1" applyProtection="1">
      <alignment vertical="center"/>
      <protection hidden="1"/>
    </xf>
    <xf numFmtId="0" fontId="18" fillId="0" borderId="56" xfId="19" applyFont="1" applyFill="1" applyBorder="1" applyAlignment="1" applyProtection="1">
      <alignment vertical="center" wrapText="1"/>
      <protection locked="0" hidden="1"/>
    </xf>
    <xf numFmtId="0" fontId="20" fillId="0" borderId="0" xfId="19" applyFont="1" applyFill="1" applyBorder="1" applyAlignment="1" applyProtection="1">
      <alignment vertical="center" wrapText="1"/>
      <protection locked="0" hidden="1"/>
    </xf>
    <xf numFmtId="0" fontId="19" fillId="0" borderId="1" xfId="0" applyFont="1" applyFill="1" applyBorder="1" applyAlignment="1">
      <alignment wrapText="1"/>
    </xf>
    <xf numFmtId="164" fontId="20" fillId="0" borderId="37" xfId="12" applyNumberFormat="1" applyFont="1" applyFill="1" applyBorder="1" applyAlignment="1" applyProtection="1">
      <alignment vertical="center"/>
      <protection hidden="1"/>
    </xf>
    <xf numFmtId="164" fontId="19" fillId="0" borderId="7" xfId="12" applyNumberFormat="1" applyFont="1" applyFill="1" applyBorder="1" applyAlignment="1" applyProtection="1">
      <alignment horizontal="center" vertical="center" wrapText="1"/>
      <protection locked="0" hidden="1"/>
    </xf>
    <xf numFmtId="1" fontId="20" fillId="0" borderId="1" xfId="24" applyNumberFormat="1" applyFont="1" applyFill="1" applyBorder="1" applyAlignment="1" applyProtection="1">
      <alignment horizontal="center" vertical="center"/>
      <protection locked="0" hidden="1"/>
    </xf>
    <xf numFmtId="0" fontId="20" fillId="0" borderId="32" xfId="24" applyFont="1" applyFill="1" applyBorder="1" applyAlignment="1" applyProtection="1">
      <alignment vertical="center" wrapText="1"/>
      <protection locked="0" hidden="1"/>
    </xf>
    <xf numFmtId="0" fontId="102" fillId="0" borderId="41" xfId="19" applyFont="1" applyFill="1" applyBorder="1" applyAlignment="1" applyProtection="1">
      <alignment horizontal="center" vertical="center" wrapText="1"/>
      <protection locked="0" hidden="1"/>
    </xf>
    <xf numFmtId="0" fontId="102" fillId="0" borderId="50" xfId="19" applyFont="1" applyFill="1" applyBorder="1" applyAlignment="1" applyProtection="1">
      <alignment horizontal="center" vertical="center"/>
      <protection locked="0" hidden="1"/>
    </xf>
    <xf numFmtId="164" fontId="102" fillId="0" borderId="50" xfId="19" applyNumberFormat="1" applyFont="1" applyFill="1" applyBorder="1" applyAlignment="1" applyProtection="1">
      <alignment horizontal="center" vertical="center" wrapText="1"/>
      <protection locked="0" hidden="1"/>
    </xf>
    <xf numFmtId="0" fontId="102" fillId="0" borderId="50" xfId="19" applyFont="1" applyFill="1" applyBorder="1" applyAlignment="1" applyProtection="1">
      <alignment horizontal="center" vertical="center" wrapText="1"/>
      <protection locked="0" hidden="1"/>
    </xf>
    <xf numFmtId="164" fontId="102" fillId="0" borderId="43" xfId="19" applyNumberFormat="1" applyFont="1" applyFill="1" applyBorder="1" applyAlignment="1" applyProtection="1">
      <alignment horizontal="center" vertical="center" wrapText="1"/>
      <protection locked="0" hidden="1"/>
    </xf>
    <xf numFmtId="1" fontId="102" fillId="0" borderId="2" xfId="0" applyNumberFormat="1" applyFont="1" applyFill="1" applyBorder="1" applyAlignment="1" applyProtection="1">
      <alignment horizontal="center" vertical="center"/>
      <protection locked="0" hidden="1"/>
    </xf>
    <xf numFmtId="0" fontId="102" fillId="0" borderId="38" xfId="0" applyFont="1" applyFill="1" applyBorder="1" applyAlignment="1" applyProtection="1">
      <alignment vertical="center" wrapText="1"/>
      <protection locked="0" hidden="1"/>
    </xf>
    <xf numFmtId="0" fontId="103" fillId="0" borderId="0" xfId="0" applyFont="1" applyFill="1" applyAlignment="1"/>
    <xf numFmtId="164" fontId="103" fillId="0" borderId="24" xfId="12" applyNumberFormat="1" applyFont="1" applyFill="1" applyBorder="1" applyAlignment="1">
      <alignment vertical="center"/>
    </xf>
    <xf numFmtId="0" fontId="103" fillId="0" borderId="1" xfId="19" applyFont="1" applyFill="1" applyBorder="1" applyAlignment="1" applyProtection="1">
      <alignment vertical="center" wrapText="1"/>
      <protection locked="0" hidden="1"/>
    </xf>
    <xf numFmtId="164" fontId="111" fillId="0" borderId="41" xfId="12" applyNumberFormat="1" applyFont="1" applyFill="1" applyBorder="1"/>
    <xf numFmtId="164" fontId="102" fillId="0" borderId="42" xfId="12" applyNumberFormat="1" applyFont="1" applyFill="1" applyBorder="1"/>
    <xf numFmtId="164" fontId="102" fillId="0" borderId="43" xfId="12" applyNumberFormat="1" applyFont="1" applyFill="1" applyBorder="1"/>
    <xf numFmtId="0" fontId="106" fillId="0" borderId="24" xfId="0" applyFont="1" applyFill="1" applyBorder="1"/>
    <xf numFmtId="164" fontId="106" fillId="0" borderId="42" xfId="0" applyNumberFormat="1" applyFont="1" applyFill="1" applyBorder="1"/>
    <xf numFmtId="0" fontId="106" fillId="0" borderId="42" xfId="0" applyFont="1" applyFill="1" applyBorder="1"/>
    <xf numFmtId="0" fontId="103" fillId="0" borderId="1" xfId="0" applyFont="1" applyFill="1" applyBorder="1"/>
    <xf numFmtId="164" fontId="103" fillId="0" borderId="1" xfId="12" applyNumberFormat="1" applyFont="1" applyFill="1" applyBorder="1"/>
    <xf numFmtId="164" fontId="102" fillId="0" borderId="42" xfId="0" applyNumberFormat="1" applyFont="1" applyFill="1" applyBorder="1"/>
    <xf numFmtId="164" fontId="102" fillId="0" borderId="43" xfId="0" applyNumberFormat="1" applyFont="1" applyFill="1" applyBorder="1"/>
    <xf numFmtId="0" fontId="15" fillId="0" borderId="0" xfId="0" applyFont="1" applyFill="1" applyBorder="1"/>
    <xf numFmtId="1" fontId="100" fillId="0" borderId="3" xfId="0" applyNumberFormat="1" applyFont="1" applyFill="1" applyBorder="1" applyAlignment="1" applyProtection="1">
      <alignment horizontal="center" vertical="center"/>
      <protection locked="0" hidden="1"/>
    </xf>
    <xf numFmtId="0" fontId="100" fillId="0" borderId="0" xfId="0" applyFont="1" applyFill="1" applyAlignment="1" applyProtection="1">
      <alignment vertical="center" wrapText="1"/>
      <protection locked="0" hidden="1"/>
    </xf>
    <xf numFmtId="164" fontId="100" fillId="0" borderId="7" xfId="12" applyNumberFormat="1" applyFont="1" applyFill="1" applyBorder="1" applyAlignment="1" applyProtection="1">
      <alignment vertical="center"/>
      <protection hidden="1"/>
    </xf>
    <xf numFmtId="164" fontId="103" fillId="0" borderId="6" xfId="12" applyNumberFormat="1" applyFont="1" applyFill="1" applyBorder="1" applyAlignment="1" applyProtection="1">
      <alignment vertical="center"/>
      <protection locked="0" hidden="1"/>
    </xf>
    <xf numFmtId="164" fontId="102" fillId="0" borderId="22" xfId="12" applyNumberFormat="1" applyFont="1" applyFill="1" applyBorder="1" applyAlignment="1" applyProtection="1">
      <alignment vertical="center"/>
      <protection locked="0" hidden="1"/>
    </xf>
    <xf numFmtId="0" fontId="102" fillId="0" borderId="24" xfId="0" applyFont="1" applyFill="1" applyBorder="1" applyAlignment="1" applyProtection="1">
      <alignment vertical="center" wrapText="1"/>
      <protection locked="0" hidden="1"/>
    </xf>
    <xf numFmtId="43" fontId="103" fillId="0" borderId="1" xfId="12" applyFont="1" applyFill="1" applyBorder="1" applyAlignment="1"/>
    <xf numFmtId="43" fontId="103" fillId="0" borderId="1" xfId="12" applyFont="1" applyFill="1" applyBorder="1" applyAlignment="1">
      <alignment vertical="center"/>
    </xf>
    <xf numFmtId="0" fontId="103" fillId="0" borderId="2" xfId="0" applyFont="1" applyFill="1" applyBorder="1" applyAlignment="1">
      <alignment vertical="center" wrapText="1"/>
    </xf>
    <xf numFmtId="2" fontId="103" fillId="0" borderId="1" xfId="12" applyNumberFormat="1" applyFont="1" applyFill="1" applyBorder="1" applyAlignment="1" applyProtection="1">
      <alignment vertical="center"/>
      <protection locked="0" hidden="1"/>
    </xf>
    <xf numFmtId="164" fontId="102" fillId="0" borderId="22" xfId="12" applyNumberFormat="1" applyFont="1" applyFill="1" applyBorder="1" applyAlignment="1" applyProtection="1">
      <alignment vertical="center"/>
      <protection hidden="1"/>
    </xf>
    <xf numFmtId="1" fontId="102" fillId="0" borderId="1" xfId="19" applyNumberFormat="1" applyFont="1" applyFill="1" applyBorder="1" applyAlignment="1" applyProtection="1">
      <alignment horizontal="center" vertical="center"/>
      <protection locked="0" hidden="1"/>
    </xf>
    <xf numFmtId="164" fontId="100" fillId="0" borderId="43" xfId="12" applyNumberFormat="1" applyFont="1" applyFill="1" applyBorder="1" applyAlignment="1" applyProtection="1">
      <alignment vertical="center"/>
      <protection hidden="1"/>
    </xf>
    <xf numFmtId="0" fontId="101" fillId="0" borderId="1" xfId="24" applyFont="1" applyFill="1" applyBorder="1" applyAlignment="1" applyProtection="1">
      <alignment vertical="center"/>
      <protection locked="0" hidden="1"/>
    </xf>
    <xf numFmtId="164" fontId="101" fillId="0" borderId="24" xfId="25" applyNumberFormat="1" applyFont="1" applyFill="1" applyBorder="1" applyAlignment="1" applyProtection="1">
      <alignment horizontal="right" vertical="center"/>
      <protection locked="0" hidden="1"/>
    </xf>
    <xf numFmtId="0" fontId="18" fillId="0" borderId="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3" xfId="19" applyFont="1" applyFill="1" applyBorder="1" applyAlignment="1" applyProtection="1">
      <alignment horizontal="center" vertical="center" wrapText="1"/>
      <protection locked="0" hidden="1"/>
    </xf>
    <xf numFmtId="0" fontId="17" fillId="0" borderId="0" xfId="19" applyFont="1" applyFill="1" applyAlignment="1" applyProtection="1">
      <alignment horizontal="center" wrapText="1"/>
      <protection locked="0" hidden="1"/>
    </xf>
    <xf numFmtId="164" fontId="17" fillId="0" borderId="3" xfId="12" applyNumberFormat="1" applyFont="1" applyFill="1" applyBorder="1" applyAlignment="1" applyProtection="1">
      <alignment horizontal="center" wrapText="1"/>
      <protection locked="0" hidden="1"/>
    </xf>
    <xf numFmtId="0" fontId="18" fillId="0" borderId="1" xfId="19" applyFont="1" applyFill="1" applyBorder="1" applyAlignment="1" applyProtection="1">
      <alignment horizontal="center" vertical="center" wrapText="1"/>
      <protection locked="0" hidden="1"/>
    </xf>
    <xf numFmtId="0" fontId="18" fillId="0" borderId="32" xfId="19" applyFont="1" applyFill="1" applyBorder="1" applyAlignment="1" applyProtection="1">
      <alignment wrapText="1"/>
      <protection locked="0" hidden="1"/>
    </xf>
    <xf numFmtId="0" fontId="18" fillId="0" borderId="1" xfId="19" applyFont="1" applyFill="1" applyBorder="1" applyAlignment="1" applyProtection="1">
      <alignment wrapText="1"/>
      <protection locked="0" hidden="1"/>
    </xf>
    <xf numFmtId="164" fontId="17" fillId="0" borderId="1" xfId="12" applyNumberFormat="1" applyFont="1" applyFill="1" applyBorder="1" applyAlignment="1" applyProtection="1">
      <alignment horizontal="center" wrapText="1"/>
      <protection locked="0" hidden="1"/>
    </xf>
    <xf numFmtId="0" fontId="18" fillId="0" borderId="32" xfId="0" applyFont="1" applyFill="1" applyBorder="1" applyAlignment="1">
      <alignment horizontal="justify" vertical="top" wrapText="1"/>
    </xf>
    <xf numFmtId="0" fontId="18" fillId="0" borderId="1" xfId="0" applyFont="1" applyFill="1" applyBorder="1" applyAlignment="1">
      <alignment horizontal="justify" vertical="top" wrapText="1"/>
    </xf>
    <xf numFmtId="164" fontId="17" fillId="0" borderId="1" xfId="12" applyNumberFormat="1" applyFont="1" applyFill="1" applyBorder="1" applyAlignment="1">
      <alignment horizontal="right" vertical="top" wrapText="1"/>
    </xf>
    <xf numFmtId="164" fontId="18" fillId="0" borderId="1" xfId="12" applyNumberFormat="1" applyFont="1" applyFill="1" applyBorder="1" applyAlignment="1">
      <alignment horizontal="right" vertical="top" wrapText="1"/>
    </xf>
    <xf numFmtId="164" fontId="18" fillId="0" borderId="1" xfId="12" applyNumberFormat="1" applyFont="1" applyFill="1" applyBorder="1" applyAlignment="1">
      <alignment horizontal="right"/>
    </xf>
    <xf numFmtId="0" fontId="17" fillId="0" borderId="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justify" wrapText="1"/>
    </xf>
    <xf numFmtId="164" fontId="17" fillId="0" borderId="1" xfId="12" applyNumberFormat="1" applyFont="1" applyFill="1" applyBorder="1" applyAlignment="1">
      <alignment horizontal="right"/>
    </xf>
    <xf numFmtId="0" fontId="18" fillId="0" borderId="32" xfId="0" applyFont="1" applyFill="1" applyBorder="1" applyAlignment="1">
      <alignment horizontal="justify" wrapText="1"/>
    </xf>
    <xf numFmtId="0" fontId="18" fillId="0" borderId="1" xfId="0" applyFont="1" applyFill="1" applyBorder="1" applyAlignment="1">
      <alignment horizontal="justify" wrapText="1"/>
    </xf>
    <xf numFmtId="164" fontId="17" fillId="0" borderId="0" xfId="12" applyNumberFormat="1" applyFont="1" applyFill="1" applyAlignment="1"/>
    <xf numFmtId="164" fontId="17" fillId="0" borderId="1" xfId="12" applyNumberFormat="1" applyFont="1" applyFill="1" applyBorder="1" applyAlignment="1"/>
    <xf numFmtId="164" fontId="18" fillId="0" borderId="1" xfId="12" applyNumberFormat="1" applyFont="1" applyFill="1" applyBorder="1" applyAlignment="1"/>
    <xf numFmtId="164" fontId="17" fillId="0" borderId="24" xfId="12" applyNumberFormat="1" applyFont="1" applyFill="1" applyBorder="1" applyAlignment="1">
      <alignment horizontal="right"/>
    </xf>
    <xf numFmtId="164" fontId="17" fillId="0" borderId="24" xfId="12" applyNumberFormat="1" applyFont="1" applyFill="1" applyBorder="1" applyAlignment="1" applyProtection="1">
      <alignment horizontal="center"/>
      <protection locked="0" hidden="1"/>
    </xf>
    <xf numFmtId="164" fontId="18" fillId="0" borderId="24" xfId="12" applyNumberFormat="1" applyFont="1" applyFill="1" applyBorder="1" applyAlignment="1">
      <alignment horizontal="right"/>
    </xf>
    <xf numFmtId="164" fontId="18" fillId="0" borderId="41" xfId="12" applyNumberFormat="1" applyFont="1" applyFill="1" applyBorder="1" applyAlignment="1">
      <alignment horizontal="right"/>
    </xf>
    <xf numFmtId="164" fontId="18" fillId="0" borderId="42" xfId="12" applyNumberFormat="1" applyFont="1" applyFill="1" applyBorder="1" applyAlignment="1">
      <alignment horizontal="right"/>
    </xf>
    <xf numFmtId="164" fontId="18" fillId="0" borderId="43" xfId="12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justify" wrapText="1"/>
    </xf>
    <xf numFmtId="164" fontId="18" fillId="0" borderId="0" xfId="12" applyNumberFormat="1" applyFont="1" applyFill="1" applyBorder="1" applyAlignment="1">
      <alignment horizontal="right" wrapText="1"/>
    </xf>
    <xf numFmtId="0" fontId="18" fillId="0" borderId="2" xfId="19" applyFont="1" applyFill="1" applyBorder="1" applyAlignment="1" applyProtection="1">
      <alignment wrapText="1"/>
      <protection locked="0" hidden="1"/>
    </xf>
    <xf numFmtId="164" fontId="17" fillId="0" borderId="2" xfId="12" applyNumberFormat="1" applyFont="1" applyFill="1" applyBorder="1" applyAlignment="1" applyProtection="1">
      <alignment horizontal="center" wrapText="1"/>
      <protection locked="0" hidden="1"/>
    </xf>
    <xf numFmtId="0" fontId="18" fillId="0" borderId="2" xfId="0" applyFont="1" applyFill="1" applyBorder="1" applyAlignment="1">
      <alignment horizontal="justify" vertical="top" wrapText="1"/>
    </xf>
    <xf numFmtId="0" fontId="17" fillId="0" borderId="1" xfId="0" applyFont="1" applyFill="1" applyBorder="1" applyAlignment="1">
      <alignment wrapText="1"/>
    </xf>
    <xf numFmtId="164" fontId="18" fillId="0" borderId="1" xfId="12" applyNumberFormat="1" applyFont="1" applyFill="1" applyBorder="1" applyAlignment="1">
      <alignment horizontal="right" vertical="top"/>
    </xf>
    <xf numFmtId="164" fontId="17" fillId="0" borderId="1" xfId="12" applyNumberFormat="1" applyFont="1" applyFill="1" applyBorder="1" applyAlignment="1">
      <alignment horizontal="right" wrapText="1"/>
    </xf>
    <xf numFmtId="164" fontId="18" fillId="0" borderId="1" xfId="12" applyNumberFormat="1" applyFont="1" applyFill="1" applyBorder="1" applyAlignment="1">
      <alignment wrapText="1"/>
    </xf>
    <xf numFmtId="164" fontId="17" fillId="0" borderId="1" xfId="12" applyNumberFormat="1" applyFont="1" applyFill="1" applyBorder="1" applyAlignment="1">
      <alignment wrapText="1"/>
    </xf>
    <xf numFmtId="0" fontId="17" fillId="0" borderId="1" xfId="0" applyFont="1" applyFill="1" applyBorder="1" applyAlignment="1">
      <alignment horizontal="justify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wrapText="1"/>
    </xf>
    <xf numFmtId="0" fontId="17" fillId="0" borderId="24" xfId="0" applyFont="1" applyFill="1" applyBorder="1" applyAlignment="1">
      <alignment wrapText="1"/>
    </xf>
    <xf numFmtId="0" fontId="17" fillId="0" borderId="24" xfId="0" applyFont="1" applyFill="1" applyBorder="1" applyAlignment="1">
      <alignment horizontal="justify" wrapText="1"/>
    </xf>
    <xf numFmtId="0" fontId="18" fillId="0" borderId="23" xfId="0" applyFont="1" applyFill="1" applyBorder="1" applyAlignment="1">
      <alignment wrapText="1"/>
    </xf>
    <xf numFmtId="164" fontId="17" fillId="0" borderId="23" xfId="12" applyNumberFormat="1" applyFont="1" applyFill="1" applyBorder="1" applyAlignment="1">
      <alignment wrapText="1"/>
    </xf>
    <xf numFmtId="0" fontId="18" fillId="0" borderId="22" xfId="0" applyFont="1" applyFill="1" applyBorder="1" applyAlignment="1">
      <alignment horizontal="justify" wrapText="1"/>
    </xf>
    <xf numFmtId="164" fontId="18" fillId="0" borderId="7" xfId="12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justify" wrapText="1"/>
    </xf>
    <xf numFmtId="0" fontId="18" fillId="0" borderId="0" xfId="0" applyFont="1" applyFill="1" applyAlignment="1">
      <alignment wrapText="1"/>
    </xf>
    <xf numFmtId="164" fontId="18" fillId="0" borderId="1" xfId="12" applyNumberFormat="1" applyFont="1" applyFill="1" applyBorder="1" applyAlignment="1">
      <alignment horizontal="right" wrapText="1"/>
    </xf>
    <xf numFmtId="0" fontId="17" fillId="0" borderId="36" xfId="0" applyFont="1" applyFill="1" applyBorder="1" applyAlignment="1">
      <alignment horizontal="justify" wrapText="1"/>
    </xf>
    <xf numFmtId="0" fontId="17" fillId="0" borderId="18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justify" wrapText="1"/>
    </xf>
    <xf numFmtId="0" fontId="18" fillId="0" borderId="4" xfId="0" applyFont="1" applyFill="1" applyBorder="1" applyAlignment="1">
      <alignment horizontal="justify" wrapText="1"/>
    </xf>
    <xf numFmtId="164" fontId="18" fillId="0" borderId="4" xfId="12" applyNumberFormat="1" applyFont="1" applyFill="1" applyBorder="1" applyAlignment="1">
      <alignment horizontal="right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justify" wrapText="1"/>
    </xf>
    <xf numFmtId="0" fontId="18" fillId="0" borderId="2" xfId="0" applyFont="1" applyFill="1" applyBorder="1" applyAlignment="1">
      <alignment wrapText="1"/>
    </xf>
    <xf numFmtId="164" fontId="18" fillId="0" borderId="2" xfId="12" applyNumberFormat="1" applyFont="1" applyFill="1" applyBorder="1" applyAlignment="1">
      <alignment horizontal="right" wrapText="1"/>
    </xf>
    <xf numFmtId="0" fontId="17" fillId="0" borderId="86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justify" vertical="top" wrapText="1"/>
    </xf>
    <xf numFmtId="164" fontId="17" fillId="0" borderId="24" xfId="12" applyNumberFormat="1" applyFont="1" applyFill="1" applyBorder="1" applyAlignment="1">
      <alignment horizontal="right" wrapText="1"/>
    </xf>
    <xf numFmtId="3" fontId="17" fillId="0" borderId="1" xfId="0" applyNumberFormat="1" applyFont="1" applyFill="1" applyBorder="1" applyAlignment="1">
      <alignment horizontal="left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justify" wrapText="1"/>
    </xf>
    <xf numFmtId="164" fontId="17" fillId="0" borderId="3" xfId="12" applyNumberFormat="1" applyFont="1" applyFill="1" applyBorder="1" applyAlignment="1">
      <alignment horizontal="right" wrapText="1"/>
    </xf>
    <xf numFmtId="0" fontId="17" fillId="0" borderId="7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wrapText="1"/>
    </xf>
    <xf numFmtId="164" fontId="17" fillId="0" borderId="2" xfId="12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center" wrapText="1"/>
    </xf>
    <xf numFmtId="0" fontId="17" fillId="0" borderId="32" xfId="0" applyFont="1" applyFill="1" applyBorder="1" applyAlignment="1">
      <alignment horizontal="center" wrapText="1"/>
    </xf>
    <xf numFmtId="164" fontId="17" fillId="0" borderId="1" xfId="12" applyNumberFormat="1" applyFont="1" applyFill="1" applyBorder="1" applyAlignment="1" applyProtection="1">
      <alignment horizontal="right" wrapText="1"/>
      <protection locked="0" hidden="1"/>
    </xf>
    <xf numFmtId="0" fontId="18" fillId="0" borderId="32" xfId="19" applyFont="1" applyFill="1" applyBorder="1" applyAlignment="1" applyProtection="1">
      <alignment horizontal="center" vertical="center" wrapText="1"/>
      <protection locked="0" hidden="1"/>
    </xf>
    <xf numFmtId="0" fontId="18" fillId="0" borderId="32" xfId="0" applyFont="1" applyFill="1" applyBorder="1" applyAlignment="1">
      <alignment horizontal="center" vertical="center" wrapText="1"/>
    </xf>
    <xf numFmtId="0" fontId="18" fillId="0" borderId="71" xfId="0" applyFont="1" applyFill="1" applyBorder="1" applyAlignment="1">
      <alignment horizontal="justify" wrapText="1"/>
    </xf>
    <xf numFmtId="164" fontId="18" fillId="0" borderId="19" xfId="12" applyNumberFormat="1" applyFont="1" applyFill="1" applyBorder="1" applyAlignment="1">
      <alignment horizontal="right" wrapText="1"/>
    </xf>
    <xf numFmtId="0" fontId="18" fillId="0" borderId="1" xfId="0" applyFont="1" applyFill="1" applyBorder="1" applyAlignment="1">
      <alignment horizontal="justify" vertical="top"/>
    </xf>
    <xf numFmtId="164" fontId="18" fillId="0" borderId="1" xfId="12" applyNumberFormat="1" applyFont="1" applyFill="1" applyBorder="1" applyAlignment="1" applyProtection="1">
      <alignment vertical="center"/>
      <protection hidden="1"/>
    </xf>
    <xf numFmtId="0" fontId="17" fillId="0" borderId="1" xfId="0" applyFont="1" applyFill="1" applyBorder="1" applyAlignment="1">
      <alignment vertical="center"/>
    </xf>
    <xf numFmtId="0" fontId="18" fillId="0" borderId="3" xfId="19" applyFont="1" applyFill="1" applyBorder="1" applyAlignment="1" applyProtection="1">
      <alignment horizontal="center" vertical="center" wrapText="1"/>
      <protection locked="0" hidden="1"/>
    </xf>
    <xf numFmtId="0" fontId="18" fillId="0" borderId="0" xfId="19" applyFont="1" applyFill="1" applyBorder="1" applyAlignment="1" applyProtection="1">
      <alignment wrapText="1"/>
      <protection locked="0" hidden="1"/>
    </xf>
    <xf numFmtId="164" fontId="18" fillId="0" borderId="3" xfId="12" applyNumberFormat="1" applyFont="1" applyFill="1" applyBorder="1" applyAlignment="1" applyProtection="1">
      <alignment horizontal="center" wrapText="1"/>
      <protection locked="0" hidden="1"/>
    </xf>
    <xf numFmtId="164" fontId="17" fillId="0" borderId="4" xfId="12" applyNumberFormat="1" applyFont="1" applyFill="1" applyBorder="1" applyAlignment="1">
      <alignment horizontal="right" wrapText="1"/>
    </xf>
    <xf numFmtId="164" fontId="17" fillId="0" borderId="6" xfId="12" applyNumberFormat="1" applyFont="1" applyFill="1" applyBorder="1" applyAlignment="1" applyProtection="1">
      <alignment horizontal="center" wrapText="1"/>
      <protection locked="0" hidden="1"/>
    </xf>
    <xf numFmtId="0" fontId="113" fillId="0" borderId="0" xfId="0" applyFont="1" applyFill="1" applyAlignment="1">
      <alignment wrapText="1"/>
    </xf>
    <xf numFmtId="0" fontId="112" fillId="0" borderId="1" xfId="19" applyFont="1" applyFill="1" applyBorder="1" applyAlignment="1" applyProtection="1">
      <alignment horizontal="center" vertical="center" wrapText="1"/>
      <protection locked="0" hidden="1"/>
    </xf>
    <xf numFmtId="0" fontId="112" fillId="0" borderId="1" xfId="19" applyFont="1" applyFill="1" applyBorder="1" applyAlignment="1" applyProtection="1">
      <alignment wrapText="1"/>
      <protection locked="0" hidden="1"/>
    </xf>
    <xf numFmtId="164" fontId="113" fillId="0" borderId="1" xfId="12" applyNumberFormat="1" applyFont="1" applyFill="1" applyBorder="1" applyAlignment="1" applyProtection="1">
      <alignment horizontal="center" wrapText="1"/>
      <protection locked="0" hidden="1"/>
    </xf>
    <xf numFmtId="0" fontId="112" fillId="0" borderId="1" xfId="0" applyFont="1" applyFill="1" applyBorder="1" applyAlignment="1">
      <alignment horizontal="center" vertical="center" wrapText="1"/>
    </xf>
    <xf numFmtId="0" fontId="112" fillId="0" borderId="1" xfId="0" applyFont="1" applyFill="1" applyBorder="1" applyAlignment="1">
      <alignment horizontal="justify" vertical="top" wrapText="1"/>
    </xf>
    <xf numFmtId="164" fontId="113" fillId="0" borderId="1" xfId="12" applyNumberFormat="1" applyFont="1" applyFill="1" applyBorder="1" applyAlignment="1">
      <alignment horizontal="right" vertical="top" wrapText="1"/>
    </xf>
    <xf numFmtId="0" fontId="113" fillId="0" borderId="1" xfId="0" applyFont="1" applyFill="1" applyBorder="1" applyAlignment="1">
      <alignment horizontal="center" vertical="center" wrapText="1"/>
    </xf>
    <xf numFmtId="0" fontId="113" fillId="0" borderId="1" xfId="0" applyFont="1" applyFill="1" applyBorder="1" applyAlignment="1">
      <alignment horizontal="justify" wrapText="1"/>
    </xf>
    <xf numFmtId="164" fontId="113" fillId="0" borderId="1" xfId="12" applyNumberFormat="1" applyFont="1" applyFill="1" applyBorder="1" applyAlignment="1">
      <alignment horizontal="right" wrapText="1"/>
    </xf>
    <xf numFmtId="0" fontId="112" fillId="0" borderId="32" xfId="0" applyFont="1" applyFill="1" applyBorder="1" applyAlignment="1">
      <alignment horizontal="justify" vertical="top" wrapText="1"/>
    </xf>
    <xf numFmtId="164" fontId="112" fillId="0" borderId="1" xfId="12" applyNumberFormat="1" applyFont="1" applyFill="1" applyBorder="1" applyAlignment="1">
      <alignment horizontal="right" wrapText="1"/>
    </xf>
    <xf numFmtId="0" fontId="113" fillId="0" borderId="32" xfId="0" applyFont="1" applyFill="1" applyBorder="1" applyAlignment="1">
      <alignment horizontal="justify" wrapText="1"/>
    </xf>
    <xf numFmtId="164" fontId="112" fillId="0" borderId="1" xfId="12" applyNumberFormat="1" applyFont="1" applyFill="1" applyBorder="1" applyAlignment="1">
      <alignment horizontal="right" vertical="top" wrapText="1"/>
    </xf>
    <xf numFmtId="0" fontId="112" fillId="0" borderId="1" xfId="0" applyFont="1" applyFill="1" applyBorder="1" applyAlignment="1">
      <alignment horizontal="center" wrapText="1"/>
    </xf>
    <xf numFmtId="0" fontId="112" fillId="0" borderId="32" xfId="0" applyFont="1" applyFill="1" applyBorder="1" applyAlignment="1">
      <alignment horizontal="justify" wrapText="1"/>
    </xf>
    <xf numFmtId="0" fontId="113" fillId="0" borderId="24" xfId="0" applyFont="1" applyFill="1" applyBorder="1" applyAlignment="1">
      <alignment horizontal="justify" wrapText="1"/>
    </xf>
    <xf numFmtId="164" fontId="113" fillId="0" borderId="24" xfId="12" applyNumberFormat="1" applyFont="1" applyFill="1" applyBorder="1" applyAlignment="1">
      <alignment horizontal="right" wrapText="1"/>
    </xf>
    <xf numFmtId="0" fontId="112" fillId="0" borderId="1" xfId="0" applyFont="1" applyFill="1" applyBorder="1" applyAlignment="1">
      <alignment horizontal="justify" wrapText="1"/>
    </xf>
    <xf numFmtId="0" fontId="112" fillId="0" borderId="0" xfId="0" applyFont="1" applyFill="1" applyAlignment="1">
      <alignment wrapText="1"/>
    </xf>
    <xf numFmtId="0" fontId="114" fillId="0" borderId="1" xfId="0" applyFont="1" applyFill="1" applyBorder="1"/>
    <xf numFmtId="0" fontId="114" fillId="0" borderId="0" xfId="0" applyFont="1" applyFill="1"/>
    <xf numFmtId="0" fontId="113" fillId="0" borderId="3" xfId="0" applyFont="1" applyFill="1" applyBorder="1" applyAlignment="1">
      <alignment horizontal="center" vertical="center" wrapText="1"/>
    </xf>
    <xf numFmtId="0" fontId="112" fillId="0" borderId="26" xfId="0" applyFont="1" applyFill="1" applyBorder="1" applyAlignment="1">
      <alignment horizontal="justify" wrapText="1"/>
    </xf>
    <xf numFmtId="0" fontId="112" fillId="0" borderId="21" xfId="0" applyFont="1" applyFill="1" applyBorder="1" applyAlignment="1">
      <alignment horizontal="justify" wrapText="1"/>
    </xf>
    <xf numFmtId="164" fontId="112" fillId="0" borderId="24" xfId="12" applyNumberFormat="1" applyFont="1" applyFill="1" applyBorder="1" applyAlignment="1">
      <alignment horizontal="right" wrapText="1"/>
    </xf>
    <xf numFmtId="0" fontId="112" fillId="0" borderId="7" xfId="0" applyFont="1" applyFill="1" applyBorder="1" applyAlignment="1">
      <alignment horizontal="center" vertical="center" wrapText="1"/>
    </xf>
    <xf numFmtId="0" fontId="112" fillId="0" borderId="22" xfId="0" applyFont="1" applyFill="1" applyBorder="1" applyAlignment="1">
      <alignment horizontal="justify" wrapText="1"/>
    </xf>
    <xf numFmtId="164" fontId="112" fillId="0" borderId="7" xfId="12" applyNumberFormat="1" applyFont="1" applyFill="1" applyBorder="1" applyAlignment="1">
      <alignment horizontal="right" wrapText="1"/>
    </xf>
    <xf numFmtId="0" fontId="18" fillId="0" borderId="2" xfId="19" applyFont="1" applyFill="1" applyBorder="1" applyAlignment="1" applyProtection="1">
      <alignment horizontal="center" vertical="center" wrapText="1"/>
      <protection locked="0" hidden="1"/>
    </xf>
    <xf numFmtId="164" fontId="18" fillId="0" borderId="1" xfId="12" applyNumberFormat="1" applyFont="1" applyFill="1" applyBorder="1" applyAlignment="1" applyProtection="1">
      <alignment horizontal="center" wrapText="1"/>
      <protection locked="0" hidden="1"/>
    </xf>
    <xf numFmtId="0" fontId="18" fillId="0" borderId="18" xfId="0" applyFont="1" applyFill="1" applyBorder="1" applyAlignment="1">
      <alignment horizontal="center" vertical="center" wrapText="1"/>
    </xf>
    <xf numFmtId="2" fontId="17" fillId="0" borderId="1" xfId="12" applyNumberFormat="1" applyFont="1" applyFill="1" applyBorder="1" applyAlignment="1">
      <alignment horizontal="right" wrapText="1"/>
    </xf>
    <xf numFmtId="0" fontId="17" fillId="0" borderId="24" xfId="0" applyFont="1" applyFill="1" applyBorder="1" applyAlignment="1">
      <alignment horizontal="justify" vertical="top" wrapText="1"/>
    </xf>
    <xf numFmtId="0" fontId="17" fillId="0" borderId="1" xfId="0" applyFont="1" applyFill="1" applyBorder="1" applyAlignment="1">
      <alignment horizontal="justify" vertical="top" wrapText="1"/>
    </xf>
    <xf numFmtId="2" fontId="17" fillId="0" borderId="1" xfId="12" applyNumberFormat="1" applyFont="1" applyFill="1" applyBorder="1" applyAlignment="1">
      <alignment horizontal="right" vertical="top" wrapText="1"/>
    </xf>
    <xf numFmtId="164" fontId="18" fillId="0" borderId="1" xfId="12" applyNumberFormat="1" applyFont="1" applyFill="1" applyBorder="1" applyAlignment="1" applyProtection="1">
      <alignment horizontal="right" wrapText="1"/>
      <protection hidden="1"/>
    </xf>
    <xf numFmtId="0" fontId="17" fillId="0" borderId="32" xfId="19" applyFont="1" applyFill="1" applyBorder="1" applyAlignment="1" applyProtection="1">
      <alignment wrapText="1"/>
      <protection locked="0" hidden="1"/>
    </xf>
    <xf numFmtId="0" fontId="17" fillId="0" borderId="1" xfId="19" applyFont="1" applyFill="1" applyBorder="1" applyAlignment="1" applyProtection="1">
      <alignment wrapText="1"/>
      <protection locked="0" hidden="1"/>
    </xf>
    <xf numFmtId="0" fontId="18" fillId="0" borderId="0" xfId="19" applyFont="1" applyFill="1" applyBorder="1" applyAlignment="1" applyProtection="1">
      <alignment horizontal="center" vertical="center" wrapText="1"/>
      <protection locked="0" hidden="1"/>
    </xf>
    <xf numFmtId="0" fontId="17" fillId="0" borderId="0" xfId="19" applyFont="1" applyFill="1" applyBorder="1" applyAlignment="1" applyProtection="1">
      <alignment wrapText="1"/>
      <protection locked="0" hidden="1"/>
    </xf>
    <xf numFmtId="164" fontId="17" fillId="0" borderId="24" xfId="12" applyNumberFormat="1" applyFont="1" applyFill="1" applyBorder="1" applyAlignment="1" applyProtection="1">
      <alignment horizontal="right" wrapText="1"/>
      <protection locked="0" hidden="1"/>
    </xf>
    <xf numFmtId="164" fontId="17" fillId="0" borderId="24" xfId="12" applyNumberFormat="1" applyFont="1" applyFill="1" applyBorder="1" applyAlignment="1" applyProtection="1">
      <alignment horizontal="center" wrapText="1"/>
      <protection locked="0" hidden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164" fontId="17" fillId="0" borderId="0" xfId="12" applyNumberFormat="1" applyFont="1" applyFill="1" applyBorder="1" applyAlignment="1">
      <alignment horizontal="right" wrapText="1"/>
    </xf>
    <xf numFmtId="0" fontId="18" fillId="0" borderId="2" xfId="19" applyFont="1" applyFill="1" applyBorder="1" applyAlignment="1" applyProtection="1">
      <alignment vertical="center" wrapText="1"/>
      <protection locked="0" hidden="1"/>
    </xf>
    <xf numFmtId="164" fontId="17" fillId="0" borderId="2" xfId="12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0" xfId="0" applyFont="1" applyFill="1" applyAlignment="1">
      <alignment vertical="center" wrapText="1"/>
    </xf>
    <xf numFmtId="0" fontId="18" fillId="0" borderId="1" xfId="0" applyFont="1" applyFill="1" applyBorder="1" applyAlignment="1">
      <alignment horizontal="justify" vertical="center" wrapText="1"/>
    </xf>
    <xf numFmtId="164" fontId="17" fillId="0" borderId="1" xfId="12" applyNumberFormat="1" applyFont="1" applyFill="1" applyBorder="1" applyAlignment="1" applyProtection="1">
      <alignment horizontal="center" vertical="center" wrapText="1"/>
      <protection locked="0" hidden="1"/>
    </xf>
    <xf numFmtId="164" fontId="17" fillId="0" borderId="1" xfId="12" applyNumberFormat="1" applyFont="1" applyFill="1" applyBorder="1" applyAlignment="1" applyProtection="1">
      <alignment horizontal="right" vertical="center" wrapText="1"/>
      <protection locked="0" hidden="1"/>
    </xf>
    <xf numFmtId="164" fontId="18" fillId="0" borderId="1" xfId="12" applyNumberFormat="1" applyFont="1" applyFill="1" applyBorder="1" applyAlignment="1" applyProtection="1">
      <alignment horizontal="right" vertical="center" wrapText="1"/>
      <protection locked="0" hidden="1"/>
    </xf>
    <xf numFmtId="0" fontId="18" fillId="0" borderId="0" xfId="0" applyFont="1" applyFill="1" applyAlignment="1">
      <alignment vertical="center" wrapText="1"/>
    </xf>
    <xf numFmtId="0" fontId="17" fillId="0" borderId="0" xfId="0" applyFont="1" applyFill="1" applyAlignment="1">
      <alignment horizontal="center" wrapText="1"/>
    </xf>
    <xf numFmtId="2" fontId="17" fillId="0" borderId="1" xfId="12" applyNumberFormat="1" applyFont="1" applyFill="1" applyBorder="1" applyAlignment="1" applyProtection="1">
      <alignment horizontal="right" wrapText="1"/>
      <protection locked="0" hidden="1"/>
    </xf>
    <xf numFmtId="164" fontId="18" fillId="0" borderId="1" xfId="12" applyNumberFormat="1" applyFont="1" applyFill="1" applyBorder="1" applyAlignment="1">
      <alignment horizontal="center" vertical="top" wrapText="1"/>
    </xf>
    <xf numFmtId="164" fontId="18" fillId="0" borderId="1" xfId="12" applyNumberFormat="1" applyFont="1" applyFill="1" applyBorder="1" applyAlignment="1">
      <alignment horizontal="justify" vertical="top" wrapText="1"/>
    </xf>
    <xf numFmtId="164" fontId="18" fillId="0" borderId="1" xfId="12" applyNumberFormat="1" applyFont="1" applyFill="1" applyBorder="1" applyAlignment="1" applyProtection="1">
      <alignment horizontal="right" vertical="center" wrapText="1"/>
      <protection hidden="1"/>
    </xf>
    <xf numFmtId="164" fontId="17" fillId="0" borderId="1" xfId="12" applyNumberFormat="1" applyFont="1" applyFill="1" applyBorder="1" applyAlignment="1">
      <alignment horizontal="justify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justify" wrapText="1"/>
    </xf>
    <xf numFmtId="164" fontId="17" fillId="0" borderId="18" xfId="12" applyNumberFormat="1" applyFont="1" applyFill="1" applyBorder="1" applyAlignment="1" applyProtection="1">
      <alignment horizontal="center" wrapText="1"/>
      <protection locked="0" hidden="1"/>
    </xf>
    <xf numFmtId="0" fontId="17" fillId="0" borderId="11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center" vertical="center" wrapText="1"/>
      <protection locked="0" hidden="1"/>
    </xf>
    <xf numFmtId="0" fontId="18" fillId="0" borderId="0" xfId="15" applyFont="1" applyFill="1" applyAlignment="1" applyProtection="1">
      <alignment horizontal="center" wrapText="1"/>
      <protection locked="0" hidden="1"/>
    </xf>
    <xf numFmtId="164" fontId="18" fillId="0" borderId="0" xfId="12" applyNumberFormat="1" applyFont="1" applyFill="1" applyAlignment="1" applyProtection="1">
      <alignment horizontal="center" wrapText="1"/>
      <protection locked="0" hidden="1"/>
    </xf>
    <xf numFmtId="0" fontId="18" fillId="0" borderId="1" xfId="0" applyFont="1" applyFill="1" applyBorder="1" applyAlignment="1">
      <alignment horizontal="left" vertical="top"/>
    </xf>
    <xf numFmtId="0" fontId="17" fillId="0" borderId="1" xfId="0" applyFont="1" applyFill="1" applyBorder="1" applyAlignment="1">
      <alignment horizontal="center" wrapText="1"/>
    </xf>
    <xf numFmtId="0" fontId="17" fillId="0" borderId="2" xfId="0" applyFont="1" applyFill="1" applyBorder="1" applyAlignment="1">
      <alignment horizontal="justify" wrapText="1"/>
    </xf>
    <xf numFmtId="0" fontId="17" fillId="0" borderId="4" xfId="0" applyFont="1" applyFill="1" applyBorder="1" applyAlignment="1">
      <alignment horizontal="justify" wrapText="1"/>
    </xf>
    <xf numFmtId="0" fontId="17" fillId="0" borderId="3" xfId="0" applyFont="1" applyFill="1" applyBorder="1" applyAlignment="1">
      <alignment horizontal="justify" wrapText="1"/>
    </xf>
    <xf numFmtId="164" fontId="17" fillId="0" borderId="4" xfId="12" applyNumberFormat="1" applyFont="1" applyFill="1" applyBorder="1" applyAlignment="1" applyProtection="1">
      <alignment horizontal="center" wrapText="1"/>
      <protection locked="0" hidden="1"/>
    </xf>
    <xf numFmtId="0" fontId="18" fillId="0" borderId="8" xfId="0" applyFont="1" applyFill="1" applyBorder="1" applyAlignment="1">
      <alignment horizontal="justify" wrapText="1"/>
    </xf>
    <xf numFmtId="164" fontId="17" fillId="0" borderId="1" xfId="12" applyNumberFormat="1" applyFont="1" applyFill="1" applyBorder="1" applyAlignment="1">
      <alignment horizontal="right" vertical="center" wrapText="1"/>
    </xf>
    <xf numFmtId="0" fontId="18" fillId="0" borderId="1" xfId="19" applyFont="1" applyFill="1" applyBorder="1" applyAlignment="1" applyProtection="1">
      <alignment horizontal="center" wrapText="1"/>
      <protection locked="0" hidden="1"/>
    </xf>
    <xf numFmtId="0" fontId="18" fillId="0" borderId="1" xfId="0" applyFont="1" applyFill="1" applyBorder="1" applyAlignment="1">
      <alignment horizontal="center" vertical="top" wrapText="1"/>
    </xf>
    <xf numFmtId="0" fontId="18" fillId="0" borderId="24" xfId="0" applyFont="1" applyFill="1" applyBorder="1" applyAlignment="1">
      <alignment horizontal="justify" wrapText="1"/>
    </xf>
    <xf numFmtId="0" fontId="18" fillId="0" borderId="23" xfId="0" applyFont="1" applyFill="1" applyBorder="1" applyAlignment="1">
      <alignment horizontal="justify" wrapText="1"/>
    </xf>
    <xf numFmtId="0" fontId="17" fillId="0" borderId="32" xfId="0" applyFont="1" applyFill="1" applyBorder="1" applyAlignment="1">
      <alignment horizontal="center" vertical="top" wrapText="1"/>
    </xf>
    <xf numFmtId="164" fontId="17" fillId="0" borderId="23" xfId="12" applyNumberFormat="1" applyFont="1" applyFill="1" applyBorder="1" applyAlignment="1">
      <alignment horizontal="right" wrapText="1"/>
    </xf>
    <xf numFmtId="164" fontId="17" fillId="0" borderId="23" xfId="12" applyNumberFormat="1" applyFont="1" applyFill="1" applyBorder="1" applyAlignment="1" applyProtection="1">
      <alignment horizontal="center" wrapText="1"/>
      <protection locked="0" hidden="1"/>
    </xf>
    <xf numFmtId="0" fontId="18" fillId="0" borderId="4" xfId="0" applyFont="1" applyFill="1" applyBorder="1" applyAlignment="1">
      <alignment horizontal="center" vertical="top" wrapText="1"/>
    </xf>
    <xf numFmtId="0" fontId="17" fillId="0" borderId="1" xfId="19" applyFont="1" applyFill="1" applyBorder="1" applyAlignment="1" applyProtection="1">
      <alignment horizontal="center" vertical="center" wrapText="1"/>
      <protection locked="0" hidden="1"/>
    </xf>
    <xf numFmtId="0" fontId="17" fillId="0" borderId="1" xfId="19" applyFont="1" applyFill="1" applyBorder="1" applyAlignment="1" applyProtection="1">
      <alignment horizontal="center" wrapText="1"/>
      <protection locked="0" hidden="1"/>
    </xf>
    <xf numFmtId="164" fontId="17" fillId="0" borderId="1" xfId="12" applyNumberFormat="1" applyFont="1" applyFill="1" applyBorder="1" applyAlignment="1" applyProtection="1">
      <alignment horizontal="left" wrapText="1"/>
      <protection locked="0" hidden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15" applyFont="1" applyFill="1" applyBorder="1" applyAlignment="1" applyProtection="1">
      <alignment horizontal="center" vertical="center" wrapText="1"/>
      <protection locked="0" hidden="1"/>
    </xf>
    <xf numFmtId="0" fontId="18" fillId="0" borderId="0" xfId="15" applyFont="1" applyFill="1" applyBorder="1" applyAlignment="1" applyProtection="1">
      <alignment horizontal="center" wrapText="1"/>
      <protection locked="0" hidden="1"/>
    </xf>
    <xf numFmtId="164" fontId="18" fillId="0" borderId="0" xfId="12" applyNumberFormat="1" applyFont="1" applyFill="1" applyBorder="1" applyAlignment="1" applyProtection="1">
      <alignment horizontal="center" wrapText="1"/>
      <protection locked="0" hidden="1"/>
    </xf>
    <xf numFmtId="0" fontId="18" fillId="0" borderId="0" xfId="19" applyFont="1" applyFill="1" applyAlignment="1" applyProtection="1">
      <alignment wrapText="1"/>
      <protection locked="0" hidden="1"/>
    </xf>
    <xf numFmtId="0" fontId="18" fillId="0" borderId="38" xfId="0" applyFont="1" applyFill="1" applyBorder="1" applyAlignment="1">
      <alignment horizontal="justify" wrapText="1"/>
    </xf>
    <xf numFmtId="0" fontId="17" fillId="0" borderId="27" xfId="0" applyFont="1" applyFill="1" applyBorder="1" applyAlignment="1">
      <alignment horizontal="justify" wrapText="1"/>
    </xf>
    <xf numFmtId="164" fontId="18" fillId="0" borderId="2" xfId="12" applyNumberFormat="1" applyFont="1" applyFill="1" applyBorder="1" applyAlignment="1" applyProtection="1">
      <alignment horizontal="center" vertical="center" wrapText="1"/>
      <protection locked="0" hidden="1"/>
    </xf>
    <xf numFmtId="0" fontId="17" fillId="0" borderId="1" xfId="15" applyFont="1" applyFill="1" applyBorder="1" applyAlignment="1" applyProtection="1">
      <alignment horizontal="left" wrapText="1"/>
      <protection locked="0" hidden="1"/>
    </xf>
    <xf numFmtId="0" fontId="17" fillId="0" borderId="32" xfId="15" applyFont="1" applyFill="1" applyBorder="1" applyAlignment="1" applyProtection="1">
      <alignment horizontal="left" wrapText="1"/>
      <protection locked="0" hidden="1"/>
    </xf>
    <xf numFmtId="164" fontId="18" fillId="0" borderId="31" xfId="12" applyNumberFormat="1" applyFont="1" applyFill="1" applyBorder="1" applyAlignment="1" applyProtection="1">
      <alignment horizontal="center" wrapText="1"/>
      <protection locked="0" hidden="1"/>
    </xf>
    <xf numFmtId="0" fontId="18" fillId="0" borderId="1" xfId="15" applyFont="1" applyFill="1" applyBorder="1" applyAlignment="1" applyProtection="1">
      <alignment horizontal="center" vertical="center" wrapText="1"/>
      <protection locked="0" hidden="1"/>
    </xf>
    <xf numFmtId="164" fontId="18" fillId="0" borderId="43" xfId="12" applyNumberFormat="1" applyFont="1" applyFill="1" applyBorder="1" applyAlignment="1">
      <alignment horizontal="right" vertical="top" wrapText="1"/>
    </xf>
    <xf numFmtId="164" fontId="18" fillId="0" borderId="7" xfId="12" applyNumberFormat="1" applyFont="1" applyFill="1" applyBorder="1" applyAlignment="1">
      <alignment horizontal="right" vertical="top" wrapText="1"/>
    </xf>
    <xf numFmtId="0" fontId="18" fillId="0" borderId="32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164" fontId="18" fillId="0" borderId="24" xfId="12" applyNumberFormat="1" applyFont="1" applyFill="1" applyBorder="1" applyAlignment="1">
      <alignment horizontal="right" vertical="top" wrapText="1"/>
    </xf>
    <xf numFmtId="164" fontId="18" fillId="0" borderId="22" xfId="12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justify" vertical="top" wrapText="1"/>
    </xf>
    <xf numFmtId="164" fontId="18" fillId="0" borderId="4" xfId="12" applyNumberFormat="1" applyFont="1" applyFill="1" applyBorder="1" applyAlignment="1">
      <alignment horizontal="right" vertical="top" wrapText="1"/>
    </xf>
    <xf numFmtId="164" fontId="18" fillId="0" borderId="41" xfId="12" applyNumberFormat="1" applyFont="1" applyFill="1" applyBorder="1" applyAlignment="1">
      <alignment horizontal="right" vertical="top" wrapText="1"/>
    </xf>
    <xf numFmtId="164" fontId="18" fillId="0" borderId="42" xfId="12" applyNumberFormat="1" applyFont="1" applyFill="1" applyBorder="1" applyAlignment="1">
      <alignment horizontal="right" vertical="top" wrapText="1"/>
    </xf>
    <xf numFmtId="0" fontId="18" fillId="0" borderId="3" xfId="1" applyFont="1" applyFill="1" applyBorder="1" applyAlignment="1" applyProtection="1">
      <alignment horizontal="center" vertical="center" wrapText="1"/>
      <protection locked="0" hidden="1"/>
    </xf>
    <xf numFmtId="0" fontId="18" fillId="0" borderId="0" xfId="1" applyFont="1" applyFill="1" applyBorder="1" applyAlignment="1" applyProtection="1">
      <alignment wrapText="1"/>
      <protection locked="0" hidden="1"/>
    </xf>
    <xf numFmtId="0" fontId="18" fillId="0" borderId="36" xfId="0" applyFont="1" applyFill="1" applyBorder="1" applyAlignment="1">
      <alignment horizontal="justify" vertical="top" wrapText="1"/>
    </xf>
    <xf numFmtId="0" fontId="17" fillId="0" borderId="36" xfId="0" applyFont="1" applyFill="1" applyBorder="1" applyAlignment="1">
      <alignment vertical="center" wrapText="1"/>
    </xf>
    <xf numFmtId="2" fontId="17" fillId="0" borderId="1" xfId="12" applyNumberFormat="1" applyFont="1" applyFill="1" applyBorder="1" applyAlignment="1">
      <alignment horizontal="right" vertical="center" wrapText="1"/>
    </xf>
    <xf numFmtId="164" fontId="17" fillId="0" borderId="26" xfId="12" applyNumberFormat="1" applyFont="1" applyFill="1" applyBorder="1" applyAlignment="1">
      <alignment horizontal="right" wrapText="1"/>
    </xf>
    <xf numFmtId="2" fontId="18" fillId="0" borderId="26" xfId="12" applyNumberFormat="1" applyFont="1" applyFill="1" applyBorder="1" applyAlignment="1">
      <alignment horizontal="right" wrapText="1"/>
    </xf>
    <xf numFmtId="164" fontId="17" fillId="0" borderId="0" xfId="12" applyNumberFormat="1" applyFont="1" applyFill="1" applyBorder="1" applyAlignment="1" applyProtection="1">
      <alignment horizontal="center" wrapText="1"/>
      <protection locked="0" hidden="1"/>
    </xf>
    <xf numFmtId="49" fontId="18" fillId="0" borderId="1" xfId="0" applyNumberFormat="1" applyFont="1" applyFill="1" applyBorder="1" applyAlignment="1">
      <alignment horizontal="left" vertical="top" wrapText="1"/>
    </xf>
    <xf numFmtId="0" fontId="17" fillId="0" borderId="0" xfId="0" applyFont="1" applyFill="1" applyAlignment="1">
      <alignment horizontal="center" vertical="center" wrapText="1"/>
    </xf>
    <xf numFmtId="164" fontId="17" fillId="0" borderId="0" xfId="12" applyNumberFormat="1" applyFont="1" applyFill="1" applyAlignment="1">
      <alignment wrapText="1"/>
    </xf>
    <xf numFmtId="3" fontId="17" fillId="0" borderId="1" xfId="0" applyNumberFormat="1" applyFont="1" applyFill="1" applyBorder="1" applyAlignment="1">
      <alignment horizontal="right" wrapText="1"/>
    </xf>
    <xf numFmtId="164" fontId="18" fillId="0" borderId="36" xfId="12" applyNumberFormat="1" applyFont="1" applyFill="1" applyBorder="1" applyAlignment="1">
      <alignment horizontal="right" wrapText="1"/>
    </xf>
    <xf numFmtId="3" fontId="17" fillId="0" borderId="36" xfId="0" applyNumberFormat="1" applyFont="1" applyFill="1" applyBorder="1" applyAlignment="1">
      <alignment horizontal="right" wrapText="1"/>
    </xf>
    <xf numFmtId="3" fontId="17" fillId="0" borderId="6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wrapText="1"/>
    </xf>
    <xf numFmtId="0" fontId="18" fillId="0" borderId="14" xfId="19" applyFont="1" applyFill="1" applyBorder="1" applyAlignment="1" applyProtection="1">
      <alignment horizontal="center" vertical="center" wrapText="1"/>
      <protection locked="0" hidden="1"/>
    </xf>
    <xf numFmtId="0" fontId="18" fillId="0" borderId="15" xfId="19" applyFont="1" applyFill="1" applyBorder="1" applyAlignment="1" applyProtection="1">
      <alignment wrapText="1"/>
      <protection locked="0" hidden="1"/>
    </xf>
    <xf numFmtId="3" fontId="17" fillId="0" borderId="14" xfId="19" applyNumberFormat="1" applyFont="1" applyFill="1" applyBorder="1" applyAlignment="1" applyProtection="1">
      <alignment horizontal="center" wrapText="1"/>
      <protection locked="0" hidden="1"/>
    </xf>
    <xf numFmtId="164" fontId="17" fillId="0" borderId="14" xfId="12" applyNumberFormat="1" applyFont="1" applyFill="1" applyBorder="1" applyAlignment="1" applyProtection="1">
      <alignment horizontal="center" wrapText="1"/>
      <protection locked="0" hidden="1"/>
    </xf>
    <xf numFmtId="3" fontId="17" fillId="0" borderId="1" xfId="0" applyNumberFormat="1" applyFont="1" applyFill="1" applyBorder="1" applyAlignment="1">
      <alignment horizontal="right" vertical="top" wrapText="1"/>
    </xf>
    <xf numFmtId="3" fontId="18" fillId="0" borderId="1" xfId="0" applyNumberFormat="1" applyFont="1" applyFill="1" applyBorder="1" applyAlignment="1">
      <alignment horizontal="right" vertical="top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1" xfId="12" applyNumberFormat="1" applyFont="1" applyFill="1" applyBorder="1" applyAlignment="1">
      <alignment horizontal="right" wrapText="1"/>
    </xf>
    <xf numFmtId="0" fontId="17" fillId="0" borderId="1" xfId="0" applyFont="1" applyFill="1" applyBorder="1" applyAlignment="1" applyProtection="1">
      <alignment wrapText="1"/>
      <protection locked="0" hidden="1"/>
    </xf>
    <xf numFmtId="164" fontId="17" fillId="0" borderId="1" xfId="12" applyNumberFormat="1" applyFont="1" applyFill="1" applyBorder="1" applyAlignment="1">
      <alignment horizontal="center" vertical="top" wrapText="1"/>
    </xf>
    <xf numFmtId="0" fontId="17" fillId="0" borderId="36" xfId="12" applyNumberFormat="1" applyFont="1" applyFill="1" applyBorder="1" applyAlignment="1">
      <alignment horizontal="right" vertical="top" wrapText="1"/>
    </xf>
    <xf numFmtId="164" fontId="18" fillId="0" borderId="37" xfId="12" applyNumberFormat="1" applyFont="1" applyFill="1" applyBorder="1" applyAlignment="1">
      <alignment horizontal="right" wrapText="1"/>
    </xf>
    <xf numFmtId="164" fontId="18" fillId="0" borderId="24" xfId="12" applyNumberFormat="1" applyFont="1" applyFill="1" applyBorder="1" applyAlignment="1">
      <alignment horizontal="right" wrapText="1"/>
    </xf>
    <xf numFmtId="3" fontId="17" fillId="0" borderId="3" xfId="19" applyNumberFormat="1" applyFont="1" applyFill="1" applyBorder="1" applyAlignment="1" applyProtection="1">
      <alignment horizontal="center" wrapText="1"/>
      <protection locked="0" hidden="1"/>
    </xf>
    <xf numFmtId="0" fontId="17" fillId="0" borderId="1" xfId="0" applyFont="1" applyFill="1" applyBorder="1" applyAlignment="1">
      <alignment horizontal="justify" vertical="center" wrapText="1"/>
    </xf>
    <xf numFmtId="0" fontId="17" fillId="0" borderId="0" xfId="0" applyFont="1" applyFill="1" applyBorder="1" applyAlignment="1">
      <alignment wrapText="1"/>
    </xf>
    <xf numFmtId="3" fontId="17" fillId="0" borderId="24" xfId="0" applyNumberFormat="1" applyFont="1" applyFill="1" applyBorder="1" applyAlignment="1">
      <alignment horizontal="right" wrapText="1"/>
    </xf>
    <xf numFmtId="164" fontId="17" fillId="0" borderId="24" xfId="12" applyNumberFormat="1" applyFont="1" applyFill="1" applyBorder="1" applyAlignment="1">
      <alignment horizontal="right" vertical="top" wrapText="1"/>
    </xf>
    <xf numFmtId="3" fontId="17" fillId="0" borderId="2" xfId="19" applyNumberFormat="1" applyFont="1" applyFill="1" applyBorder="1" applyAlignment="1" applyProtection="1">
      <alignment horizontal="center" wrapText="1"/>
      <protection locked="0" hidden="1"/>
    </xf>
    <xf numFmtId="0" fontId="18" fillId="0" borderId="21" xfId="0" applyFont="1" applyFill="1" applyBorder="1" applyAlignment="1">
      <alignment horizontal="justify" wrapText="1"/>
    </xf>
    <xf numFmtId="164" fontId="18" fillId="0" borderId="11" xfId="12" applyNumberFormat="1" applyFont="1" applyFill="1" applyBorder="1" applyAlignment="1">
      <alignment horizontal="right" wrapText="1"/>
    </xf>
    <xf numFmtId="0" fontId="112" fillId="0" borderId="18" xfId="0" applyFont="1" applyFill="1" applyBorder="1" applyAlignment="1">
      <alignment horizontal="center" vertical="center" wrapText="1"/>
    </xf>
    <xf numFmtId="0" fontId="112" fillId="0" borderId="18" xfId="0" applyFont="1" applyFill="1" applyBorder="1" applyAlignment="1">
      <alignment horizontal="justify" wrapText="1"/>
    </xf>
    <xf numFmtId="0" fontId="112" fillId="0" borderId="0" xfId="0" applyFont="1" applyFill="1" applyBorder="1" applyAlignment="1">
      <alignment horizontal="justify" wrapText="1"/>
    </xf>
    <xf numFmtId="3" fontId="113" fillId="0" borderId="23" xfId="0" applyNumberFormat="1" applyFont="1" applyFill="1" applyBorder="1" applyAlignment="1">
      <alignment horizontal="right" wrapText="1"/>
    </xf>
    <xf numFmtId="164" fontId="113" fillId="0" borderId="24" xfId="12" applyNumberFormat="1" applyFont="1" applyFill="1" applyBorder="1" applyAlignment="1" applyProtection="1">
      <alignment horizontal="center" wrapText="1"/>
      <protection locked="0" hidden="1"/>
    </xf>
    <xf numFmtId="164" fontId="113" fillId="0" borderId="23" xfId="12" applyNumberFormat="1" applyFont="1" applyFill="1" applyBorder="1" applyAlignment="1">
      <alignment horizontal="right" wrapText="1"/>
    </xf>
    <xf numFmtId="0" fontId="113" fillId="0" borderId="1" xfId="0" applyFont="1" applyFill="1" applyBorder="1" applyAlignment="1">
      <alignment wrapText="1"/>
    </xf>
    <xf numFmtId="3" fontId="113" fillId="0" borderId="1" xfId="0" applyNumberFormat="1" applyFont="1" applyFill="1" applyBorder="1" applyAlignment="1">
      <alignment horizontal="right" wrapText="1"/>
    </xf>
    <xf numFmtId="0" fontId="113" fillId="0" borderId="32" xfId="0" applyFont="1" applyFill="1" applyBorder="1" applyAlignment="1">
      <alignment horizontal="center" vertical="center" wrapText="1"/>
    </xf>
    <xf numFmtId="0" fontId="112" fillId="0" borderId="32" xfId="0" applyFont="1" applyFill="1" applyBorder="1" applyAlignment="1">
      <alignment horizontal="center" vertical="center" wrapText="1"/>
    </xf>
    <xf numFmtId="0" fontId="112" fillId="0" borderId="1" xfId="0" applyFont="1" applyFill="1" applyBorder="1" applyAlignment="1">
      <alignment wrapText="1"/>
    </xf>
    <xf numFmtId="3" fontId="112" fillId="0" borderId="1" xfId="0" applyNumberFormat="1" applyFont="1" applyFill="1" applyBorder="1" applyAlignment="1">
      <alignment horizontal="right" wrapText="1"/>
    </xf>
    <xf numFmtId="2" fontId="113" fillId="0" borderId="1" xfId="12" applyNumberFormat="1" applyFont="1" applyFill="1" applyBorder="1" applyAlignment="1">
      <alignment horizontal="right" wrapText="1"/>
    </xf>
    <xf numFmtId="0" fontId="16" fillId="0" borderId="1" xfId="0" applyFont="1" applyFill="1" applyBorder="1" applyAlignment="1">
      <alignment horizontal="justify" wrapText="1"/>
    </xf>
    <xf numFmtId="0" fontId="112" fillId="0" borderId="1" xfId="0" applyFont="1" applyFill="1" applyBorder="1" applyAlignment="1">
      <alignment horizontal="center" vertical="top" wrapText="1"/>
    </xf>
    <xf numFmtId="0" fontId="112" fillId="0" borderId="23" xfId="0" applyFont="1" applyFill="1" applyBorder="1" applyAlignment="1">
      <alignment horizontal="justify" wrapText="1"/>
    </xf>
    <xf numFmtId="164" fontId="113" fillId="0" borderId="1" xfId="12" applyNumberFormat="1" applyFont="1" applyFill="1" applyBorder="1" applyAlignment="1">
      <alignment horizontal="right" vertical="center" wrapText="1"/>
    </xf>
    <xf numFmtId="3" fontId="113" fillId="0" borderId="1" xfId="0" applyNumberFormat="1" applyFont="1" applyFill="1" applyBorder="1" applyAlignment="1">
      <alignment wrapText="1"/>
    </xf>
    <xf numFmtId="3" fontId="113" fillId="0" borderId="1" xfId="12" applyNumberFormat="1" applyFont="1" applyFill="1" applyBorder="1" applyAlignment="1">
      <alignment horizontal="right"/>
    </xf>
    <xf numFmtId="3" fontId="112" fillId="0" borderId="4" xfId="0" applyNumberFormat="1" applyFont="1" applyFill="1" applyBorder="1" applyAlignment="1">
      <alignment horizontal="right" wrapText="1"/>
    </xf>
    <xf numFmtId="164" fontId="112" fillId="0" borderId="21" xfId="12" applyNumberFormat="1" applyFont="1" applyFill="1" applyBorder="1" applyAlignment="1">
      <alignment horizontal="right" wrapText="1"/>
    </xf>
    <xf numFmtId="164" fontId="112" fillId="0" borderId="4" xfId="12" applyNumberFormat="1" applyFont="1" applyFill="1" applyBorder="1" applyAlignment="1">
      <alignment horizontal="right" wrapText="1"/>
    </xf>
    <xf numFmtId="0" fontId="17" fillId="0" borderId="14" xfId="19" applyFont="1" applyFill="1" applyBorder="1" applyAlignment="1" applyProtection="1">
      <alignment horizontal="center" vertical="center" wrapText="1"/>
      <protection locked="0" hidden="1"/>
    </xf>
    <xf numFmtId="3" fontId="17" fillId="0" borderId="3" xfId="0" applyNumberFormat="1" applyFont="1" applyFill="1" applyBorder="1" applyAlignment="1">
      <alignment horizontal="right" wrapText="1"/>
    </xf>
    <xf numFmtId="164" fontId="17" fillId="0" borderId="6" xfId="12" applyNumberFormat="1" applyFont="1" applyFill="1" applyBorder="1" applyAlignment="1">
      <alignment horizontal="right" wrapText="1"/>
    </xf>
    <xf numFmtId="164" fontId="18" fillId="0" borderId="1" xfId="33" applyNumberFormat="1" applyFont="1" applyFill="1" applyBorder="1" applyAlignment="1">
      <alignment horizontal="right" vertical="top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justify" wrapText="1"/>
    </xf>
    <xf numFmtId="164" fontId="18" fillId="0" borderId="1" xfId="33" applyNumberFormat="1" applyFont="1" applyFill="1" applyBorder="1" applyAlignment="1">
      <alignment horizontal="right" wrapText="1"/>
    </xf>
    <xf numFmtId="164" fontId="18" fillId="0" borderId="4" xfId="33" applyNumberFormat="1" applyFont="1" applyFill="1" applyBorder="1" applyAlignment="1">
      <alignment horizontal="right" wrapText="1"/>
    </xf>
    <xf numFmtId="164" fontId="18" fillId="0" borderId="30" xfId="12" applyNumberFormat="1" applyFont="1" applyFill="1" applyBorder="1" applyAlignment="1">
      <alignment horizontal="right" wrapText="1"/>
    </xf>
    <xf numFmtId="164" fontId="18" fillId="0" borderId="21" xfId="33" applyNumberFormat="1" applyFont="1" applyFill="1" applyBorder="1" applyAlignment="1">
      <alignment horizontal="right" wrapText="1"/>
    </xf>
    <xf numFmtId="164" fontId="18" fillId="0" borderId="26" xfId="12" applyNumberFormat="1" applyFont="1" applyFill="1" applyBorder="1" applyAlignment="1">
      <alignment horizontal="right" wrapText="1"/>
    </xf>
    <xf numFmtId="164" fontId="18" fillId="0" borderId="8" xfId="12" applyNumberFormat="1" applyFont="1" applyFill="1" applyBorder="1" applyAlignment="1">
      <alignment horizontal="right" wrapText="1"/>
    </xf>
    <xf numFmtId="0" fontId="17" fillId="0" borderId="14" xfId="19" applyFont="1" applyFill="1" applyBorder="1" applyAlignment="1" applyProtection="1">
      <alignment horizontal="center" wrapText="1"/>
      <protection locked="0" hidden="1"/>
    </xf>
    <xf numFmtId="164" fontId="17" fillId="0" borderId="14" xfId="12" applyNumberFormat="1" applyFont="1" applyFill="1" applyBorder="1" applyAlignment="1" applyProtection="1">
      <alignment horizontal="right" wrapText="1"/>
      <protection locked="0" hidden="1"/>
    </xf>
    <xf numFmtId="164" fontId="17" fillId="0" borderId="39" xfId="12" applyNumberFormat="1" applyFont="1" applyFill="1" applyBorder="1" applyAlignment="1">
      <alignment horizontal="right" wrapText="1"/>
    </xf>
    <xf numFmtId="164" fontId="17" fillId="0" borderId="36" xfId="12" applyNumberFormat="1" applyFont="1" applyFill="1" applyBorder="1" applyAlignment="1">
      <alignment horizontal="right" wrapText="1"/>
    </xf>
    <xf numFmtId="3" fontId="17" fillId="0" borderId="37" xfId="0" applyNumberFormat="1" applyFont="1" applyFill="1" applyBorder="1" applyAlignment="1">
      <alignment horizontal="right" wrapText="1"/>
    </xf>
    <xf numFmtId="164" fontId="17" fillId="0" borderId="37" xfId="12" applyNumberFormat="1" applyFont="1" applyFill="1" applyBorder="1" applyAlignment="1">
      <alignment horizontal="right" wrapText="1"/>
    </xf>
    <xf numFmtId="2" fontId="17" fillId="0" borderId="24" xfId="12" applyNumberFormat="1" applyFont="1" applyFill="1" applyBorder="1" applyAlignment="1">
      <alignment horizontal="right" wrapText="1"/>
    </xf>
    <xf numFmtId="164" fontId="17" fillId="0" borderId="1" xfId="33" applyNumberFormat="1" applyFont="1" applyFill="1" applyBorder="1" applyAlignment="1">
      <alignment horizontal="right" wrapText="1"/>
    </xf>
    <xf numFmtId="164" fontId="18" fillId="0" borderId="26" xfId="33" applyNumberFormat="1" applyFont="1" applyFill="1" applyBorder="1" applyAlignment="1">
      <alignment horizontal="right" wrapText="1"/>
    </xf>
    <xf numFmtId="3" fontId="18" fillId="0" borderId="1" xfId="0" applyNumberFormat="1" applyFont="1" applyFill="1" applyBorder="1" applyAlignment="1">
      <alignment horizontal="right" wrapText="1"/>
    </xf>
    <xf numFmtId="164" fontId="18" fillId="0" borderId="23" xfId="12" applyNumberFormat="1" applyFont="1" applyFill="1" applyBorder="1" applyAlignment="1">
      <alignment horizontal="right" wrapText="1"/>
    </xf>
    <xf numFmtId="164" fontId="18" fillId="0" borderId="61" xfId="12" applyNumberFormat="1" applyFont="1" applyFill="1" applyBorder="1" applyAlignment="1">
      <alignment horizontal="right" wrapText="1"/>
    </xf>
    <xf numFmtId="0" fontId="18" fillId="0" borderId="2" xfId="1" applyFont="1" applyFill="1" applyBorder="1" applyAlignment="1" applyProtection="1">
      <alignment horizontal="center" vertical="center" wrapText="1"/>
      <protection locked="0" hidden="1"/>
    </xf>
    <xf numFmtId="0" fontId="18" fillId="0" borderId="2" xfId="1" applyFont="1" applyFill="1" applyBorder="1" applyAlignment="1" applyProtection="1">
      <alignment wrapText="1"/>
      <protection locked="0" hidden="1"/>
    </xf>
    <xf numFmtId="164" fontId="18" fillId="0" borderId="26" xfId="12" applyNumberFormat="1" applyFont="1" applyFill="1" applyBorder="1" applyAlignment="1">
      <alignment horizontal="right" vertical="top" wrapText="1"/>
    </xf>
    <xf numFmtId="0" fontId="18" fillId="0" borderId="1" xfId="1" applyFont="1" applyFill="1" applyBorder="1" applyAlignment="1" applyProtection="1">
      <alignment horizontal="center" vertical="center" wrapText="1"/>
      <protection locked="0" hidden="1"/>
    </xf>
    <xf numFmtId="0" fontId="18" fillId="0" borderId="1" xfId="1" applyFont="1" applyFill="1" applyBorder="1" applyAlignment="1" applyProtection="1">
      <alignment wrapText="1"/>
      <protection locked="0" hidden="1"/>
    </xf>
    <xf numFmtId="164" fontId="17" fillId="0" borderId="39" xfId="12" applyNumberFormat="1" applyFont="1" applyFill="1" applyBorder="1" applyAlignment="1" applyProtection="1">
      <alignment horizontal="center" wrapText="1"/>
      <protection locked="0" hidden="1"/>
    </xf>
    <xf numFmtId="164" fontId="17" fillId="0" borderId="36" xfId="12" applyNumberFormat="1" applyFont="1" applyFill="1" applyBorder="1" applyAlignment="1">
      <alignment horizontal="right" vertical="top" wrapText="1"/>
    </xf>
    <xf numFmtId="0" fontId="17" fillId="0" borderId="32" xfId="0" applyFont="1" applyFill="1" applyBorder="1" applyAlignment="1">
      <alignment horizontal="justify" vertical="center" wrapText="1"/>
    </xf>
    <xf numFmtId="164" fontId="18" fillId="0" borderId="22" xfId="12" applyNumberFormat="1" applyFont="1" applyFill="1" applyBorder="1" applyAlignment="1">
      <alignment horizontal="right" vertical="top" wrapText="1"/>
    </xf>
    <xf numFmtId="0" fontId="17" fillId="0" borderId="0" xfId="19" applyFont="1" applyFill="1" applyBorder="1" applyAlignment="1" applyProtection="1">
      <alignment horizontal="center" wrapText="1"/>
      <protection locked="0" hidden="1"/>
    </xf>
    <xf numFmtId="164" fontId="17" fillId="0" borderId="36" xfId="12" applyNumberFormat="1" applyFont="1" applyFill="1" applyBorder="1" applyAlignment="1" applyProtection="1">
      <alignment horizontal="center" wrapText="1"/>
      <protection locked="0" hidden="1"/>
    </xf>
    <xf numFmtId="0" fontId="18" fillId="0" borderId="18" xfId="19" applyFont="1" applyFill="1" applyBorder="1" applyAlignment="1" applyProtection="1">
      <alignment horizontal="center" vertical="center" wrapText="1"/>
      <protection locked="0" hidden="1"/>
    </xf>
    <xf numFmtId="0" fontId="18" fillId="0" borderId="32" xfId="0" applyFont="1" applyFill="1" applyBorder="1" applyAlignment="1">
      <alignment horizontal="justify" vertical="top"/>
    </xf>
    <xf numFmtId="0" fontId="17" fillId="0" borderId="32" xfId="0" applyFont="1" applyFill="1" applyBorder="1" applyAlignment="1">
      <alignment horizontal="justify"/>
    </xf>
    <xf numFmtId="0" fontId="18" fillId="0" borderId="2" xfId="0" applyFont="1" applyFill="1" applyBorder="1" applyAlignment="1">
      <alignment horizontal="center" vertical="center" wrapText="1"/>
    </xf>
    <xf numFmtId="164" fontId="112" fillId="0" borderId="1" xfId="12" applyNumberFormat="1" applyFont="1" applyFill="1" applyBorder="1" applyAlignment="1">
      <alignment horizontal="right"/>
    </xf>
    <xf numFmtId="164" fontId="17" fillId="0" borderId="1" xfId="12" applyNumberFormat="1" applyFont="1" applyFill="1" applyBorder="1" applyAlignment="1" applyProtection="1">
      <alignment horizontal="center"/>
      <protection locked="0" hidden="1"/>
    </xf>
    <xf numFmtId="164" fontId="18" fillId="0" borderId="7" xfId="12" applyNumberFormat="1" applyFont="1" applyFill="1" applyBorder="1" applyAlignment="1">
      <alignment wrapText="1"/>
    </xf>
    <xf numFmtId="164" fontId="18" fillId="0" borderId="0" xfId="12" applyNumberFormat="1" applyFont="1" applyFill="1" applyBorder="1" applyAlignment="1">
      <alignment wrapText="1"/>
    </xf>
    <xf numFmtId="0" fontId="18" fillId="0" borderId="3" xfId="0" applyFont="1" applyFill="1" applyBorder="1" applyAlignment="1">
      <alignment horizontal="justify" wrapText="1"/>
    </xf>
    <xf numFmtId="164" fontId="18" fillId="0" borderId="3" xfId="12" applyNumberFormat="1" applyFont="1" applyFill="1" applyBorder="1" applyAlignment="1">
      <alignment horizontal="right" vertical="top" wrapText="1"/>
    </xf>
    <xf numFmtId="0" fontId="18" fillId="0" borderId="3" xfId="19" applyFont="1" applyFill="1" applyBorder="1" applyAlignment="1" applyProtection="1">
      <alignment wrapText="1"/>
      <protection locked="0" hidden="1"/>
    </xf>
    <xf numFmtId="0" fontId="18" fillId="0" borderId="32" xfId="0" applyFont="1" applyFill="1" applyBorder="1" applyAlignment="1">
      <alignment horizontal="center" wrapText="1"/>
    </xf>
    <xf numFmtId="0" fontId="18" fillId="0" borderId="38" xfId="0" applyFont="1" applyFill="1" applyBorder="1" applyAlignment="1">
      <alignment horizontal="justify" vertical="top" wrapText="1"/>
    </xf>
    <xf numFmtId="164" fontId="17" fillId="0" borderId="1" xfId="12" quotePrefix="1" applyNumberFormat="1" applyFont="1" applyFill="1" applyBorder="1" applyAlignment="1" applyProtection="1">
      <alignment horizontal="center" wrapText="1"/>
      <protection locked="0" hidden="1"/>
    </xf>
    <xf numFmtId="0" fontId="18" fillId="0" borderId="31" xfId="0" applyFont="1" applyFill="1" applyBorder="1" applyAlignment="1">
      <alignment horizontal="justify" vertical="top" wrapText="1"/>
    </xf>
    <xf numFmtId="0" fontId="17" fillId="0" borderId="51" xfId="0" applyFont="1" applyFill="1" applyBorder="1" applyAlignment="1">
      <alignment horizontal="justify" wrapText="1"/>
    </xf>
    <xf numFmtId="0" fontId="18" fillId="0" borderId="24" xfId="0" applyFont="1" applyFill="1" applyBorder="1" applyAlignment="1">
      <alignment horizontal="center" vertical="top" wrapText="1"/>
    </xf>
    <xf numFmtId="0" fontId="18" fillId="0" borderId="51" xfId="0" applyFont="1" applyFill="1" applyBorder="1" applyAlignment="1">
      <alignment horizontal="justify" wrapText="1"/>
    </xf>
    <xf numFmtId="0" fontId="102" fillId="0" borderId="1" xfId="0" applyFont="1" applyFill="1" applyBorder="1" applyAlignment="1">
      <alignment horizontal="center" vertical="top" wrapText="1"/>
    </xf>
    <xf numFmtId="0" fontId="102" fillId="0" borderId="1" xfId="0" applyFont="1" applyFill="1" applyBorder="1" applyAlignment="1">
      <alignment horizontal="justify" vertical="top" wrapText="1"/>
    </xf>
    <xf numFmtId="164" fontId="103" fillId="0" borderId="1" xfId="12" quotePrefix="1" applyNumberFormat="1" applyFont="1" applyFill="1" applyBorder="1" applyAlignment="1" applyProtection="1">
      <alignment horizontal="center" wrapText="1"/>
      <protection locked="0" hidden="1"/>
    </xf>
    <xf numFmtId="164" fontId="103" fillId="0" borderId="1" xfId="12" applyNumberFormat="1" applyFont="1" applyFill="1" applyBorder="1" applyAlignment="1">
      <alignment horizontal="right" vertical="top" wrapText="1"/>
    </xf>
    <xf numFmtId="164" fontId="102" fillId="0" borderId="1" xfId="12" applyNumberFormat="1" applyFont="1" applyFill="1" applyBorder="1" applyAlignment="1">
      <alignment horizontal="right" vertical="top" wrapText="1"/>
    </xf>
    <xf numFmtId="0" fontId="103" fillId="0" borderId="1" xfId="0" applyFont="1" applyFill="1" applyBorder="1" applyAlignment="1">
      <alignment horizontal="center" vertical="top" wrapText="1"/>
    </xf>
    <xf numFmtId="0" fontId="103" fillId="0" borderId="1" xfId="0" applyFont="1" applyFill="1" applyBorder="1" applyAlignment="1">
      <alignment horizontal="justify" wrapText="1"/>
    </xf>
    <xf numFmtId="164" fontId="103" fillId="0" borderId="1" xfId="12" applyNumberFormat="1" applyFont="1" applyFill="1" applyBorder="1" applyAlignment="1">
      <alignment horizontal="right" wrapText="1"/>
    </xf>
    <xf numFmtId="0" fontId="103" fillId="0" borderId="1" xfId="0" applyFont="1" applyFill="1" applyBorder="1" applyAlignment="1">
      <alignment horizontal="justify" vertical="top" wrapText="1"/>
    </xf>
    <xf numFmtId="0" fontId="103" fillId="0" borderId="1" xfId="0" applyFont="1" applyFill="1" applyBorder="1" applyAlignment="1">
      <alignment horizontal="left" wrapText="1"/>
    </xf>
    <xf numFmtId="164" fontId="102" fillId="0" borderId="1" xfId="12" applyNumberFormat="1" applyFont="1" applyFill="1" applyBorder="1" applyAlignment="1">
      <alignment horizontal="right" wrapText="1"/>
    </xf>
    <xf numFmtId="0" fontId="103" fillId="0" borderId="1" xfId="0" applyFont="1" applyFill="1" applyBorder="1" applyAlignment="1">
      <alignment wrapText="1"/>
    </xf>
    <xf numFmtId="164" fontId="103" fillId="0" borderId="1" xfId="12" quotePrefix="1" applyNumberFormat="1" applyFont="1" applyFill="1" applyBorder="1" applyAlignment="1">
      <alignment horizontal="right" wrapText="1"/>
    </xf>
    <xf numFmtId="0" fontId="102" fillId="0" borderId="1" xfId="0" applyFont="1" applyFill="1" applyBorder="1" applyAlignment="1">
      <alignment horizontal="justify" wrapText="1"/>
    </xf>
    <xf numFmtId="164" fontId="103" fillId="0" borderId="1" xfId="12" quotePrefix="1" applyNumberFormat="1" applyFont="1" applyFill="1" applyBorder="1" applyAlignment="1">
      <alignment horizontal="right" vertical="center" wrapText="1"/>
    </xf>
    <xf numFmtId="0" fontId="103" fillId="0" borderId="32" xfId="0" applyFont="1" applyFill="1" applyBorder="1" applyAlignment="1">
      <alignment horizontal="center" vertical="top" wrapText="1"/>
    </xf>
    <xf numFmtId="164" fontId="103" fillId="0" borderId="0" xfId="12" quotePrefix="1" applyNumberFormat="1" applyFont="1" applyFill="1" applyBorder="1" applyAlignment="1" applyProtection="1">
      <alignment horizontal="center" wrapText="1"/>
      <protection locked="0" hidden="1"/>
    </xf>
    <xf numFmtId="164" fontId="103" fillId="0" borderId="0" xfId="12" applyNumberFormat="1" applyFont="1" applyFill="1" applyBorder="1" applyAlignment="1">
      <alignment horizontal="right" wrapText="1"/>
    </xf>
    <xf numFmtId="0" fontId="17" fillId="0" borderId="0" xfId="0" applyFont="1" applyFill="1" applyBorder="1" applyAlignment="1">
      <alignment horizontal="center" vertical="top" wrapText="1"/>
    </xf>
    <xf numFmtId="164" fontId="17" fillId="0" borderId="0" xfId="12" quotePrefix="1" applyNumberFormat="1" applyFont="1" applyFill="1" applyBorder="1" applyAlignment="1" applyProtection="1">
      <alignment horizontal="center" wrapText="1"/>
      <protection locked="0" hidden="1"/>
    </xf>
    <xf numFmtId="164" fontId="115" fillId="0" borderId="0" xfId="12" applyNumberFormat="1" applyFont="1" applyFill="1" applyBorder="1" applyAlignment="1">
      <alignment horizontal="right" wrapText="1"/>
    </xf>
    <xf numFmtId="3" fontId="17" fillId="0" borderId="1" xfId="0" applyNumberFormat="1" applyFont="1" applyFill="1" applyBorder="1" applyAlignment="1">
      <alignment horizontal="center" vertical="center" wrapText="1"/>
    </xf>
    <xf numFmtId="0" fontId="17" fillId="0" borderId="13" xfId="19" applyFont="1" applyFill="1" applyBorder="1" applyAlignment="1" applyProtection="1">
      <alignment horizontal="center" wrapText="1"/>
      <protection locked="0" hidden="1"/>
    </xf>
    <xf numFmtId="164" fontId="17" fillId="0" borderId="16" xfId="12" applyNumberFormat="1" applyFont="1" applyFill="1" applyBorder="1" applyAlignment="1" applyProtection="1">
      <alignment horizontal="center" wrapText="1"/>
      <protection locked="0" hidden="1"/>
    </xf>
    <xf numFmtId="164" fontId="17" fillId="0" borderId="15" xfId="12" applyNumberFormat="1" applyFont="1" applyFill="1" applyBorder="1" applyAlignment="1" applyProtection="1">
      <alignment horizontal="center" wrapText="1"/>
      <protection locked="0" hidden="1"/>
    </xf>
    <xf numFmtId="0" fontId="18" fillId="0" borderId="30" xfId="0" applyFont="1" applyFill="1" applyBorder="1" applyAlignment="1">
      <alignment horizontal="center" vertical="center" wrapText="1"/>
    </xf>
    <xf numFmtId="164" fontId="102" fillId="0" borderId="1" xfId="12" quotePrefix="1" applyNumberFormat="1" applyFont="1" applyFill="1" applyBorder="1" applyAlignment="1" applyProtection="1">
      <alignment horizontal="center" wrapText="1"/>
      <protection locked="0" hidden="1"/>
    </xf>
    <xf numFmtId="0" fontId="18" fillId="0" borderId="6" xfId="19" applyFont="1" applyFill="1" applyBorder="1" applyAlignment="1" applyProtection="1">
      <alignment horizontal="center" vertical="center" wrapText="1"/>
      <protection locked="0" hidden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36" xfId="0" applyFont="1" applyFill="1" applyBorder="1" applyAlignment="1">
      <alignment horizontal="center" vertical="center" wrapText="1"/>
    </xf>
    <xf numFmtId="164" fontId="18" fillId="0" borderId="36" xfId="12" applyNumberFormat="1" applyFont="1" applyFill="1" applyBorder="1" applyAlignment="1">
      <alignment horizontal="right" vertical="top" wrapText="1"/>
    </xf>
    <xf numFmtId="0" fontId="17" fillId="0" borderId="59" xfId="0" applyFont="1" applyFill="1" applyBorder="1" applyAlignment="1">
      <alignment horizontal="center" wrapText="1"/>
    </xf>
    <xf numFmtId="164" fontId="17" fillId="0" borderId="24" xfId="12" applyNumberFormat="1" applyFont="1" applyFill="1" applyBorder="1" applyAlignment="1">
      <alignment wrapText="1"/>
    </xf>
    <xf numFmtId="2" fontId="17" fillId="0" borderId="32" xfId="0" applyNumberFormat="1" applyFont="1" applyFill="1" applyBorder="1" applyAlignment="1">
      <alignment horizontal="justify" wrapText="1"/>
    </xf>
    <xf numFmtId="2" fontId="17" fillId="0" borderId="24" xfId="0" applyNumberFormat="1" applyFont="1" applyFill="1" applyBorder="1" applyAlignment="1">
      <alignment wrapText="1"/>
    </xf>
    <xf numFmtId="2" fontId="17" fillId="0" borderId="37" xfId="12" applyNumberFormat="1" applyFont="1" applyFill="1" applyBorder="1" applyAlignment="1">
      <alignment horizontal="right" wrapText="1"/>
    </xf>
    <xf numFmtId="2" fontId="17" fillId="0" borderId="24" xfId="12" applyNumberFormat="1" applyFont="1" applyFill="1" applyBorder="1" applyAlignment="1">
      <alignment horizontal="right" vertical="top" wrapText="1"/>
    </xf>
    <xf numFmtId="2" fontId="17" fillId="0" borderId="0" xfId="0" applyNumberFormat="1" applyFont="1" applyFill="1" applyAlignment="1">
      <alignment wrapText="1"/>
    </xf>
    <xf numFmtId="2" fontId="17" fillId="0" borderId="1" xfId="0" applyNumberFormat="1" applyFont="1" applyFill="1" applyBorder="1" applyAlignment="1">
      <alignment wrapText="1"/>
    </xf>
    <xf numFmtId="0" fontId="18" fillId="0" borderId="86" xfId="0" applyFont="1" applyFill="1" applyBorder="1" applyAlignment="1">
      <alignment horizontal="center" vertical="center" wrapText="1"/>
    </xf>
    <xf numFmtId="164" fontId="17" fillId="0" borderId="2" xfId="12" applyNumberFormat="1" applyFont="1" applyFill="1" applyBorder="1" applyAlignment="1">
      <alignment wrapText="1"/>
    </xf>
    <xf numFmtId="2" fontId="17" fillId="0" borderId="36" xfId="12" applyNumberFormat="1" applyFont="1" applyFill="1" applyBorder="1" applyAlignment="1">
      <alignment horizontal="right" wrapText="1"/>
    </xf>
    <xf numFmtId="0" fontId="18" fillId="0" borderId="54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justify" vertical="top" wrapText="1"/>
    </xf>
    <xf numFmtId="164" fontId="17" fillId="0" borderId="7" xfId="12" applyNumberFormat="1" applyFont="1" applyFill="1" applyBorder="1" applyAlignment="1">
      <alignment wrapText="1"/>
    </xf>
    <xf numFmtId="0" fontId="18" fillId="0" borderId="22" xfId="0" applyFont="1" applyFill="1" applyBorder="1" applyAlignment="1">
      <alignment horizontal="center" vertical="center" wrapText="1"/>
    </xf>
    <xf numFmtId="164" fontId="17" fillId="0" borderId="4" xfId="12" applyNumberFormat="1" applyFont="1" applyFill="1" applyBorder="1" applyAlignment="1">
      <alignment wrapText="1"/>
    </xf>
    <xf numFmtId="0" fontId="17" fillId="0" borderId="2" xfId="0" applyFont="1" applyFill="1" applyBorder="1" applyAlignment="1">
      <alignment horizontal="center" wrapText="1"/>
    </xf>
    <xf numFmtId="3" fontId="17" fillId="0" borderId="1" xfId="0" applyNumberFormat="1" applyFont="1" applyFill="1" applyBorder="1" applyAlignment="1">
      <alignment horizontal="right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right" vertical="center" wrapText="1"/>
    </xf>
    <xf numFmtId="4" fontId="17" fillId="0" borderId="0" xfId="0" applyNumberFormat="1" applyFont="1" applyFill="1" applyBorder="1" applyAlignment="1">
      <alignment horizontal="right" vertical="center" wrapText="1"/>
    </xf>
    <xf numFmtId="164" fontId="17" fillId="0" borderId="0" xfId="12" applyNumberFormat="1" applyFont="1" applyFill="1" applyBorder="1" applyAlignment="1">
      <alignment horizontal="right" vertical="center" wrapText="1"/>
    </xf>
    <xf numFmtId="0" fontId="17" fillId="0" borderId="2" xfId="0" applyFont="1" applyFill="1" applyBorder="1" applyAlignment="1">
      <alignment wrapText="1"/>
    </xf>
    <xf numFmtId="0" fontId="17" fillId="0" borderId="27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 wrapText="1"/>
    </xf>
    <xf numFmtId="3" fontId="17" fillId="0" borderId="36" xfId="0" applyNumberFormat="1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right" wrapText="1"/>
    </xf>
    <xf numFmtId="0" fontId="17" fillId="0" borderId="23" xfId="0" applyFont="1" applyFill="1" applyBorder="1" applyAlignment="1">
      <alignment horizontal="right" wrapText="1"/>
    </xf>
    <xf numFmtId="0" fontId="18" fillId="0" borderId="21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 wrapText="1"/>
      <protection locked="0" hidden="1"/>
    </xf>
    <xf numFmtId="0" fontId="17" fillId="0" borderId="0" xfId="0" applyFont="1" applyFill="1" applyBorder="1" applyAlignment="1" applyProtection="1">
      <alignment wrapText="1"/>
      <protection locked="0" hidden="1"/>
    </xf>
    <xf numFmtId="164" fontId="17" fillId="0" borderId="0" xfId="12" applyNumberFormat="1" applyFont="1" applyFill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wrapText="1"/>
    </xf>
    <xf numFmtId="0" fontId="17" fillId="0" borderId="27" xfId="0" applyFont="1" applyFill="1" applyBorder="1" applyAlignment="1">
      <alignment wrapText="1"/>
    </xf>
    <xf numFmtId="3" fontId="17" fillId="0" borderId="0" xfId="0" applyNumberFormat="1" applyFont="1" applyFill="1" applyAlignment="1">
      <alignment wrapText="1"/>
    </xf>
    <xf numFmtId="0" fontId="18" fillId="0" borderId="0" xfId="0" applyFont="1" applyFill="1" applyAlignment="1">
      <alignment horizontal="justify" vertical="top" wrapText="1"/>
    </xf>
    <xf numFmtId="164" fontId="17" fillId="0" borderId="47" xfId="12" applyNumberFormat="1" applyFont="1" applyFill="1" applyBorder="1" applyAlignment="1">
      <alignment horizontal="right" vertical="center" wrapText="1"/>
    </xf>
    <xf numFmtId="164" fontId="17" fillId="0" borderId="24" xfId="12" applyNumberFormat="1" applyFont="1" applyFill="1" applyBorder="1" applyAlignment="1">
      <alignment horizontal="right" vertical="center" wrapText="1"/>
    </xf>
    <xf numFmtId="2" fontId="17" fillId="0" borderId="24" xfId="12" applyNumberFormat="1" applyFont="1" applyFill="1" applyBorder="1" applyAlignment="1">
      <alignment horizontal="right" vertical="center" wrapText="1"/>
    </xf>
    <xf numFmtId="0" fontId="18" fillId="0" borderId="29" xfId="0" applyFont="1" applyFill="1" applyBorder="1" applyAlignment="1">
      <alignment horizontal="justify" vertical="top" wrapText="1"/>
    </xf>
    <xf numFmtId="0" fontId="18" fillId="0" borderId="19" xfId="0" applyFont="1" applyFill="1" applyBorder="1" applyAlignment="1">
      <alignment horizontal="justify" vertical="top" wrapText="1"/>
    </xf>
    <xf numFmtId="3" fontId="17" fillId="0" borderId="1" xfId="0" applyNumberFormat="1" applyFont="1" applyFill="1" applyBorder="1" applyAlignment="1">
      <alignment wrapText="1"/>
    </xf>
    <xf numFmtId="3" fontId="18" fillId="0" borderId="1" xfId="15" applyNumberFormat="1" applyFont="1" applyFill="1" applyBorder="1" applyAlignment="1" applyProtection="1">
      <alignment wrapText="1"/>
      <protection hidden="1"/>
    </xf>
    <xf numFmtId="164" fontId="18" fillId="0" borderId="1" xfId="15" applyNumberFormat="1" applyFont="1" applyFill="1" applyBorder="1" applyAlignment="1" applyProtection="1">
      <alignment horizontal="center" wrapText="1"/>
      <protection hidden="1"/>
    </xf>
    <xf numFmtId="3" fontId="18" fillId="0" borderId="0" xfId="15" applyNumberFormat="1" applyFont="1" applyFill="1" applyBorder="1" applyAlignment="1" applyProtection="1">
      <alignment horizontal="center" wrapText="1"/>
      <protection locked="0" hidden="1"/>
    </xf>
    <xf numFmtId="164" fontId="18" fillId="0" borderId="0" xfId="15" applyNumberFormat="1" applyFont="1" applyFill="1" applyBorder="1" applyAlignment="1" applyProtection="1">
      <alignment horizontal="center" wrapText="1"/>
      <protection locked="0" hidden="1"/>
    </xf>
    <xf numFmtId="0" fontId="18" fillId="0" borderId="2" xfId="0" applyFont="1" applyFill="1" applyBorder="1" applyAlignment="1">
      <alignment horizontal="justify" vertical="center" wrapText="1"/>
    </xf>
    <xf numFmtId="3" fontId="17" fillId="0" borderId="2" xfId="0" applyNumberFormat="1" applyFont="1" applyFill="1" applyBorder="1" applyAlignment="1">
      <alignment horizontal="right" vertical="center" wrapText="1"/>
    </xf>
    <xf numFmtId="164" fontId="17" fillId="0" borderId="2" xfId="12" applyNumberFormat="1" applyFont="1" applyFill="1" applyBorder="1" applyAlignment="1">
      <alignment horizontal="right" vertical="center" wrapText="1"/>
    </xf>
    <xf numFmtId="164" fontId="17" fillId="0" borderId="56" xfId="12" applyNumberFormat="1" applyFont="1" applyFill="1" applyBorder="1" applyAlignment="1">
      <alignment horizontal="right" vertical="center" wrapText="1"/>
    </xf>
    <xf numFmtId="164" fontId="18" fillId="0" borderId="29" xfId="33" applyNumberFormat="1" applyFont="1" applyFill="1" applyBorder="1" applyAlignment="1">
      <alignment horizontal="right" vertical="center" wrapText="1"/>
    </xf>
    <xf numFmtId="0" fontId="17" fillId="0" borderId="54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vertical="center" wrapText="1"/>
    </xf>
    <xf numFmtId="3" fontId="17" fillId="0" borderId="23" xfId="0" applyNumberFormat="1" applyFont="1" applyFill="1" applyBorder="1" applyAlignment="1">
      <alignment horizontal="right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18" fillId="0" borderId="71" xfId="0" applyFont="1" applyFill="1" applyBorder="1" applyAlignment="1">
      <alignment horizontal="justify" vertical="center" wrapText="1"/>
    </xf>
    <xf numFmtId="0" fontId="18" fillId="0" borderId="21" xfId="0" applyFont="1" applyFill="1" applyBorder="1" applyAlignment="1">
      <alignment horizontal="justify" vertical="center" wrapText="1"/>
    </xf>
    <xf numFmtId="164" fontId="18" fillId="0" borderId="60" xfId="12" applyNumberFormat="1" applyFont="1" applyFill="1" applyBorder="1" applyAlignment="1">
      <alignment horizontal="right" vertical="center" wrapText="1"/>
    </xf>
    <xf numFmtId="164" fontId="18" fillId="0" borderId="19" xfId="12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justify" vertical="center" wrapText="1"/>
    </xf>
    <xf numFmtId="164" fontId="18" fillId="0" borderId="0" xfId="33" applyNumberFormat="1" applyFont="1" applyFill="1" applyBorder="1" applyAlignment="1">
      <alignment horizontal="right" vertical="center" wrapText="1"/>
    </xf>
    <xf numFmtId="164" fontId="18" fillId="0" borderId="0" xfId="12" applyNumberFormat="1" applyFont="1" applyFill="1" applyBorder="1" applyAlignment="1">
      <alignment horizontal="right" vertical="center" wrapText="1"/>
    </xf>
    <xf numFmtId="3" fontId="17" fillId="0" borderId="1" xfId="0" applyNumberFormat="1" applyFont="1" applyFill="1" applyBorder="1" applyAlignment="1">
      <alignment horizontal="left" vertical="center" wrapText="1"/>
    </xf>
    <xf numFmtId="3" fontId="17" fillId="0" borderId="24" xfId="0" applyNumberFormat="1" applyFont="1" applyFill="1" applyBorder="1" applyAlignment="1">
      <alignment horizontal="left" vertical="center" wrapText="1"/>
    </xf>
    <xf numFmtId="0" fontId="17" fillId="0" borderId="32" xfId="0" applyFont="1" applyFill="1" applyBorder="1" applyAlignment="1">
      <alignment wrapText="1"/>
    </xf>
    <xf numFmtId="0" fontId="17" fillId="0" borderId="36" xfId="0" applyFont="1" applyFill="1" applyBorder="1" applyAlignment="1">
      <alignment wrapText="1"/>
    </xf>
    <xf numFmtId="0" fontId="17" fillId="0" borderId="18" xfId="19" applyFont="1" applyFill="1" applyBorder="1" applyAlignment="1" applyProtection="1">
      <alignment horizontal="center" vertical="center" wrapText="1"/>
      <protection locked="0" hidden="1"/>
    </xf>
    <xf numFmtId="0" fontId="17" fillId="0" borderId="3" xfId="19" applyFont="1" applyFill="1" applyBorder="1" applyAlignment="1" applyProtection="1">
      <alignment horizontal="center" wrapText="1"/>
      <protection locked="0" hidden="1"/>
    </xf>
    <xf numFmtId="0" fontId="17" fillId="0" borderId="6" xfId="19" applyFont="1" applyFill="1" applyBorder="1" applyAlignment="1" applyProtection="1">
      <alignment horizontal="center" wrapText="1"/>
      <protection locked="0" hidden="1"/>
    </xf>
    <xf numFmtId="1" fontId="112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8" fillId="0" borderId="1" xfId="0" applyFont="1" applyFill="1" applyBorder="1" applyAlignment="1" applyProtection="1">
      <alignment vertical="center"/>
      <protection locked="0" hidden="1"/>
    </xf>
    <xf numFmtId="0" fontId="112" fillId="0" borderId="1" xfId="0" applyFont="1" applyFill="1" applyBorder="1" applyAlignment="1" applyProtection="1">
      <alignment vertical="center" wrapText="1"/>
      <protection locked="0" hidden="1"/>
    </xf>
    <xf numFmtId="164" fontId="112" fillId="0" borderId="2" xfId="12" applyNumberFormat="1" applyFont="1" applyFill="1" applyBorder="1" applyAlignment="1" applyProtection="1">
      <alignment vertical="center"/>
      <protection locked="0" hidden="1"/>
    </xf>
    <xf numFmtId="164" fontId="112" fillId="0" borderId="1" xfId="12" applyNumberFormat="1" applyFont="1" applyFill="1" applyBorder="1" applyAlignment="1" applyProtection="1">
      <alignment vertical="center"/>
      <protection locked="0" hidden="1"/>
    </xf>
    <xf numFmtId="0" fontId="112" fillId="0" borderId="1" xfId="0" applyFont="1" applyFill="1" applyBorder="1" applyAlignment="1" applyProtection="1">
      <alignment vertical="center"/>
      <protection locked="0" hidden="1"/>
    </xf>
    <xf numFmtId="0" fontId="112" fillId="0" borderId="0" xfId="0" applyFont="1" applyFill="1" applyAlignment="1" applyProtection="1">
      <alignment vertical="center"/>
      <protection locked="0" hidden="1"/>
    </xf>
    <xf numFmtId="164" fontId="112" fillId="0" borderId="1" xfId="12" applyNumberFormat="1" applyFont="1" applyFill="1" applyBorder="1" applyAlignment="1" applyProtection="1">
      <alignment vertical="center"/>
      <protection hidden="1"/>
    </xf>
    <xf numFmtId="0" fontId="102" fillId="0" borderId="1" xfId="0" applyFont="1" applyFill="1" applyBorder="1" applyAlignment="1">
      <alignment horizontal="center" vertical="center" wrapText="1"/>
    </xf>
    <xf numFmtId="0" fontId="103" fillId="0" borderId="1" xfId="0" applyFont="1" applyFill="1" applyBorder="1" applyAlignment="1">
      <alignment horizontal="center" vertical="center" wrapText="1"/>
    </xf>
    <xf numFmtId="0" fontId="102" fillId="0" borderId="32" xfId="0" applyFont="1" applyFill="1" applyBorder="1" applyAlignment="1">
      <alignment horizontal="justify" vertical="top" wrapText="1"/>
    </xf>
    <xf numFmtId="0" fontId="102" fillId="0" borderId="0" xfId="0" applyFont="1" applyFill="1" applyAlignment="1">
      <alignment wrapText="1"/>
    </xf>
    <xf numFmtId="164" fontId="17" fillId="0" borderId="3" xfId="12" applyNumberFormat="1" applyFont="1" applyFill="1" applyBorder="1" applyAlignment="1" applyProtection="1">
      <alignment horizontal="right" wrapText="1"/>
      <protection locked="0" hidden="1"/>
    </xf>
    <xf numFmtId="3" fontId="17" fillId="0" borderId="1" xfId="19" applyNumberFormat="1" applyFont="1" applyFill="1" applyBorder="1" applyAlignment="1" applyProtection="1">
      <alignment horizontal="left" wrapText="1"/>
      <protection locked="0" hidden="1"/>
    </xf>
    <xf numFmtId="2" fontId="18" fillId="0" borderId="1" xfId="12" applyNumberFormat="1" applyFont="1" applyFill="1" applyBorder="1" applyAlignment="1">
      <alignment horizontal="right" wrapText="1"/>
    </xf>
    <xf numFmtId="0" fontId="17" fillId="0" borderId="32" xfId="0" applyFont="1" applyFill="1" applyBorder="1" applyAlignment="1">
      <alignment horizontal="left" wrapText="1"/>
    </xf>
    <xf numFmtId="0" fontId="17" fillId="0" borderId="0" xfId="0" applyFont="1" applyFill="1" applyAlignment="1" applyProtection="1">
      <alignment horizontal="center" vertical="center" wrapText="1"/>
      <protection locked="0" hidden="1"/>
    </xf>
    <xf numFmtId="0" fontId="17" fillId="0" borderId="36" xfId="0" applyFont="1" applyFill="1" applyBorder="1" applyAlignment="1">
      <alignment horizontal="right" wrapText="1"/>
    </xf>
    <xf numFmtId="3" fontId="17" fillId="0" borderId="2" xfId="0" applyNumberFormat="1" applyFont="1" applyFill="1" applyBorder="1" applyAlignment="1">
      <alignment horizontal="right" wrapText="1"/>
    </xf>
    <xf numFmtId="0" fontId="17" fillId="0" borderId="37" xfId="0" applyFont="1" applyFill="1" applyBorder="1" applyAlignment="1">
      <alignment horizontal="justify" wrapText="1"/>
    </xf>
    <xf numFmtId="0" fontId="17" fillId="0" borderId="24" xfId="0" applyFont="1" applyFill="1" applyBorder="1" applyAlignment="1">
      <alignment horizontal="right" wrapText="1"/>
    </xf>
    <xf numFmtId="0" fontId="17" fillId="0" borderId="1" xfId="12" applyNumberFormat="1" applyFont="1" applyFill="1" applyBorder="1" applyAlignment="1">
      <alignment horizontal="left"/>
    </xf>
    <xf numFmtId="164" fontId="18" fillId="0" borderId="0" xfId="12" applyNumberFormat="1" applyFont="1" applyFill="1" applyBorder="1" applyAlignment="1">
      <alignment horizontal="right" vertical="top" wrapText="1"/>
    </xf>
    <xf numFmtId="164" fontId="17" fillId="0" borderId="2" xfId="12" applyNumberFormat="1" applyFont="1" applyFill="1" applyBorder="1" applyAlignment="1">
      <alignment horizontal="right" vertical="top" wrapText="1"/>
    </xf>
    <xf numFmtId="0" fontId="17" fillId="0" borderId="0" xfId="0" applyFont="1" applyFill="1" applyAlignment="1" applyProtection="1">
      <alignment horizontal="center" wrapText="1"/>
      <protection locked="0" hidden="1"/>
    </xf>
    <xf numFmtId="2" fontId="17" fillId="0" borderId="1" xfId="12" applyNumberFormat="1" applyFont="1" applyFill="1" applyBorder="1" applyAlignment="1">
      <alignment wrapText="1"/>
    </xf>
    <xf numFmtId="0" fontId="18" fillId="0" borderId="36" xfId="0" applyFont="1" applyFill="1" applyBorder="1" applyAlignment="1">
      <alignment horizontal="justify" wrapText="1"/>
    </xf>
    <xf numFmtId="0" fontId="17" fillId="0" borderId="15" xfId="19" applyFont="1" applyFill="1" applyBorder="1" applyAlignment="1" applyProtection="1">
      <alignment horizontal="center" wrapText="1"/>
      <protection locked="0" hidden="1"/>
    </xf>
    <xf numFmtId="0" fontId="18" fillId="0" borderId="86" xfId="19" applyFont="1" applyFill="1" applyBorder="1" applyAlignment="1" applyProtection="1">
      <alignment horizontal="center" vertical="center" wrapText="1"/>
      <protection locked="0" hidden="1"/>
    </xf>
    <xf numFmtId="3" fontId="17" fillId="0" borderId="1" xfId="0" applyNumberFormat="1" applyFont="1" applyFill="1" applyBorder="1" applyAlignment="1">
      <alignment horizontal="left" vertical="top" wrapText="1"/>
    </xf>
    <xf numFmtId="164" fontId="17" fillId="0" borderId="1" xfId="12" applyNumberFormat="1" applyFont="1" applyFill="1" applyBorder="1" applyAlignment="1">
      <alignment horizontal="right" vertical="center"/>
    </xf>
    <xf numFmtId="164" fontId="17" fillId="0" borderId="1" xfId="12" applyNumberFormat="1" applyFont="1" applyFill="1" applyBorder="1" applyAlignment="1">
      <alignment horizontal="right" vertical="top"/>
    </xf>
    <xf numFmtId="0" fontId="18" fillId="0" borderId="0" xfId="0" applyFont="1" applyFill="1" applyAlignment="1">
      <alignment horizontal="center" vertical="center" wrapText="1"/>
    </xf>
    <xf numFmtId="0" fontId="16" fillId="0" borderId="1" xfId="19" applyFont="1" applyFill="1" applyBorder="1" applyAlignment="1" applyProtection="1">
      <alignment horizontal="center" vertical="center" wrapText="1"/>
      <protection locked="0" hidden="1"/>
    </xf>
    <xf numFmtId="0" fontId="16" fillId="0" borderId="1" xfId="19" applyFont="1" applyFill="1" applyBorder="1" applyAlignment="1" applyProtection="1">
      <alignment wrapText="1"/>
      <protection locked="0" hidden="1"/>
    </xf>
    <xf numFmtId="164" fontId="15" fillId="0" borderId="1" xfId="12" applyNumberFormat="1" applyFont="1" applyFill="1" applyBorder="1" applyAlignment="1" applyProtection="1">
      <alignment horizontal="center" wrapText="1"/>
      <protection locked="0" hidden="1"/>
    </xf>
    <xf numFmtId="0" fontId="15" fillId="0" borderId="0" xfId="0" applyFont="1" applyFill="1" applyAlignment="1">
      <alignment wrapText="1"/>
    </xf>
    <xf numFmtId="0" fontId="16" fillId="0" borderId="3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justify" vertical="top" wrapText="1"/>
    </xf>
    <xf numFmtId="164" fontId="16" fillId="0" borderId="1" xfId="12" applyNumberFormat="1" applyFont="1" applyFill="1" applyBorder="1" applyAlignment="1">
      <alignment horizontal="right" vertical="top"/>
    </xf>
    <xf numFmtId="0" fontId="15" fillId="0" borderId="32" xfId="0" applyFont="1" applyFill="1" applyBorder="1" applyAlignment="1">
      <alignment horizontal="center" vertical="center" wrapText="1"/>
    </xf>
    <xf numFmtId="164" fontId="15" fillId="0" borderId="1" xfId="12" applyNumberFormat="1" applyFont="1" applyFill="1" applyBorder="1" applyAlignment="1"/>
    <xf numFmtId="164" fontId="15" fillId="0" borderId="1" xfId="12" applyNumberFormat="1" applyFont="1" applyFill="1" applyBorder="1" applyAlignment="1">
      <alignment horizontal="right"/>
    </xf>
    <xf numFmtId="164" fontId="16" fillId="0" borderId="1" xfId="12" applyNumberFormat="1" applyFont="1" applyFill="1" applyBorder="1" applyAlignment="1"/>
    <xf numFmtId="0" fontId="16" fillId="0" borderId="32" xfId="0" applyFont="1" applyFill="1" applyBorder="1" applyAlignment="1">
      <alignment horizontal="center" wrapText="1"/>
    </xf>
    <xf numFmtId="0" fontId="16" fillId="0" borderId="0" xfId="0" applyFont="1" applyFill="1" applyAlignment="1">
      <alignment wrapText="1"/>
    </xf>
    <xf numFmtId="164" fontId="15" fillId="0" borderId="1" xfId="12" applyNumberFormat="1" applyFont="1" applyFill="1" applyBorder="1" applyAlignment="1">
      <alignment horizontal="right" vertical="top"/>
    </xf>
    <xf numFmtId="164" fontId="16" fillId="0" borderId="1" xfId="12" applyNumberFormat="1" applyFont="1" applyFill="1" applyBorder="1" applyAlignment="1">
      <alignment horizontal="right"/>
    </xf>
    <xf numFmtId="164" fontId="15" fillId="0" borderId="1" xfId="12" applyNumberFormat="1" applyFont="1" applyFill="1" applyBorder="1" applyAlignment="1" applyProtection="1">
      <alignment horizontal="center"/>
      <protection locked="0" hidden="1"/>
    </xf>
    <xf numFmtId="0" fontId="15" fillId="0" borderId="1" xfId="0" applyFont="1" applyFill="1" applyBorder="1" applyAlignment="1">
      <alignment horizontal="center" vertical="center" wrapText="1"/>
    </xf>
    <xf numFmtId="164" fontId="113" fillId="0" borderId="2" xfId="12" applyNumberFormat="1" applyFont="1" applyFill="1" applyBorder="1" applyAlignment="1" applyProtection="1">
      <alignment vertical="center"/>
      <protection locked="0" hidden="1"/>
    </xf>
    <xf numFmtId="0" fontId="113" fillId="0" borderId="0" xfId="0" applyFont="1" applyFill="1" applyAlignment="1" applyProtection="1">
      <alignment vertical="center"/>
      <protection locked="0" hidden="1"/>
    </xf>
    <xf numFmtId="0" fontId="15" fillId="0" borderId="36" xfId="0" applyFont="1" applyFill="1" applyBorder="1" applyAlignment="1">
      <alignment horizontal="justify" wrapText="1"/>
    </xf>
    <xf numFmtId="164" fontId="15" fillId="0" borderId="24" xfId="12" applyNumberFormat="1" applyFont="1" applyFill="1" applyBorder="1" applyAlignment="1">
      <alignment horizontal="right"/>
    </xf>
    <xf numFmtId="164" fontId="15" fillId="0" borderId="24" xfId="12" applyNumberFormat="1" applyFont="1" applyFill="1" applyBorder="1" applyAlignment="1" applyProtection="1">
      <alignment horizontal="center"/>
      <protection locked="0" hidden="1"/>
    </xf>
    <xf numFmtId="0" fontId="16" fillId="0" borderId="1" xfId="0" applyFont="1" applyFill="1" applyBorder="1" applyAlignment="1">
      <alignment horizontal="center" vertical="center" wrapText="1"/>
    </xf>
    <xf numFmtId="164" fontId="16" fillId="0" borderId="7" xfId="12" applyNumberFormat="1" applyFont="1" applyFill="1" applyBorder="1" applyAlignment="1">
      <alignment horizontal="right"/>
    </xf>
    <xf numFmtId="0" fontId="17" fillId="0" borderId="32" xfId="0" applyFont="1" applyFill="1" applyBorder="1" applyAlignment="1" applyProtection="1">
      <alignment wrapText="1"/>
      <protection locked="0" hidden="1"/>
    </xf>
    <xf numFmtId="3" fontId="17" fillId="0" borderId="1" xfId="0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justify" vertical="top" wrapText="1"/>
    </xf>
    <xf numFmtId="0" fontId="17" fillId="0" borderId="36" xfId="0" applyFont="1" applyFill="1" applyBorder="1" applyAlignment="1">
      <alignment horizontal="justify" vertical="top" wrapText="1"/>
    </xf>
    <xf numFmtId="0" fontId="18" fillId="0" borderId="32" xfId="0" applyFont="1" applyFill="1" applyBorder="1" applyAlignment="1">
      <alignment wrapText="1"/>
    </xf>
    <xf numFmtId="0" fontId="18" fillId="0" borderId="6" xfId="19" applyFont="1" applyFill="1" applyBorder="1" applyAlignment="1" applyProtection="1">
      <alignment wrapText="1"/>
      <protection locked="0" hidden="1"/>
    </xf>
    <xf numFmtId="164" fontId="17" fillId="0" borderId="36" xfId="12" applyNumberFormat="1" applyFont="1" applyFill="1" applyBorder="1" applyAlignment="1">
      <alignment wrapText="1"/>
    </xf>
    <xf numFmtId="164" fontId="18" fillId="0" borderId="21" xfId="12" applyNumberFormat="1" applyFont="1" applyFill="1" applyBorder="1" applyAlignment="1">
      <alignment horizontal="right" wrapText="1"/>
    </xf>
    <xf numFmtId="0" fontId="18" fillId="0" borderId="3" xfId="0" applyFont="1" applyFill="1" applyBorder="1" applyAlignment="1">
      <alignment horizontal="justify" vertical="top" wrapText="1"/>
    </xf>
    <xf numFmtId="0" fontId="18" fillId="0" borderId="6" xfId="0" applyFont="1" applyFill="1" applyBorder="1" applyAlignment="1">
      <alignment horizontal="justify" vertical="top" wrapText="1"/>
    </xf>
    <xf numFmtId="164" fontId="17" fillId="0" borderId="6" xfId="12" applyNumberFormat="1" applyFont="1" applyFill="1" applyBorder="1" applyAlignment="1">
      <alignment horizontal="right" vertical="top" wrapText="1"/>
    </xf>
    <xf numFmtId="164" fontId="17" fillId="0" borderId="3" xfId="12" applyNumberFormat="1" applyFont="1" applyFill="1" applyBorder="1" applyAlignment="1">
      <alignment horizontal="right" vertical="top" wrapText="1"/>
    </xf>
    <xf numFmtId="0" fontId="18" fillId="0" borderId="18" xfId="0" applyFont="1" applyFill="1" applyBorder="1" applyAlignment="1">
      <alignment horizontal="justify" vertical="top" wrapText="1"/>
    </xf>
    <xf numFmtId="0" fontId="17" fillId="0" borderId="51" xfId="0" applyFont="1" applyFill="1" applyBorder="1" applyAlignment="1">
      <alignment wrapText="1"/>
    </xf>
    <xf numFmtId="0" fontId="113" fillId="0" borderId="32" xfId="0" applyFont="1" applyFill="1" applyBorder="1" applyAlignment="1">
      <alignment wrapText="1"/>
    </xf>
    <xf numFmtId="0" fontId="116" fillId="0" borderId="0" xfId="0" applyFont="1" applyFill="1" applyBorder="1" applyAlignment="1">
      <alignment horizontal="justify" wrapText="1"/>
    </xf>
    <xf numFmtId="3" fontId="17" fillId="0" borderId="1" xfId="0" applyNumberFormat="1" applyFont="1" applyFill="1" applyBorder="1" applyAlignment="1">
      <alignment horizontal="justify" wrapText="1"/>
    </xf>
    <xf numFmtId="3" fontId="17" fillId="0" borderId="32" xfId="0" applyNumberFormat="1" applyFont="1" applyFill="1" applyBorder="1" applyAlignment="1">
      <alignment horizontal="justify" wrapText="1"/>
    </xf>
    <xf numFmtId="3" fontId="17" fillId="0" borderId="24" xfId="0" applyNumberFormat="1" applyFont="1" applyFill="1" applyBorder="1" applyAlignment="1">
      <alignment horizontal="justify" wrapText="1"/>
    </xf>
    <xf numFmtId="0" fontId="17" fillId="0" borderId="0" xfId="0" applyFont="1" applyFill="1" applyAlignment="1">
      <alignment vertical="center"/>
    </xf>
    <xf numFmtId="164" fontId="17" fillId="0" borderId="1" xfId="12" applyNumberFormat="1" applyFont="1" applyFill="1" applyBorder="1" applyAlignment="1">
      <alignment horizontal="center" wrapText="1"/>
    </xf>
    <xf numFmtId="164" fontId="17" fillId="0" borderId="1" xfId="12" applyNumberFormat="1" applyFont="1" applyFill="1" applyBorder="1" applyAlignment="1" applyProtection="1">
      <alignment vertical="center" wrapText="1"/>
      <protection locked="0" hidden="1"/>
    </xf>
    <xf numFmtId="0" fontId="17" fillId="0" borderId="1" xfId="0" applyFont="1" applyFill="1" applyBorder="1" applyAlignment="1">
      <alignment horizontal="center" vertical="top" wrapText="1"/>
    </xf>
    <xf numFmtId="164" fontId="18" fillId="0" borderId="43" xfId="12" applyNumberFormat="1" applyFont="1" applyFill="1" applyBorder="1" applyAlignment="1">
      <alignment horizontal="right" wrapText="1"/>
    </xf>
    <xf numFmtId="0" fontId="18" fillId="0" borderId="2" xfId="0" applyFont="1" applyFill="1" applyBorder="1" applyAlignment="1">
      <alignment horizontal="center" vertical="top" wrapText="1"/>
    </xf>
    <xf numFmtId="164" fontId="18" fillId="0" borderId="41" xfId="12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3" fontId="17" fillId="0" borderId="18" xfId="0" applyNumberFormat="1" applyFont="1" applyFill="1" applyBorder="1" applyAlignment="1">
      <alignment horizontal="right" vertical="top" wrapText="1"/>
    </xf>
    <xf numFmtId="0" fontId="17" fillId="0" borderId="32" xfId="0" applyFont="1" applyFill="1" applyBorder="1" applyAlignment="1">
      <alignment horizontal="justify" vertical="top" wrapText="1"/>
    </xf>
    <xf numFmtId="164" fontId="18" fillId="0" borderId="37" xfId="33" applyNumberFormat="1" applyFont="1" applyFill="1" applyBorder="1" applyAlignment="1">
      <alignment horizontal="right" wrapText="1"/>
    </xf>
    <xf numFmtId="164" fontId="18" fillId="0" borderId="0" xfId="33" applyNumberFormat="1" applyFont="1" applyFill="1" applyBorder="1" applyAlignment="1">
      <alignment horizontal="right" wrapText="1"/>
    </xf>
    <xf numFmtId="164" fontId="17" fillId="0" borderId="1" xfId="33" applyNumberFormat="1" applyFont="1" applyFill="1" applyBorder="1" applyAlignment="1">
      <alignment horizontal="right" vertical="top" wrapText="1"/>
    </xf>
    <xf numFmtId="0" fontId="17" fillId="0" borderId="1" xfId="27" applyFont="1" applyFill="1" applyBorder="1" applyAlignment="1" applyProtection="1">
      <alignment horizontal="center" wrapText="1"/>
      <protection locked="0" hidden="1"/>
    </xf>
    <xf numFmtId="164" fontId="18" fillId="0" borderId="41" xfId="33" applyNumberFormat="1" applyFont="1" applyFill="1" applyBorder="1" applyAlignment="1" applyProtection="1">
      <alignment horizontal="center" wrapText="1"/>
      <protection hidden="1"/>
    </xf>
    <xf numFmtId="0" fontId="17" fillId="0" borderId="0" xfId="27" applyFont="1" applyFill="1" applyBorder="1" applyAlignment="1" applyProtection="1">
      <alignment horizontal="center" wrapText="1"/>
      <protection locked="0" hidden="1"/>
    </xf>
    <xf numFmtId="164" fontId="18" fillId="0" borderId="0" xfId="33" applyNumberFormat="1" applyFont="1" applyFill="1" applyBorder="1" applyAlignment="1" applyProtection="1">
      <alignment horizontal="center" wrapText="1"/>
      <protection hidden="1"/>
    </xf>
    <xf numFmtId="164" fontId="18" fillId="0" borderId="0" xfId="12" applyNumberFormat="1" applyFont="1" applyFill="1" applyBorder="1" applyAlignment="1" applyProtection="1">
      <alignment horizontal="center" wrapText="1"/>
      <protection hidden="1"/>
    </xf>
    <xf numFmtId="164" fontId="18" fillId="0" borderId="0" xfId="12" applyNumberFormat="1" applyFont="1" applyFill="1" applyBorder="1" applyAlignment="1" applyProtection="1">
      <alignment horizontal="center" vertical="center" wrapText="1"/>
      <protection locked="0" hidden="1"/>
    </xf>
    <xf numFmtId="164" fontId="18" fillId="0" borderId="24" xfId="33" applyNumberFormat="1" applyFont="1" applyFill="1" applyBorder="1" applyAlignment="1">
      <alignment horizontal="right" wrapText="1"/>
    </xf>
    <xf numFmtId="164" fontId="18" fillId="0" borderId="41" xfId="33" applyNumberFormat="1" applyFont="1" applyFill="1" applyBorder="1" applyAlignment="1">
      <alignment horizontal="right" wrapText="1"/>
    </xf>
    <xf numFmtId="164" fontId="18" fillId="0" borderId="7" xfId="33" applyNumberFormat="1" applyFont="1" applyFill="1" applyBorder="1" applyAlignment="1">
      <alignment horizontal="right" wrapText="1"/>
    </xf>
    <xf numFmtId="164" fontId="17" fillId="0" borderId="0" xfId="33" applyNumberFormat="1" applyFont="1" applyFill="1" applyAlignment="1">
      <alignment wrapText="1"/>
    </xf>
    <xf numFmtId="164" fontId="17" fillId="0" borderId="1" xfId="33" applyNumberFormat="1" applyFont="1" applyFill="1" applyBorder="1" applyAlignment="1" applyProtection="1">
      <alignment horizontal="center" wrapText="1"/>
      <protection locked="0" hidden="1"/>
    </xf>
    <xf numFmtId="0" fontId="18" fillId="0" borderId="0" xfId="19" applyFont="1" applyFill="1" applyAlignment="1" applyProtection="1">
      <alignment horizontal="center" wrapText="1"/>
      <protection locked="0" hidden="1"/>
    </xf>
    <xf numFmtId="0" fontId="18" fillId="0" borderId="32" xfId="0" applyFont="1" applyFill="1" applyBorder="1" applyAlignment="1">
      <alignment horizontal="center" vertical="top" wrapText="1"/>
    </xf>
    <xf numFmtId="0" fontId="18" fillId="0" borderId="30" xfId="0" applyFont="1" applyFill="1" applyBorder="1" applyAlignment="1">
      <alignment horizontal="center" vertical="top" wrapText="1"/>
    </xf>
    <xf numFmtId="0" fontId="17" fillId="0" borderId="3" xfId="1" applyFont="1" applyFill="1" applyBorder="1" applyAlignment="1" applyProtection="1">
      <alignment horizontal="center" vertical="center" wrapText="1"/>
      <protection locked="0" hidden="1"/>
    </xf>
    <xf numFmtId="0" fontId="17" fillId="0" borderId="0" xfId="1" applyFont="1" applyFill="1" applyBorder="1" applyAlignment="1" applyProtection="1">
      <alignment horizontal="center" wrapText="1"/>
      <protection locked="0" hidden="1"/>
    </xf>
    <xf numFmtId="0" fontId="18" fillId="0" borderId="32" xfId="1" applyFont="1" applyFill="1" applyBorder="1" applyAlignment="1" applyProtection="1">
      <alignment horizontal="center" vertical="center" wrapText="1"/>
      <protection locked="0" hidden="1"/>
    </xf>
    <xf numFmtId="49" fontId="17" fillId="0" borderId="1" xfId="0" applyNumberFormat="1" applyFont="1" applyFill="1" applyBorder="1" applyAlignment="1">
      <alignment horizontal="justify" wrapText="1"/>
    </xf>
    <xf numFmtId="164" fontId="113" fillId="0" borderId="36" xfId="12" applyNumberFormat="1" applyFont="1" applyFill="1" applyBorder="1" applyAlignment="1">
      <alignment horizontal="right" wrapText="1"/>
    </xf>
    <xf numFmtId="0" fontId="17" fillId="0" borderId="36" xfId="0" applyFont="1" applyFill="1" applyBorder="1" applyAlignment="1">
      <alignment horizontal="justify" vertical="center" wrapText="1"/>
    </xf>
    <xf numFmtId="0" fontId="112" fillId="0" borderId="36" xfId="0" applyFont="1" applyFill="1" applyBorder="1" applyAlignment="1">
      <alignment horizontal="justify" wrapText="1"/>
    </xf>
    <xf numFmtId="0" fontId="118" fillId="0" borderId="0" xfId="0" applyFont="1" applyFill="1" applyAlignment="1">
      <alignment horizontal="left" wrapText="1"/>
    </xf>
    <xf numFmtId="164" fontId="18" fillId="0" borderId="36" xfId="33" applyNumberFormat="1" applyFont="1" applyFill="1" applyBorder="1" applyAlignment="1">
      <alignment horizontal="right" wrapText="1"/>
    </xf>
    <xf numFmtId="164" fontId="18" fillId="0" borderId="36" xfId="12" applyNumberFormat="1" applyFont="1" applyFill="1" applyBorder="1" applyAlignment="1">
      <alignment wrapText="1"/>
    </xf>
    <xf numFmtId="0" fontId="17" fillId="0" borderId="24" xfId="0" applyFont="1" applyFill="1" applyBorder="1" applyAlignment="1">
      <alignment horizontal="center" vertical="center" wrapText="1"/>
    </xf>
    <xf numFmtId="3" fontId="17" fillId="0" borderId="24" xfId="0" applyNumberFormat="1" applyFont="1" applyFill="1" applyBorder="1" applyAlignment="1">
      <alignment horizontal="right" vertical="center" wrapText="1"/>
    </xf>
    <xf numFmtId="164" fontId="17" fillId="0" borderId="24" xfId="12" applyNumberFormat="1" applyFont="1" applyFill="1" applyBorder="1" applyAlignment="1" applyProtection="1">
      <alignment horizontal="center" vertical="center" wrapText="1"/>
      <protection locked="0" hidden="1"/>
    </xf>
    <xf numFmtId="0" fontId="18" fillId="0" borderId="32" xfId="0" applyFont="1" applyFill="1" applyBorder="1" applyAlignment="1">
      <alignment horizontal="justify" vertical="center" wrapText="1"/>
    </xf>
    <xf numFmtId="164" fontId="18" fillId="0" borderId="41" xfId="33" applyNumberFormat="1" applyFont="1" applyFill="1" applyBorder="1" applyAlignment="1">
      <alignment horizontal="right" vertical="center" wrapText="1"/>
    </xf>
    <xf numFmtId="164" fontId="18" fillId="0" borderId="42" xfId="12" applyNumberFormat="1" applyFont="1" applyFill="1" applyBorder="1" applyAlignment="1">
      <alignment horizontal="right" vertical="center" wrapText="1"/>
    </xf>
    <xf numFmtId="164" fontId="18" fillId="0" borderId="43" xfId="12" applyNumberFormat="1" applyFont="1" applyFill="1" applyBorder="1" applyAlignment="1">
      <alignment horizontal="right" vertical="center" wrapText="1"/>
    </xf>
    <xf numFmtId="0" fontId="112" fillId="0" borderId="7" xfId="19" applyFont="1" applyFill="1" applyBorder="1" applyAlignment="1" applyProtection="1">
      <alignment horizontal="center" vertical="center" wrapText="1"/>
      <protection locked="0" hidden="1"/>
    </xf>
    <xf numFmtId="164" fontId="112" fillId="0" borderId="7" xfId="12" applyNumberFormat="1" applyFont="1" applyFill="1" applyBorder="1" applyAlignment="1" applyProtection="1">
      <alignment horizontal="center" vertical="center" wrapText="1"/>
      <protection locked="0" hidden="1"/>
    </xf>
    <xf numFmtId="0" fontId="113" fillId="0" borderId="0" xfId="0" applyFont="1" applyFill="1" applyBorder="1" applyAlignment="1">
      <alignment vertical="center" wrapText="1"/>
    </xf>
    <xf numFmtId="0" fontId="112" fillId="0" borderId="2" xfId="0" applyFont="1" applyFill="1" applyBorder="1" applyAlignment="1">
      <alignment horizontal="justify" vertical="top" wrapText="1"/>
    </xf>
    <xf numFmtId="164" fontId="113" fillId="0" borderId="2" xfId="12" applyNumberFormat="1" applyFont="1" applyFill="1" applyBorder="1" applyAlignment="1">
      <alignment horizontal="right" vertical="top" wrapText="1"/>
    </xf>
    <xf numFmtId="0" fontId="112" fillId="0" borderId="38" xfId="0" applyFont="1" applyFill="1" applyBorder="1" applyAlignment="1">
      <alignment horizontal="justify" vertical="top" wrapText="1"/>
    </xf>
    <xf numFmtId="164" fontId="112" fillId="0" borderId="2" xfId="12" applyNumberFormat="1" applyFont="1" applyFill="1" applyBorder="1" applyAlignment="1">
      <alignment horizontal="right" vertical="top" wrapText="1"/>
    </xf>
    <xf numFmtId="0" fontId="113" fillId="0" borderId="51" xfId="0" applyFont="1" applyFill="1" applyBorder="1" applyAlignment="1">
      <alignment horizontal="justify" wrapText="1"/>
    </xf>
    <xf numFmtId="0" fontId="113" fillId="0" borderId="27" xfId="0" applyFont="1" applyFill="1" applyBorder="1" applyAlignment="1">
      <alignment horizontal="justify" wrapText="1"/>
    </xf>
    <xf numFmtId="164" fontId="112" fillId="0" borderId="26" xfId="12" applyNumberFormat="1" applyFont="1" applyFill="1" applyBorder="1" applyAlignment="1">
      <alignment horizontal="right" wrapText="1"/>
    </xf>
    <xf numFmtId="164" fontId="112" fillId="0" borderId="19" xfId="12" applyNumberFormat="1" applyFont="1" applyFill="1" applyBorder="1" applyAlignment="1">
      <alignment horizontal="right" wrapText="1"/>
    </xf>
    <xf numFmtId="0" fontId="102" fillId="0" borderId="0" xfId="0" applyFont="1" applyFill="1" applyAlignment="1" applyProtection="1">
      <alignment horizontal="center" vertical="center" wrapText="1"/>
      <protection locked="0" hidden="1"/>
    </xf>
    <xf numFmtId="0" fontId="102" fillId="0" borderId="7" xfId="0" applyFont="1" applyFill="1" applyBorder="1" applyAlignment="1">
      <alignment horizontal="center" vertical="center" wrapText="1"/>
    </xf>
    <xf numFmtId="164" fontId="102" fillId="0" borderId="7" xfId="12" applyNumberFormat="1" applyFont="1" applyFill="1" applyBorder="1" applyAlignment="1" applyProtection="1">
      <alignment horizontal="center" vertical="center" wrapText="1"/>
      <protection locked="0" hidden="1"/>
    </xf>
    <xf numFmtId="0" fontId="103" fillId="0" borderId="0" xfId="0" applyFont="1" applyFill="1" applyBorder="1" applyAlignment="1">
      <alignment vertical="center" wrapText="1"/>
    </xf>
    <xf numFmtId="164" fontId="102" fillId="0" borderId="1" xfId="33" applyNumberFormat="1" applyFont="1" applyFill="1" applyBorder="1" applyAlignment="1" applyProtection="1">
      <alignment horizontal="right" wrapText="1"/>
      <protection locked="0" hidden="1"/>
    </xf>
    <xf numFmtId="164" fontId="102" fillId="0" borderId="1" xfId="12" applyNumberFormat="1" applyFont="1" applyFill="1" applyBorder="1" applyAlignment="1" applyProtection="1">
      <alignment horizontal="right" wrapText="1"/>
      <protection locked="0" hidden="1"/>
    </xf>
    <xf numFmtId="164" fontId="102" fillId="0" borderId="1" xfId="33" applyNumberFormat="1" applyFont="1" applyFill="1" applyBorder="1" applyAlignment="1">
      <alignment horizontal="right" wrapText="1"/>
    </xf>
    <xf numFmtId="0" fontId="103" fillId="0" borderId="32" xfId="0" applyFont="1" applyFill="1" applyBorder="1" applyAlignment="1">
      <alignment horizontal="justify" vertical="top" wrapText="1"/>
    </xf>
    <xf numFmtId="164" fontId="103" fillId="0" borderId="1" xfId="33" applyNumberFormat="1" applyFont="1" applyFill="1" applyBorder="1" applyAlignment="1" applyProtection="1">
      <alignment horizontal="right" wrapText="1"/>
      <protection locked="0" hidden="1"/>
    </xf>
    <xf numFmtId="164" fontId="103" fillId="0" borderId="1" xfId="12" applyNumberFormat="1" applyFont="1" applyFill="1" applyBorder="1" applyAlignment="1" applyProtection="1">
      <alignment horizontal="right" vertical="top" wrapText="1"/>
      <protection locked="0" hidden="1"/>
    </xf>
    <xf numFmtId="0" fontId="103" fillId="0" borderId="32" xfId="0" applyFont="1" applyFill="1" applyBorder="1" applyAlignment="1">
      <alignment vertical="center" wrapText="1"/>
    </xf>
    <xf numFmtId="164" fontId="103" fillId="0" borderId="1" xfId="33" applyNumberFormat="1" applyFont="1" applyFill="1" applyBorder="1" applyAlignment="1">
      <alignment horizontal="right" vertical="center" wrapText="1"/>
    </xf>
    <xf numFmtId="164" fontId="103" fillId="0" borderId="1" xfId="12" applyNumberFormat="1" applyFont="1" applyFill="1" applyBorder="1" applyAlignment="1">
      <alignment horizontal="right" vertical="center" wrapText="1"/>
    </xf>
    <xf numFmtId="0" fontId="103" fillId="0" borderId="32" xfId="0" applyFont="1" applyFill="1" applyBorder="1" applyAlignment="1">
      <alignment wrapText="1"/>
    </xf>
    <xf numFmtId="164" fontId="103" fillId="0" borderId="1" xfId="33" applyNumberFormat="1" applyFont="1" applyFill="1" applyBorder="1" applyAlignment="1">
      <alignment horizontal="right" wrapText="1"/>
    </xf>
    <xf numFmtId="0" fontId="102" fillId="0" borderId="32" xfId="0" applyFont="1" applyFill="1" applyBorder="1" applyAlignment="1">
      <alignment wrapText="1"/>
    </xf>
    <xf numFmtId="164" fontId="103" fillId="0" borderId="1" xfId="33" applyNumberFormat="1" applyFont="1" applyFill="1" applyBorder="1" applyAlignment="1">
      <alignment horizontal="right" vertical="top" wrapText="1"/>
    </xf>
    <xf numFmtId="164" fontId="103" fillId="0" borderId="24" xfId="33" applyNumberFormat="1" applyFont="1" applyFill="1" applyBorder="1" applyAlignment="1">
      <alignment horizontal="right" vertical="center" wrapText="1"/>
    </xf>
    <xf numFmtId="164" fontId="103" fillId="0" borderId="24" xfId="12" applyNumberFormat="1" applyFont="1" applyFill="1" applyBorder="1" applyAlignment="1">
      <alignment horizontal="right" vertical="center" wrapText="1"/>
    </xf>
    <xf numFmtId="164" fontId="18" fillId="0" borderId="13" xfId="12" applyNumberFormat="1" applyFont="1" applyFill="1" applyBorder="1" applyAlignment="1">
      <alignment horizontal="right" wrapText="1"/>
    </xf>
    <xf numFmtId="49" fontId="29" fillId="16" borderId="7" xfId="0" quotePrefix="1" applyNumberFormat="1" applyFont="1" applyFill="1" applyBorder="1" applyAlignment="1" applyProtection="1">
      <alignment horizontal="center" vertical="center"/>
      <protection locked="0" hidden="1"/>
    </xf>
    <xf numFmtId="0" fontId="29" fillId="16" borderId="22" xfId="0" quotePrefix="1" applyFont="1" applyFill="1" applyBorder="1" applyAlignment="1" applyProtection="1">
      <alignment vertical="center" wrapText="1"/>
      <protection locked="0" hidden="1"/>
    </xf>
    <xf numFmtId="164" fontId="119" fillId="16" borderId="7" xfId="12" applyNumberFormat="1" applyFont="1" applyFill="1" applyBorder="1" applyAlignment="1" applyProtection="1">
      <alignment horizontal="right" vertical="center"/>
      <protection locked="0" hidden="1"/>
    </xf>
    <xf numFmtId="164" fontId="29" fillId="16" borderId="8" xfId="12" applyNumberFormat="1" applyFont="1" applyFill="1" applyBorder="1" applyAlignment="1" applyProtection="1">
      <alignment horizontal="right" vertical="center"/>
      <protection hidden="1"/>
    </xf>
    <xf numFmtId="164" fontId="29" fillId="16" borderId="11" xfId="12" applyNumberFormat="1" applyFont="1" applyFill="1" applyBorder="1" applyAlignment="1" applyProtection="1">
      <alignment horizontal="right" vertical="center"/>
      <protection hidden="1"/>
    </xf>
    <xf numFmtId="164" fontId="29" fillId="16" borderId="7" xfId="12" applyNumberFormat="1" applyFont="1" applyFill="1" applyBorder="1" applyAlignment="1" applyProtection="1">
      <alignment horizontal="right" vertical="center"/>
      <protection hidden="1"/>
    </xf>
    <xf numFmtId="0" fontId="119" fillId="16" borderId="0" xfId="0" applyFont="1" applyFill="1" applyBorder="1" applyProtection="1">
      <protection locked="0" hidden="1"/>
    </xf>
    <xf numFmtId="49" fontId="119" fillId="16" borderId="1" xfId="0" quotePrefix="1" applyNumberFormat="1" applyFont="1" applyFill="1" applyBorder="1" applyAlignment="1" applyProtection="1">
      <alignment horizontal="center" vertical="center"/>
      <protection locked="0" hidden="1"/>
    </xf>
    <xf numFmtId="0" fontId="119" fillId="16" borderId="1" xfId="0" applyFont="1" applyFill="1" applyBorder="1" applyAlignment="1" applyProtection="1">
      <alignment vertical="center" wrapText="1"/>
      <protection locked="0" hidden="1"/>
    </xf>
    <xf numFmtId="164" fontId="119" fillId="16" borderId="1" xfId="12" applyNumberFormat="1" applyFont="1" applyFill="1" applyBorder="1" applyAlignment="1" applyProtection="1">
      <alignment horizontal="right" vertical="center"/>
      <protection hidden="1"/>
    </xf>
    <xf numFmtId="164" fontId="29" fillId="16" borderId="1" xfId="12" applyNumberFormat="1" applyFont="1" applyFill="1" applyBorder="1" applyAlignment="1" applyProtection="1">
      <alignment horizontal="right" vertical="center"/>
      <protection hidden="1"/>
    </xf>
    <xf numFmtId="164" fontId="119" fillId="16" borderId="1" xfId="12" applyNumberFormat="1" applyFont="1" applyFill="1" applyBorder="1" applyAlignment="1" applyProtection="1">
      <alignment horizontal="right" vertical="center"/>
      <protection locked="0" hidden="1"/>
    </xf>
    <xf numFmtId="164" fontId="119" fillId="16" borderId="0" xfId="12" applyNumberFormat="1" applyFont="1" applyFill="1" applyBorder="1" applyAlignment="1" applyProtection="1">
      <alignment horizontal="right" vertical="center"/>
      <protection hidden="1"/>
    </xf>
    <xf numFmtId="164" fontId="119" fillId="16" borderId="1" xfId="12" applyNumberFormat="1" applyFont="1" applyFill="1" applyBorder="1" applyAlignment="1" applyProtection="1">
      <protection locked="0" hidden="1"/>
    </xf>
    <xf numFmtId="49" fontId="29" fillId="16" borderId="4" xfId="0" quotePrefix="1" applyNumberFormat="1" applyFont="1" applyFill="1" applyBorder="1" applyAlignment="1" applyProtection="1">
      <alignment horizontal="center" vertical="center"/>
      <protection locked="0" hidden="1"/>
    </xf>
    <xf numFmtId="0" fontId="29" fillId="16" borderId="11" xfId="0" applyFont="1" applyFill="1" applyBorder="1" applyAlignment="1" applyProtection="1">
      <alignment vertical="center" wrapText="1"/>
      <protection locked="0" hidden="1"/>
    </xf>
    <xf numFmtId="0" fontId="29" fillId="16" borderId="8" xfId="0" applyFont="1" applyFill="1" applyBorder="1" applyAlignment="1" applyProtection="1">
      <alignment vertical="center" wrapText="1"/>
      <protection locked="0" hidden="1"/>
    </xf>
    <xf numFmtId="164" fontId="29" fillId="16" borderId="7" xfId="12" applyNumberFormat="1" applyFont="1" applyFill="1" applyBorder="1" applyAlignment="1" applyProtection="1">
      <alignment horizontal="right" vertical="center"/>
      <protection locked="0" hidden="1"/>
    </xf>
    <xf numFmtId="49" fontId="29" fillId="16" borderId="7" xfId="18" applyNumberFormat="1" applyFont="1" applyFill="1" applyBorder="1" applyAlignment="1" applyProtection="1">
      <alignment horizontal="center" vertical="center"/>
      <protection locked="0" hidden="1"/>
    </xf>
    <xf numFmtId="0" fontId="29" fillId="16" borderId="8" xfId="18" applyFont="1" applyFill="1" applyBorder="1" applyAlignment="1" applyProtection="1">
      <alignment vertical="center" wrapText="1"/>
      <protection locked="0" hidden="1"/>
    </xf>
    <xf numFmtId="0" fontId="19" fillId="0" borderId="0" xfId="16" applyFont="1" applyFill="1" applyBorder="1" applyAlignment="1">
      <alignment vertical="center"/>
    </xf>
    <xf numFmtId="164" fontId="19" fillId="0" borderId="0" xfId="12" applyNumberFormat="1" applyFont="1" applyFill="1" applyBorder="1" applyAlignment="1">
      <alignment horizontal="center" vertical="center"/>
    </xf>
    <xf numFmtId="0" fontId="19" fillId="0" borderId="1" xfId="0" applyFont="1" applyFill="1" applyBorder="1"/>
    <xf numFmtId="164" fontId="20" fillId="0" borderId="39" xfId="0" applyNumberFormat="1" applyFont="1" applyFill="1" applyBorder="1" applyAlignment="1">
      <alignment horizontal="right" vertical="center"/>
    </xf>
    <xf numFmtId="0" fontId="20" fillId="0" borderId="24" xfId="0" applyFont="1" applyFill="1" applyBorder="1" applyAlignment="1" applyProtection="1">
      <alignment vertical="center"/>
      <protection locked="0" hidden="1"/>
    </xf>
    <xf numFmtId="164" fontId="19" fillId="0" borderId="39" xfId="12" applyNumberFormat="1" applyFont="1" applyFill="1" applyBorder="1" applyAlignment="1" applyProtection="1">
      <alignment vertical="center"/>
      <protection hidden="1"/>
    </xf>
    <xf numFmtId="1" fontId="28" fillId="0" borderId="24" xfId="0" applyNumberFormat="1" applyFont="1" applyFill="1" applyBorder="1" applyAlignment="1" applyProtection="1">
      <alignment horizontal="center" vertical="center"/>
      <protection locked="0" hidden="1"/>
    </xf>
    <xf numFmtId="0" fontId="28" fillId="0" borderId="23" xfId="0" applyFont="1" applyFill="1" applyBorder="1" applyAlignment="1" applyProtection="1">
      <alignment vertical="center" wrapText="1"/>
      <protection locked="0" hidden="1"/>
    </xf>
    <xf numFmtId="0" fontId="27" fillId="0" borderId="1" xfId="0" applyFont="1" applyFill="1" applyBorder="1" applyAlignment="1" applyProtection="1">
      <alignment vertical="center" wrapText="1"/>
      <protection locked="0" hidden="1"/>
    </xf>
    <xf numFmtId="164" fontId="28" fillId="0" borderId="41" xfId="33" applyNumberFormat="1" applyFont="1" applyFill="1" applyBorder="1" applyAlignment="1" applyProtection="1">
      <alignment horizontal="center" vertical="center"/>
      <protection hidden="1"/>
    </xf>
    <xf numFmtId="164" fontId="27" fillId="0" borderId="23" xfId="33" applyNumberFormat="1" applyFont="1" applyFill="1" applyBorder="1" applyAlignment="1" applyProtection="1">
      <alignment horizontal="center" vertical="center"/>
      <protection locked="0" hidden="1"/>
    </xf>
    <xf numFmtId="164" fontId="27" fillId="0" borderId="23" xfId="33" applyNumberFormat="1" applyFont="1" applyFill="1" applyBorder="1" applyAlignment="1" applyProtection="1">
      <alignment vertical="center"/>
      <protection locked="0" hidden="1"/>
    </xf>
    <xf numFmtId="164" fontId="20" fillId="0" borderId="2" xfId="33" applyNumberFormat="1" applyFont="1" applyFill="1" applyBorder="1" applyAlignment="1">
      <alignment horizontal="center"/>
    </xf>
    <xf numFmtId="164" fontId="20" fillId="0" borderId="2" xfId="0" applyNumberFormat="1" applyFont="1" applyFill="1" applyBorder="1" applyAlignment="1">
      <alignment horizontal="center"/>
    </xf>
    <xf numFmtId="164" fontId="20" fillId="0" borderId="23" xfId="33" applyNumberFormat="1" applyFont="1" applyFill="1" applyBorder="1" applyAlignment="1">
      <alignment horizontal="center"/>
    </xf>
    <xf numFmtId="3" fontId="20" fillId="0" borderId="23" xfId="0" applyNumberFormat="1" applyFont="1" applyFill="1" applyBorder="1"/>
    <xf numFmtId="164" fontId="20" fillId="0" borderId="23" xfId="0" applyNumberFormat="1" applyFont="1" applyFill="1" applyBorder="1" applyAlignment="1">
      <alignment horizontal="center"/>
    </xf>
    <xf numFmtId="0" fontId="7" fillId="0" borderId="24" xfId="0" applyFont="1" applyFill="1" applyBorder="1"/>
    <xf numFmtId="164" fontId="19" fillId="0" borderId="37" xfId="12" applyNumberFormat="1" applyFont="1" applyFill="1" applyBorder="1" applyAlignment="1" applyProtection="1">
      <alignment vertical="center"/>
      <protection locked="0" hidden="1"/>
    </xf>
    <xf numFmtId="164" fontId="19" fillId="0" borderId="12" xfId="12" applyNumberFormat="1" applyFont="1" applyFill="1" applyBorder="1" applyAlignment="1" applyProtection="1">
      <alignment vertical="center"/>
      <protection hidden="1"/>
    </xf>
    <xf numFmtId="164" fontId="19" fillId="0" borderId="36" xfId="12" applyNumberFormat="1" applyFont="1" applyFill="1" applyBorder="1" applyAlignment="1" applyProtection="1">
      <alignment vertical="center"/>
      <protection hidden="1"/>
    </xf>
    <xf numFmtId="164" fontId="20" fillId="0" borderId="39" xfId="12" applyNumberFormat="1" applyFont="1" applyFill="1" applyBorder="1" applyAlignment="1" applyProtection="1">
      <alignment vertical="center"/>
      <protection hidden="1"/>
    </xf>
    <xf numFmtId="164" fontId="20" fillId="0" borderId="36" xfId="12" applyNumberFormat="1" applyFont="1" applyFill="1" applyBorder="1" applyAlignment="1" applyProtection="1">
      <alignment vertical="center"/>
      <protection hidden="1"/>
    </xf>
    <xf numFmtId="164" fontId="17" fillId="0" borderId="36" xfId="12" applyNumberFormat="1" applyFont="1" applyFill="1" applyBorder="1" applyAlignment="1" applyProtection="1">
      <alignment horizontal="right" vertical="center"/>
      <protection locked="0" hidden="1"/>
    </xf>
    <xf numFmtId="164" fontId="18" fillId="0" borderId="58" xfId="12" applyNumberFormat="1" applyFont="1" applyFill="1" applyBorder="1" applyAlignment="1" applyProtection="1">
      <alignment horizontal="right" vertical="center"/>
      <protection hidden="1"/>
    </xf>
    <xf numFmtId="164" fontId="17" fillId="0" borderId="36" xfId="12" applyNumberFormat="1" applyFont="1" applyFill="1" applyBorder="1" applyAlignment="1" applyProtection="1">
      <alignment horizontal="right" vertical="center"/>
      <protection hidden="1"/>
    </xf>
    <xf numFmtId="164" fontId="17" fillId="0" borderId="36" xfId="12" applyNumberFormat="1" applyFont="1" applyFill="1" applyBorder="1" applyAlignment="1" applyProtection="1">
      <alignment vertical="center"/>
      <protection locked="0" hidden="1"/>
    </xf>
    <xf numFmtId="164" fontId="18" fillId="0" borderId="61" xfId="12" applyNumberFormat="1" applyFont="1" applyFill="1" applyBorder="1" applyAlignment="1" applyProtection="1">
      <alignment horizontal="right" vertical="center"/>
      <protection hidden="1"/>
    </xf>
    <xf numFmtId="164" fontId="18" fillId="0" borderId="22" xfId="12" applyNumberFormat="1" applyFont="1" applyFill="1" applyBorder="1" applyAlignment="1" applyProtection="1">
      <alignment horizontal="right" vertical="center"/>
      <protection hidden="1"/>
    </xf>
    <xf numFmtId="0" fontId="18" fillId="0" borderId="1" xfId="19" applyFont="1" applyFill="1" applyBorder="1" applyAlignment="1" applyProtection="1">
      <alignment vertical="center" wrapText="1"/>
      <protection locked="0" hidden="1"/>
    </xf>
    <xf numFmtId="164" fontId="19" fillId="0" borderId="6" xfId="12" applyNumberFormat="1" applyFont="1" applyFill="1" applyBorder="1" applyAlignment="1" applyProtection="1">
      <alignment vertical="center"/>
      <protection locked="0" hidden="1"/>
    </xf>
    <xf numFmtId="164" fontId="20" fillId="0" borderId="37" xfId="12" applyNumberFormat="1" applyFont="1" applyFill="1" applyBorder="1"/>
    <xf numFmtId="164" fontId="19" fillId="0" borderId="70" xfId="12" applyNumberFormat="1" applyFont="1" applyFill="1" applyBorder="1" applyAlignment="1" applyProtection="1">
      <alignment vertical="center"/>
      <protection hidden="1"/>
    </xf>
    <xf numFmtId="164" fontId="20" fillId="0" borderId="8" xfId="12" applyNumberFormat="1" applyFont="1" applyFill="1" applyBorder="1" applyAlignment="1" applyProtection="1">
      <alignment vertical="center"/>
      <protection locked="0" hidden="1"/>
    </xf>
    <xf numFmtId="164" fontId="19" fillId="0" borderId="24" xfId="12" applyNumberFormat="1" applyFont="1" applyFill="1" applyBorder="1" applyAlignment="1" applyProtection="1">
      <alignment vertical="center" wrapText="1"/>
      <protection locked="0" hidden="1"/>
    </xf>
    <xf numFmtId="43" fontId="19" fillId="0" borderId="21" xfId="12" applyFont="1" applyFill="1" applyBorder="1" applyAlignment="1" applyProtection="1">
      <alignment vertical="center"/>
      <protection locked="0" hidden="1"/>
    </xf>
    <xf numFmtId="164" fontId="19" fillId="0" borderId="37" xfId="12" applyNumberFormat="1" applyFont="1" applyFill="1" applyBorder="1" applyAlignment="1" applyProtection="1">
      <alignment vertical="center"/>
      <protection hidden="1"/>
    </xf>
    <xf numFmtId="1" fontId="101" fillId="0" borderId="0" xfId="24" applyNumberFormat="1" applyFont="1" applyFill="1" applyBorder="1" applyAlignment="1">
      <alignment horizontal="center" vertical="center"/>
    </xf>
    <xf numFmtId="0" fontId="101" fillId="0" borderId="0" xfId="24" applyFont="1" applyFill="1" applyBorder="1" applyAlignment="1">
      <alignment wrapText="1"/>
    </xf>
    <xf numFmtId="164" fontId="103" fillId="0" borderId="36" xfId="12" applyNumberFormat="1" applyFont="1" applyFill="1" applyBorder="1" applyAlignment="1" applyProtection="1">
      <alignment vertical="center"/>
      <protection locked="0" hidden="1"/>
    </xf>
    <xf numFmtId="164" fontId="102" fillId="0" borderId="24" xfId="12" applyNumberFormat="1" applyFont="1" applyFill="1" applyBorder="1" applyAlignment="1" applyProtection="1">
      <alignment vertical="center"/>
      <protection locked="0" hidden="1"/>
    </xf>
    <xf numFmtId="164" fontId="15" fillId="0" borderId="36" xfId="12" applyNumberFormat="1" applyFont="1" applyFill="1" applyBorder="1" applyAlignment="1" applyProtection="1">
      <alignment vertical="center"/>
      <protection locked="0" hidden="1"/>
    </xf>
    <xf numFmtId="164" fontId="16" fillId="0" borderId="8" xfId="12" applyNumberFormat="1" applyFont="1" applyFill="1" applyBorder="1" applyAlignment="1" applyProtection="1">
      <alignment vertical="center"/>
      <protection hidden="1"/>
    </xf>
    <xf numFmtId="0" fontId="16" fillId="0" borderId="1" xfId="19" applyFont="1" applyFill="1" applyBorder="1" applyAlignment="1" applyProtection="1">
      <alignment vertical="center" wrapText="1"/>
      <protection locked="0" hidden="1"/>
    </xf>
    <xf numFmtId="164" fontId="19" fillId="0" borderId="24" xfId="33" applyNumberFormat="1" applyFont="1" applyFill="1" applyBorder="1" applyAlignment="1" applyProtection="1">
      <alignment vertical="center"/>
      <protection locked="0" hidden="1"/>
    </xf>
    <xf numFmtId="164" fontId="17" fillId="0" borderId="37" xfId="25" applyNumberFormat="1" applyFont="1" applyFill="1" applyBorder="1" applyAlignment="1" applyProtection="1">
      <alignment horizontal="right" vertical="center"/>
      <protection locked="0" hidden="1"/>
    </xf>
    <xf numFmtId="164" fontId="18" fillId="0" borderId="58" xfId="25" applyNumberFormat="1" applyFont="1" applyFill="1" applyBorder="1" applyAlignment="1" applyProtection="1">
      <alignment horizontal="right" vertical="center"/>
      <protection hidden="1"/>
    </xf>
    <xf numFmtId="164" fontId="17" fillId="0" borderId="36" xfId="25" applyNumberFormat="1" applyFont="1" applyFill="1" applyBorder="1" applyAlignment="1" applyProtection="1">
      <alignment horizontal="right" vertical="center"/>
      <protection locked="0" hidden="1"/>
    </xf>
    <xf numFmtId="0" fontId="17" fillId="0" borderId="23" xfId="0" applyFont="1" applyFill="1" applyBorder="1" applyAlignment="1" applyProtection="1">
      <alignment vertical="center" wrapText="1"/>
      <protection locked="0" hidden="1"/>
    </xf>
    <xf numFmtId="164" fontId="100" fillId="0" borderId="11" xfId="12" applyNumberFormat="1" applyFont="1" applyFill="1" applyBorder="1" applyAlignment="1" applyProtection="1">
      <alignment vertical="center"/>
      <protection hidden="1"/>
    </xf>
    <xf numFmtId="164" fontId="101" fillId="0" borderId="37" xfId="12" applyNumberFormat="1" applyFont="1" applyFill="1" applyBorder="1" applyAlignment="1" applyProtection="1">
      <alignment vertical="center"/>
      <protection locked="0" hidden="1"/>
    </xf>
    <xf numFmtId="164" fontId="103" fillId="0" borderId="37" xfId="12" applyNumberFormat="1" applyFont="1" applyFill="1" applyBorder="1" applyAlignment="1" applyProtection="1">
      <alignment vertical="center"/>
      <protection locked="0" hidden="1"/>
    </xf>
    <xf numFmtId="1" fontId="103" fillId="0" borderId="1" xfId="19" applyNumberFormat="1" applyFont="1" applyFill="1" applyBorder="1" applyAlignment="1" applyProtection="1">
      <alignment horizontal="center" vertical="center"/>
      <protection locked="0" hidden="1"/>
    </xf>
    <xf numFmtId="0" fontId="102" fillId="0" borderId="32" xfId="19" applyFont="1" applyFill="1" applyBorder="1" applyAlignment="1" applyProtection="1">
      <alignment vertical="center" wrapText="1"/>
      <protection locked="0" hidden="1"/>
    </xf>
    <xf numFmtId="164" fontId="102" fillId="0" borderId="24" xfId="12" applyNumberFormat="1" applyFont="1" applyFill="1" applyBorder="1" applyAlignment="1" applyProtection="1">
      <alignment vertical="center"/>
      <protection hidden="1"/>
    </xf>
    <xf numFmtId="0" fontId="19" fillId="0" borderId="3" xfId="19" applyFont="1" applyFill="1" applyBorder="1" applyAlignment="1" applyProtection="1">
      <alignment horizontal="center" vertical="center" wrapText="1"/>
      <protection locked="0" hidden="1"/>
    </xf>
    <xf numFmtId="0" fontId="19" fillId="0" borderId="0" xfId="19" applyFont="1" applyFill="1" applyBorder="1" applyAlignment="1" applyProtection="1">
      <alignment horizontal="center" vertical="center" wrapText="1"/>
      <protection locked="0" hidden="1"/>
    </xf>
    <xf numFmtId="164" fontId="19" fillId="0" borderId="3" xfId="12" applyNumberFormat="1" applyFont="1" applyFill="1" applyBorder="1" applyAlignment="1" applyProtection="1">
      <alignment horizontal="center" wrapText="1"/>
      <protection locked="0" hidden="1"/>
    </xf>
    <xf numFmtId="164" fontId="19" fillId="0" borderId="0" xfId="12" applyNumberFormat="1" applyFont="1" applyFill="1" applyBorder="1" applyAlignment="1" applyProtection="1">
      <alignment horizontal="center" wrapText="1"/>
      <protection locked="0" hidden="1"/>
    </xf>
    <xf numFmtId="164" fontId="19" fillId="0" borderId="11" xfId="12" applyNumberFormat="1" applyFont="1" applyFill="1" applyBorder="1" applyAlignment="1" applyProtection="1">
      <alignment horizontal="center" wrapText="1"/>
      <protection locked="0" hidden="1"/>
    </xf>
    <xf numFmtId="164" fontId="19" fillId="0" borderId="8" xfId="12" applyNumberFormat="1" applyFont="1" applyFill="1" applyBorder="1" applyAlignment="1" applyProtection="1">
      <alignment horizontal="center" wrapText="1"/>
      <protection locked="0" hidden="1"/>
    </xf>
    <xf numFmtId="0" fontId="19" fillId="0" borderId="2" xfId="19" applyFont="1" applyFill="1" applyBorder="1" applyAlignment="1" applyProtection="1">
      <alignment horizontal="center" vertical="center" wrapText="1"/>
      <protection locked="0" hidden="1"/>
    </xf>
    <xf numFmtId="164" fontId="19" fillId="0" borderId="2" xfId="12" applyNumberFormat="1" applyFont="1" applyFill="1" applyBorder="1" applyAlignment="1" applyProtection="1">
      <alignment horizontal="center" wrapText="1"/>
      <protection locked="0" hidden="1"/>
    </xf>
    <xf numFmtId="164" fontId="19" fillId="0" borderId="11" xfId="33" applyNumberFormat="1" applyFont="1" applyFill="1" applyBorder="1" applyAlignment="1" applyProtection="1">
      <alignment horizontal="center" wrapText="1"/>
      <protection locked="0" hidden="1"/>
    </xf>
    <xf numFmtId="164" fontId="19" fillId="0" borderId="8" xfId="33" applyNumberFormat="1" applyFont="1" applyFill="1" applyBorder="1" applyAlignment="1" applyProtection="1">
      <alignment horizontal="center" wrapText="1"/>
      <protection locked="0" hidden="1"/>
    </xf>
    <xf numFmtId="164" fontId="19" fillId="0" borderId="11" xfId="19" applyNumberFormat="1" applyFont="1" applyFill="1" applyBorder="1" applyAlignment="1" applyProtection="1">
      <alignment horizontal="center" wrapText="1"/>
      <protection locked="0" hidden="1"/>
    </xf>
    <xf numFmtId="0" fontId="19" fillId="0" borderId="88" xfId="19" applyFont="1" applyFill="1" applyBorder="1" applyAlignment="1" applyProtection="1">
      <alignment horizontal="center" vertical="center" wrapText="1"/>
      <protection locked="0" hidden="1"/>
    </xf>
    <xf numFmtId="0" fontId="19" fillId="0" borderId="23" xfId="19" applyFont="1" applyFill="1" applyBorder="1" applyAlignment="1" applyProtection="1">
      <alignment horizontal="center" vertical="center" wrapText="1"/>
      <protection locked="0" hidden="1"/>
    </xf>
    <xf numFmtId="164" fontId="19" fillId="0" borderId="58" xfId="33" applyNumberFormat="1" applyFont="1" applyFill="1" applyBorder="1" applyAlignment="1" applyProtection="1">
      <alignment horizontal="center" wrapText="1"/>
      <protection locked="0" hidden="1"/>
    </xf>
    <xf numFmtId="164" fontId="18" fillId="0" borderId="24" xfId="33" applyNumberFormat="1" applyFont="1" applyFill="1" applyBorder="1" applyAlignment="1" applyProtection="1">
      <alignment vertical="center"/>
      <protection hidden="1"/>
    </xf>
    <xf numFmtId="164" fontId="19" fillId="0" borderId="24" xfId="33" applyNumberFormat="1" applyFont="1" applyFill="1" applyBorder="1" applyAlignment="1" applyProtection="1">
      <alignment vertical="center"/>
      <protection hidden="1"/>
    </xf>
    <xf numFmtId="0" fontId="15" fillId="0" borderId="24" xfId="0" applyFont="1" applyFill="1" applyBorder="1" applyAlignment="1" applyProtection="1">
      <alignment vertical="center"/>
      <protection locked="0" hidden="1"/>
    </xf>
    <xf numFmtId="0" fontId="15" fillId="0" borderId="37" xfId="0" applyFont="1" applyFill="1" applyBorder="1" applyAlignment="1" applyProtection="1">
      <alignment vertical="center"/>
      <protection locked="0" hidden="1"/>
    </xf>
    <xf numFmtId="0" fontId="15" fillId="0" borderId="1" xfId="0" applyFont="1" applyFill="1" applyBorder="1" applyAlignment="1">
      <alignment vertical="center"/>
    </xf>
    <xf numFmtId="164" fontId="18" fillId="0" borderId="14" xfId="12" applyNumberFormat="1" applyFont="1" applyFill="1" applyBorder="1" applyAlignment="1" applyProtection="1">
      <alignment horizontal="center" wrapText="1"/>
      <protection locked="0" hidden="1"/>
    </xf>
    <xf numFmtId="164" fontId="18" fillId="0" borderId="24" xfId="12" applyNumberFormat="1" applyFont="1" applyFill="1" applyBorder="1" applyAlignment="1" applyProtection="1">
      <alignment horizontal="center" wrapText="1"/>
      <protection locked="0" hidden="1"/>
    </xf>
    <xf numFmtId="1" fontId="18" fillId="0" borderId="24" xfId="0" applyNumberFormat="1" applyFont="1" applyFill="1" applyBorder="1" applyAlignment="1" applyProtection="1">
      <alignment horizontal="center" vertical="center"/>
      <protection locked="0" hidden="1"/>
    </xf>
    <xf numFmtId="0" fontId="18" fillId="0" borderId="24" xfId="0" applyFont="1" applyFill="1" applyBorder="1" applyAlignment="1" applyProtection="1">
      <alignment vertical="center" wrapText="1"/>
      <protection locked="0" hidden="1"/>
    </xf>
    <xf numFmtId="164" fontId="18" fillId="0" borderId="14" xfId="12" applyNumberFormat="1" applyFont="1" applyFill="1" applyBorder="1" applyAlignment="1" applyProtection="1">
      <alignment vertical="center"/>
      <protection hidden="1"/>
    </xf>
    <xf numFmtId="164" fontId="18" fillId="0" borderId="24" xfId="12" applyNumberFormat="1" applyFont="1" applyFill="1" applyBorder="1" applyAlignment="1" applyProtection="1">
      <alignment vertical="center"/>
      <protection hidden="1"/>
    </xf>
    <xf numFmtId="164" fontId="18" fillId="0" borderId="37" xfId="12" applyNumberFormat="1" applyFont="1" applyFill="1" applyBorder="1" applyAlignment="1" applyProtection="1">
      <alignment vertical="center"/>
      <protection hidden="1"/>
    </xf>
    <xf numFmtId="164" fontId="17" fillId="0" borderId="36" xfId="33" applyNumberFormat="1" applyFont="1" applyFill="1" applyBorder="1" applyAlignment="1" applyProtection="1">
      <alignment vertical="center"/>
      <protection locked="0" hidden="1"/>
    </xf>
    <xf numFmtId="0" fontId="19" fillId="0" borderId="38" xfId="19" applyFont="1" applyFill="1" applyBorder="1" applyAlignment="1" applyProtection="1">
      <alignment vertical="center" wrapText="1"/>
      <protection locked="0" hidden="1"/>
    </xf>
    <xf numFmtId="164" fontId="19" fillId="0" borderId="3" xfId="19" applyNumberFormat="1" applyFont="1" applyFill="1" applyBorder="1" applyAlignment="1" applyProtection="1">
      <alignment horizontal="center" wrapText="1"/>
      <protection locked="0" hidden="1"/>
    </xf>
    <xf numFmtId="2" fontId="20" fillId="0" borderId="6" xfId="12" applyNumberFormat="1" applyFont="1" applyFill="1" applyBorder="1" applyAlignment="1" applyProtection="1">
      <alignment vertical="center"/>
      <protection locked="0" hidden="1"/>
    </xf>
    <xf numFmtId="164" fontId="19" fillId="0" borderId="0" xfId="19" applyNumberFormat="1" applyFont="1" applyFill="1" applyBorder="1" applyAlignment="1" applyProtection="1">
      <alignment horizontal="center" wrapText="1"/>
      <protection locked="0" hidden="1"/>
    </xf>
    <xf numFmtId="164" fontId="103" fillId="0" borderId="2" xfId="12" applyNumberFormat="1" applyFont="1" applyFill="1" applyBorder="1"/>
    <xf numFmtId="164" fontId="102" fillId="0" borderId="24" xfId="12" applyNumberFormat="1" applyFont="1" applyFill="1" applyBorder="1"/>
    <xf numFmtId="0" fontId="105" fillId="0" borderId="24" xfId="0" applyFont="1" applyFill="1" applyBorder="1"/>
    <xf numFmtId="164" fontId="19" fillId="0" borderId="30" xfId="19" applyNumberFormat="1" applyFont="1" applyFill="1" applyBorder="1" applyAlignment="1" applyProtection="1">
      <alignment horizontal="center" vertical="center"/>
      <protection locked="0" hidden="1"/>
    </xf>
    <xf numFmtId="3" fontId="19" fillId="0" borderId="21" xfId="19" applyNumberFormat="1" applyFont="1" applyFill="1" applyBorder="1" applyAlignment="1" applyProtection="1">
      <alignment horizontal="center" vertical="center"/>
      <protection locked="0" hidden="1"/>
    </xf>
    <xf numFmtId="164" fontId="19" fillId="0" borderId="26" xfId="19" applyNumberFormat="1" applyFont="1" applyFill="1" applyBorder="1" applyAlignment="1" applyProtection="1">
      <alignment horizontal="center" vertical="center"/>
      <protection locked="0" hidden="1"/>
    </xf>
    <xf numFmtId="164" fontId="19" fillId="0" borderId="58" xfId="12" applyNumberFormat="1" applyFont="1" applyFill="1" applyBorder="1" applyAlignment="1" applyProtection="1">
      <alignment vertical="center"/>
      <protection locked="0" hidden="1"/>
    </xf>
    <xf numFmtId="164" fontId="20" fillId="0" borderId="2" xfId="12" applyNumberFormat="1" applyFont="1" applyFill="1" applyBorder="1" applyAlignment="1">
      <alignment vertical="center"/>
    </xf>
    <xf numFmtId="164" fontId="20" fillId="0" borderId="41" xfId="12" applyNumberFormat="1" applyFont="1" applyFill="1" applyBorder="1" applyAlignment="1">
      <alignment vertical="center"/>
    </xf>
    <xf numFmtId="164" fontId="20" fillId="0" borderId="42" xfId="12" applyNumberFormat="1" applyFont="1" applyFill="1" applyBorder="1" applyAlignment="1">
      <alignment vertical="center"/>
    </xf>
    <xf numFmtId="164" fontId="17" fillId="0" borderId="2" xfId="33" applyNumberFormat="1" applyFont="1" applyFill="1" applyBorder="1" applyAlignment="1" applyProtection="1">
      <alignment horizontal="right" vertical="center"/>
      <protection locked="0" hidden="1"/>
    </xf>
    <xf numFmtId="0" fontId="17" fillId="0" borderId="24" xfId="0" applyFont="1" applyFill="1" applyBorder="1" applyAlignment="1" applyProtection="1">
      <alignment vertical="center"/>
      <protection locked="0" hidden="1"/>
    </xf>
    <xf numFmtId="164" fontId="17" fillId="0" borderId="1" xfId="12" applyNumberFormat="1" applyFont="1" applyFill="1" applyBorder="1" applyAlignment="1">
      <alignment vertical="center"/>
    </xf>
    <xf numFmtId="164" fontId="18" fillId="0" borderId="42" xfId="12" applyNumberFormat="1" applyFont="1" applyFill="1" applyBorder="1" applyAlignment="1" applyProtection="1">
      <alignment horizontal="right" vertical="center"/>
      <protection locked="0" hidden="1"/>
    </xf>
    <xf numFmtId="164" fontId="17" fillId="0" borderId="37" xfId="33" applyNumberFormat="1" applyFont="1" applyFill="1" applyBorder="1" applyAlignment="1" applyProtection="1">
      <alignment vertical="center"/>
      <protection locked="0" hidden="1"/>
    </xf>
    <xf numFmtId="0" fontId="17" fillId="0" borderId="1" xfId="0" applyFont="1" applyFill="1" applyBorder="1" applyAlignment="1" applyProtection="1">
      <alignment horizontal="left" vertical="center" wrapText="1"/>
      <protection locked="0" hidden="1"/>
    </xf>
    <xf numFmtId="164" fontId="18" fillId="0" borderId="37" xfId="33" applyNumberFormat="1" applyFont="1" applyFill="1" applyBorder="1" applyAlignment="1" applyProtection="1">
      <alignment vertical="center"/>
      <protection hidden="1"/>
    </xf>
    <xf numFmtId="164" fontId="20" fillId="0" borderId="31" xfId="25" applyNumberFormat="1" applyFont="1" applyFill="1" applyBorder="1" applyAlignment="1" applyProtection="1">
      <alignment horizontal="right" vertical="center"/>
      <protection locked="0" hidden="1"/>
    </xf>
    <xf numFmtId="164" fontId="20" fillId="0" borderId="23" xfId="25" applyNumberFormat="1" applyFont="1" applyFill="1" applyBorder="1" applyAlignment="1" applyProtection="1">
      <alignment horizontal="right" vertical="center"/>
      <protection locked="0" hidden="1"/>
    </xf>
    <xf numFmtId="0" fontId="20" fillId="0" borderId="37" xfId="0" applyFont="1" applyFill="1" applyBorder="1" applyAlignment="1" applyProtection="1">
      <alignment vertical="center"/>
      <protection locked="0" hidden="1"/>
    </xf>
    <xf numFmtId="0" fontId="7" fillId="0" borderId="37" xfId="0" applyFont="1" applyFill="1" applyBorder="1"/>
    <xf numFmtId="164" fontId="101" fillId="0" borderId="37" xfId="25" applyNumberFormat="1" applyFont="1" applyFill="1" applyBorder="1" applyAlignment="1" applyProtection="1">
      <alignment horizontal="right" vertical="center"/>
      <protection locked="0" hidden="1"/>
    </xf>
    <xf numFmtId="1" fontId="100" fillId="0" borderId="1" xfId="19" applyNumberFormat="1" applyFont="1" applyFill="1" applyBorder="1" applyAlignment="1" applyProtection="1">
      <alignment horizontal="center" vertical="center"/>
      <protection locked="0" hidden="1"/>
    </xf>
    <xf numFmtId="0" fontId="100" fillId="0" borderId="1" xfId="19" applyFont="1" applyFill="1" applyBorder="1" applyAlignment="1" applyProtection="1">
      <alignment vertical="center"/>
      <protection locked="0" hidden="1"/>
    </xf>
    <xf numFmtId="164" fontId="18" fillId="0" borderId="36" xfId="12" applyNumberFormat="1" applyFont="1" applyFill="1" applyBorder="1" applyAlignment="1">
      <alignment vertical="center"/>
    </xf>
    <xf numFmtId="164" fontId="101" fillId="0" borderId="3" xfId="12" applyNumberFormat="1" applyFont="1" applyFill="1" applyBorder="1" applyAlignment="1" applyProtection="1">
      <alignment vertical="center"/>
      <protection locked="0" hidden="1"/>
    </xf>
    <xf numFmtId="164" fontId="101" fillId="0" borderId="0" xfId="12" applyNumberFormat="1" applyFont="1" applyFill="1" applyBorder="1" applyAlignment="1" applyProtection="1">
      <alignment vertical="center"/>
      <protection locked="0" hidden="1"/>
    </xf>
    <xf numFmtId="0" fontId="100" fillId="0" borderId="0" xfId="0" applyFont="1" applyFill="1"/>
    <xf numFmtId="0" fontId="101" fillId="0" borderId="32" xfId="0" applyFont="1" applyFill="1" applyBorder="1"/>
    <xf numFmtId="164" fontId="101" fillId="0" borderId="36" xfId="12" applyNumberFormat="1" applyFont="1" applyFill="1" applyBorder="1" applyAlignment="1" applyProtection="1">
      <alignment vertical="center"/>
      <protection locked="0" hidden="1"/>
    </xf>
    <xf numFmtId="164" fontId="101" fillId="0" borderId="37" xfId="12" applyNumberFormat="1" applyFont="1" applyFill="1" applyBorder="1" applyAlignment="1" applyProtection="1">
      <alignment vertical="center"/>
      <protection hidden="1"/>
    </xf>
    <xf numFmtId="164" fontId="100" fillId="0" borderId="22" xfId="12" applyNumberFormat="1" applyFont="1" applyFill="1" applyBorder="1" applyAlignment="1" applyProtection="1">
      <alignment horizontal="center" vertical="center"/>
      <protection hidden="1"/>
    </xf>
    <xf numFmtId="164" fontId="100" fillId="0" borderId="7" xfId="12" applyNumberFormat="1" applyFont="1" applyFill="1" applyBorder="1" applyAlignment="1" applyProtection="1">
      <alignment horizontal="center" vertical="center"/>
      <protection hidden="1"/>
    </xf>
    <xf numFmtId="0" fontId="101" fillId="0" borderId="1" xfId="0" applyFont="1" applyFill="1" applyBorder="1" applyAlignment="1" applyProtection="1">
      <alignment horizontal="left" vertical="center" wrapText="1"/>
      <protection locked="0" hidden="1"/>
    </xf>
    <xf numFmtId="164" fontId="100" fillId="0" borderId="41" xfId="12" applyNumberFormat="1" applyFont="1" applyFill="1" applyBorder="1" applyAlignment="1" applyProtection="1">
      <alignment vertical="center"/>
      <protection locked="0" hidden="1"/>
    </xf>
    <xf numFmtId="164" fontId="100" fillId="0" borderId="42" xfId="12" applyNumberFormat="1" applyFont="1" applyFill="1" applyBorder="1" applyAlignment="1" applyProtection="1">
      <alignment vertical="center"/>
      <protection locked="0" hidden="1"/>
    </xf>
    <xf numFmtId="164" fontId="100" fillId="0" borderId="43" xfId="12" applyNumberFormat="1" applyFont="1" applyFill="1" applyBorder="1" applyAlignment="1" applyProtection="1">
      <alignment vertical="center"/>
      <protection locked="0" hidden="1"/>
    </xf>
    <xf numFmtId="164" fontId="100" fillId="0" borderId="24" xfId="12" applyNumberFormat="1" applyFont="1" applyFill="1" applyBorder="1" applyAlignment="1" applyProtection="1">
      <alignment vertical="center"/>
      <protection hidden="1"/>
    </xf>
    <xf numFmtId="1" fontId="100" fillId="0" borderId="4" xfId="21" applyNumberFormat="1" applyFont="1" applyFill="1" applyBorder="1" applyAlignment="1" applyProtection="1">
      <alignment horizontal="center" vertical="center"/>
      <protection locked="0" hidden="1"/>
    </xf>
    <xf numFmtId="0" fontId="100" fillId="0" borderId="8" xfId="21" applyFont="1" applyFill="1" applyBorder="1" applyAlignment="1" applyProtection="1">
      <alignment vertical="center" wrapText="1"/>
      <protection locked="0" hidden="1"/>
    </xf>
    <xf numFmtId="0" fontId="101" fillId="0" borderId="5" xfId="0" applyFont="1" applyFill="1" applyBorder="1" applyAlignment="1" applyProtection="1">
      <alignment vertical="center"/>
      <protection locked="0" hidden="1"/>
    </xf>
    <xf numFmtId="0" fontId="101" fillId="0" borderId="25" xfId="0" applyFont="1" applyFill="1" applyBorder="1" applyAlignment="1" applyProtection="1">
      <alignment horizontal="center" vertical="center"/>
      <protection locked="0" hidden="1"/>
    </xf>
    <xf numFmtId="164" fontId="101" fillId="0" borderId="14" xfId="12" applyNumberFormat="1" applyFont="1" applyFill="1" applyBorder="1" applyAlignment="1" applyProtection="1">
      <alignment vertical="center"/>
      <protection locked="0" hidden="1"/>
    </xf>
    <xf numFmtId="164" fontId="101" fillId="0" borderId="25" xfId="12" applyNumberFormat="1" applyFont="1" applyFill="1" applyBorder="1" applyAlignment="1" applyProtection="1">
      <alignment vertical="center"/>
      <protection locked="0" hidden="1"/>
    </xf>
    <xf numFmtId="164" fontId="101" fillId="0" borderId="5" xfId="12" applyNumberFormat="1" applyFont="1" applyFill="1" applyBorder="1" applyAlignment="1" applyProtection="1">
      <alignment vertical="center"/>
      <protection locked="0" hidden="1"/>
    </xf>
    <xf numFmtId="164" fontId="100" fillId="0" borderId="58" xfId="12" applyNumberFormat="1" applyFont="1" applyFill="1" applyBorder="1" applyAlignment="1" applyProtection="1">
      <alignment vertical="center"/>
      <protection hidden="1"/>
    </xf>
    <xf numFmtId="0" fontId="100" fillId="0" borderId="3" xfId="0" applyFont="1" applyFill="1" applyBorder="1" applyAlignment="1" applyProtection="1">
      <alignment vertical="center" wrapText="1"/>
      <protection locked="0" hidden="1"/>
    </xf>
    <xf numFmtId="164" fontId="100" fillId="0" borderId="4" xfId="12" applyNumberFormat="1" applyFont="1" applyFill="1" applyBorder="1" applyAlignment="1" applyProtection="1">
      <alignment vertical="center"/>
      <protection hidden="1"/>
    </xf>
    <xf numFmtId="1" fontId="101" fillId="0" borderId="24" xfId="0" applyNumberFormat="1" applyFont="1" applyFill="1" applyBorder="1" applyAlignment="1" applyProtection="1">
      <alignment horizontal="center" vertical="center"/>
      <protection locked="0" hidden="1"/>
    </xf>
    <xf numFmtId="0" fontId="101" fillId="0" borderId="24" xfId="0" applyFont="1" applyFill="1" applyBorder="1" applyAlignment="1" applyProtection="1">
      <alignment vertical="center" wrapText="1"/>
      <protection locked="0" hidden="1"/>
    </xf>
    <xf numFmtId="164" fontId="101" fillId="0" borderId="24" xfId="12" applyNumberFormat="1" applyFont="1" applyFill="1" applyBorder="1" applyAlignment="1" applyProtection="1">
      <alignment horizontal="right" vertical="center"/>
      <protection hidden="1"/>
    </xf>
    <xf numFmtId="1" fontId="101" fillId="0" borderId="24" xfId="12" applyNumberFormat="1" applyFont="1" applyFill="1" applyBorder="1" applyAlignment="1" applyProtection="1">
      <alignment horizontal="right" vertical="center"/>
      <protection locked="0" hidden="1"/>
    </xf>
    <xf numFmtId="0" fontId="100" fillId="0" borderId="1" xfId="0" applyFont="1" applyFill="1" applyBorder="1" applyAlignment="1" applyProtection="1">
      <alignment vertical="center"/>
      <protection locked="0" hidden="1"/>
    </xf>
    <xf numFmtId="1" fontId="101" fillId="0" borderId="0" xfId="0" applyNumberFormat="1" applyFont="1" applyFill="1" applyBorder="1" applyAlignment="1" applyProtection="1">
      <alignment horizontal="center" vertical="center"/>
      <protection locked="0" hidden="1"/>
    </xf>
    <xf numFmtId="164" fontId="100" fillId="0" borderId="0" xfId="12" applyNumberFormat="1" applyFont="1" applyFill="1" applyBorder="1" applyAlignment="1" applyProtection="1">
      <alignment vertical="center"/>
      <protection locked="0" hidden="1"/>
    </xf>
    <xf numFmtId="0" fontId="101" fillId="0" borderId="0" xfId="0" applyFont="1" applyFill="1" applyBorder="1" applyAlignment="1" applyProtection="1">
      <alignment vertical="center"/>
      <protection locked="0" hidden="1"/>
    </xf>
    <xf numFmtId="0" fontId="100" fillId="0" borderId="38" xfId="0" applyFont="1" applyFill="1" applyBorder="1" applyAlignment="1" applyProtection="1">
      <alignment vertical="center" wrapText="1"/>
      <protection locked="0" hidden="1"/>
    </xf>
    <xf numFmtId="164" fontId="101" fillId="0" borderId="23" xfId="12" applyNumberFormat="1" applyFont="1" applyFill="1" applyBorder="1" applyAlignment="1" applyProtection="1">
      <alignment vertical="center"/>
      <protection hidden="1"/>
    </xf>
    <xf numFmtId="164" fontId="101" fillId="0" borderId="23" xfId="12" applyNumberFormat="1" applyFont="1" applyFill="1" applyBorder="1" applyAlignment="1" applyProtection="1">
      <alignment vertical="center"/>
      <protection locked="0" hidden="1"/>
    </xf>
    <xf numFmtId="1" fontId="101" fillId="0" borderId="1" xfId="0" applyNumberFormat="1" applyFont="1" applyFill="1" applyBorder="1" applyAlignment="1">
      <alignment horizontal="center"/>
    </xf>
    <xf numFmtId="0" fontId="101" fillId="0" borderId="1" xfId="0" applyFont="1" applyFill="1" applyBorder="1" applyAlignment="1">
      <alignment wrapText="1"/>
    </xf>
    <xf numFmtId="164" fontId="101" fillId="0" borderId="2" xfId="12" applyNumberFormat="1" applyFont="1" applyFill="1" applyBorder="1" applyAlignment="1" applyProtection="1">
      <alignment vertical="center"/>
      <protection hidden="1"/>
    </xf>
    <xf numFmtId="164" fontId="101" fillId="0" borderId="1" xfId="12" applyNumberFormat="1" applyFont="1" applyFill="1" applyBorder="1" applyAlignment="1" applyProtection="1">
      <alignment vertical="center" wrapText="1"/>
      <protection locked="0" hidden="1"/>
    </xf>
    <xf numFmtId="0" fontId="101" fillId="0" borderId="24" xfId="0" applyFont="1" applyFill="1" applyBorder="1" applyAlignment="1" applyProtection="1">
      <alignment vertical="center"/>
      <protection locked="0" hidden="1"/>
    </xf>
    <xf numFmtId="0" fontId="100" fillId="0" borderId="32" xfId="19" applyFont="1" applyFill="1" applyBorder="1" applyAlignment="1" applyProtection="1">
      <alignment vertical="center" wrapText="1"/>
      <protection locked="0" hidden="1"/>
    </xf>
    <xf numFmtId="0" fontId="101" fillId="0" borderId="0" xfId="0" applyFont="1" applyFill="1" applyBorder="1" applyAlignment="1" applyProtection="1">
      <alignment vertical="center" wrapText="1"/>
      <protection locked="0" hidden="1"/>
    </xf>
    <xf numFmtId="164" fontId="101" fillId="0" borderId="0" xfId="12" applyNumberFormat="1" applyFont="1" applyFill="1" applyBorder="1" applyAlignment="1" applyProtection="1">
      <alignment vertical="center"/>
      <protection hidden="1"/>
    </xf>
    <xf numFmtId="1" fontId="17" fillId="0" borderId="1" xfId="24" applyNumberFormat="1" applyFont="1" applyFill="1" applyBorder="1" applyAlignment="1" applyProtection="1">
      <alignment horizontal="center" vertical="center"/>
      <protection locked="0" hidden="1"/>
    </xf>
    <xf numFmtId="0" fontId="17" fillId="0" borderId="1" xfId="24" applyFont="1" applyFill="1" applyBorder="1" applyAlignment="1" applyProtection="1">
      <alignment vertical="center" wrapText="1"/>
      <protection locked="0" hidden="1"/>
    </xf>
    <xf numFmtId="164" fontId="20" fillId="0" borderId="23" xfId="25" applyNumberFormat="1" applyFont="1" applyFill="1" applyBorder="1" applyAlignment="1" applyProtection="1">
      <alignment vertical="center"/>
      <protection locked="0" hidden="1"/>
    </xf>
    <xf numFmtId="1" fontId="19" fillId="0" borderId="1" xfId="24" applyNumberFormat="1" applyFont="1" applyFill="1" applyBorder="1" applyAlignment="1" applyProtection="1">
      <alignment horizontal="center" vertical="center"/>
      <protection locked="0" hidden="1"/>
    </xf>
    <xf numFmtId="0" fontId="19" fillId="0" borderId="1" xfId="24" applyFont="1" applyFill="1" applyBorder="1" applyAlignment="1" applyProtection="1">
      <alignment vertical="center" wrapText="1"/>
      <protection locked="0" hidden="1"/>
    </xf>
    <xf numFmtId="164" fontId="19" fillId="0" borderId="22" xfId="33" applyNumberFormat="1" applyFont="1" applyFill="1" applyBorder="1" applyAlignment="1" applyProtection="1">
      <alignment vertical="center"/>
      <protection hidden="1"/>
    </xf>
    <xf numFmtId="164" fontId="20" fillId="0" borderId="39" xfId="25" applyNumberFormat="1" applyFont="1" applyFill="1" applyBorder="1" applyAlignment="1" applyProtection="1">
      <alignment vertical="center"/>
      <protection locked="0" hidden="1"/>
    </xf>
    <xf numFmtId="164" fontId="96" fillId="0" borderId="37" xfId="24" applyNumberFormat="1" applyFont="1" applyFill="1" applyBorder="1"/>
    <xf numFmtId="164" fontId="19" fillId="0" borderId="24" xfId="25" applyNumberFormat="1" applyFont="1" applyFill="1" applyBorder="1" applyAlignment="1" applyProtection="1">
      <alignment vertical="center"/>
      <protection hidden="1"/>
    </xf>
    <xf numFmtId="164" fontId="19" fillId="0" borderId="41" xfId="25" applyNumberFormat="1" applyFont="1" applyFill="1" applyBorder="1" applyAlignment="1" applyProtection="1">
      <alignment vertical="center"/>
      <protection hidden="1"/>
    </xf>
    <xf numFmtId="164" fontId="19" fillId="0" borderId="42" xfId="25" applyNumberFormat="1" applyFont="1" applyFill="1" applyBorder="1" applyAlignment="1" applyProtection="1">
      <alignment vertical="center"/>
      <protection hidden="1"/>
    </xf>
    <xf numFmtId="164" fontId="19" fillId="0" borderId="41" xfId="25" applyNumberFormat="1" applyFont="1" applyFill="1" applyBorder="1" applyAlignment="1" applyProtection="1">
      <alignment vertical="center"/>
      <protection locked="0" hidden="1"/>
    </xf>
    <xf numFmtId="164" fontId="20" fillId="0" borderId="1" xfId="25" applyNumberFormat="1" applyFont="1" applyFill="1" applyBorder="1" applyAlignment="1" applyProtection="1">
      <alignment vertical="center"/>
      <protection hidden="1"/>
    </xf>
    <xf numFmtId="164" fontId="20" fillId="0" borderId="36" xfId="25" applyNumberFormat="1" applyFont="1" applyFill="1" applyBorder="1" applyAlignment="1" applyProtection="1">
      <alignment vertical="center"/>
      <protection locked="0" hidden="1"/>
    </xf>
    <xf numFmtId="0" fontId="20" fillId="0" borderId="24" xfId="0" applyFont="1" applyFill="1" applyBorder="1" applyAlignment="1">
      <alignment horizontal="right" wrapText="1"/>
    </xf>
    <xf numFmtId="164" fontId="20" fillId="0" borderId="61" xfId="12" applyNumberFormat="1" applyFont="1" applyFill="1" applyBorder="1" applyAlignment="1" applyProtection="1">
      <alignment horizontal="right" vertical="center"/>
      <protection locked="0" hidden="1"/>
    </xf>
    <xf numFmtId="164" fontId="20" fillId="0" borderId="36" xfId="0" applyNumberFormat="1" applyFont="1" applyFill="1" applyBorder="1" applyAlignment="1">
      <alignment horizontal="right" wrapText="1"/>
    </xf>
    <xf numFmtId="164" fontId="20" fillId="0" borderId="1" xfId="12" applyNumberFormat="1" applyFont="1" applyFill="1" applyBorder="1" applyAlignment="1" applyProtection="1">
      <alignment horizontal="center" wrapText="1"/>
      <protection locked="0" hidden="1"/>
    </xf>
    <xf numFmtId="164" fontId="19" fillId="0" borderId="24" xfId="12" applyNumberFormat="1" applyFont="1" applyFill="1" applyBorder="1" applyAlignment="1" applyProtection="1">
      <alignment horizontal="right" vertical="center"/>
      <protection locked="0" hidden="1"/>
    </xf>
    <xf numFmtId="164" fontId="18" fillId="0" borderId="58" xfId="12" applyNumberFormat="1" applyFont="1" applyFill="1" applyBorder="1" applyAlignment="1" applyProtection="1">
      <alignment vertical="center"/>
      <protection hidden="1"/>
    </xf>
    <xf numFmtId="0" fontId="20" fillId="0" borderId="2" xfId="0" applyFont="1" applyFill="1" applyBorder="1" applyAlignment="1" applyProtection="1">
      <alignment vertical="center"/>
      <protection locked="0" hidden="1"/>
    </xf>
    <xf numFmtId="164" fontId="103" fillId="0" borderId="1" xfId="33" applyNumberFormat="1" applyFont="1" applyFill="1" applyBorder="1" applyAlignment="1" applyProtection="1">
      <alignment vertical="center"/>
      <protection locked="0" hidden="1"/>
    </xf>
    <xf numFmtId="164" fontId="103" fillId="0" borderId="24" xfId="33" applyNumberFormat="1" applyFont="1" applyFill="1" applyBorder="1" applyAlignment="1" applyProtection="1">
      <alignment vertical="center"/>
      <protection locked="0" hidden="1"/>
    </xf>
    <xf numFmtId="164" fontId="103" fillId="0" borderId="1" xfId="33" applyNumberFormat="1" applyFont="1" applyFill="1" applyBorder="1" applyAlignment="1" applyProtection="1">
      <alignment vertical="center"/>
      <protection hidden="1"/>
    </xf>
    <xf numFmtId="0" fontId="103" fillId="0" borderId="0" xfId="0" applyFont="1" applyFill="1" applyBorder="1" applyAlignment="1" applyProtection="1">
      <alignment vertical="center"/>
      <protection locked="0" hidden="1"/>
    </xf>
    <xf numFmtId="164" fontId="103" fillId="0" borderId="1" xfId="0" applyNumberFormat="1" applyFont="1" applyFill="1" applyBorder="1" applyAlignment="1" applyProtection="1">
      <alignment vertical="center"/>
      <protection locked="0" hidden="1"/>
    </xf>
    <xf numFmtId="164" fontId="103" fillId="0" borderId="61" xfId="33" applyNumberFormat="1" applyFont="1" applyFill="1" applyBorder="1" applyAlignment="1" applyProtection="1">
      <alignment vertical="center"/>
      <protection locked="0" hidden="1"/>
    </xf>
    <xf numFmtId="164" fontId="102" fillId="0" borderId="50" xfId="33" applyNumberFormat="1" applyFont="1" applyFill="1" applyBorder="1" applyAlignment="1" applyProtection="1">
      <alignment vertical="center"/>
      <protection hidden="1"/>
    </xf>
    <xf numFmtId="164" fontId="102" fillId="0" borderId="7" xfId="33" applyNumberFormat="1" applyFont="1" applyFill="1" applyBorder="1" applyAlignment="1" applyProtection="1">
      <alignment vertical="center"/>
      <protection hidden="1"/>
    </xf>
    <xf numFmtId="1" fontId="103" fillId="0" borderId="24" xfId="0" applyNumberFormat="1" applyFont="1" applyFill="1" applyBorder="1" applyAlignment="1" applyProtection="1">
      <alignment horizontal="center" vertical="center"/>
      <protection locked="0" hidden="1"/>
    </xf>
    <xf numFmtId="0" fontId="103" fillId="0" borderId="51" xfId="0" applyFont="1" applyFill="1" applyBorder="1" applyAlignment="1" applyProtection="1">
      <alignment vertical="center" wrapText="1"/>
      <protection locked="0" hidden="1"/>
    </xf>
    <xf numFmtId="164" fontId="102" fillId="0" borderId="24" xfId="33" applyNumberFormat="1" applyFont="1" applyFill="1" applyBorder="1" applyAlignment="1" applyProtection="1">
      <alignment vertical="center"/>
      <protection locked="0" hidden="1"/>
    </xf>
    <xf numFmtId="1" fontId="17" fillId="0" borderId="1" xfId="0" applyNumberFormat="1" applyFont="1" applyFill="1" applyBorder="1" applyAlignment="1">
      <alignment horizontal="center"/>
    </xf>
    <xf numFmtId="1" fontId="16" fillId="0" borderId="3" xfId="0" applyNumberFormat="1" applyFont="1" applyFill="1" applyBorder="1" applyAlignment="1" applyProtection="1">
      <alignment horizontal="center" vertical="center"/>
      <protection locked="0" hidden="1"/>
    </xf>
    <xf numFmtId="0" fontId="16" fillId="0" borderId="0" xfId="0" applyFont="1" applyFill="1" applyAlignment="1" applyProtection="1">
      <alignment vertical="center" wrapText="1"/>
      <protection locked="0" hidden="1"/>
    </xf>
    <xf numFmtId="0" fontId="15" fillId="0" borderId="1" xfId="0" applyFont="1" applyFill="1" applyBorder="1"/>
    <xf numFmtId="43" fontId="15" fillId="0" borderId="24" xfId="12" applyFont="1" applyFill="1" applyBorder="1" applyAlignment="1" applyProtection="1">
      <alignment vertical="center"/>
      <protection locked="0" hidden="1"/>
    </xf>
    <xf numFmtId="1" fontId="15" fillId="0" borderId="1" xfId="0" applyNumberFormat="1" applyFont="1" applyFill="1" applyBorder="1" applyAlignment="1" applyProtection="1">
      <alignment horizontal="left" vertical="center"/>
      <protection locked="0" hidden="1"/>
    </xf>
    <xf numFmtId="164" fontId="15" fillId="0" borderId="1" xfId="12" applyNumberFormat="1" applyFont="1" applyFill="1" applyBorder="1" applyAlignment="1" applyProtection="1">
      <alignment vertical="center"/>
      <protection hidden="1"/>
    </xf>
    <xf numFmtId="164" fontId="15" fillId="0" borderId="24" xfId="12" applyNumberFormat="1" applyFont="1" applyFill="1" applyBorder="1" applyAlignment="1" applyProtection="1">
      <alignment vertical="center"/>
      <protection hidden="1"/>
    </xf>
    <xf numFmtId="164" fontId="16" fillId="0" borderId="26" xfId="12" applyNumberFormat="1" applyFont="1" applyFill="1" applyBorder="1" applyAlignment="1" applyProtection="1">
      <alignment vertical="center"/>
      <protection hidden="1"/>
    </xf>
    <xf numFmtId="164" fontId="16" fillId="0" borderId="4" xfId="12" applyNumberFormat="1" applyFont="1" applyFill="1" applyBorder="1" applyAlignment="1" applyProtection="1">
      <alignment vertical="center"/>
      <protection hidden="1"/>
    </xf>
    <xf numFmtId="164" fontId="16" fillId="0" borderId="37" xfId="12" applyNumberFormat="1" applyFont="1" applyFill="1" applyBorder="1" applyAlignment="1" applyProtection="1">
      <alignment vertical="center"/>
      <protection locked="0" hidden="1"/>
    </xf>
    <xf numFmtId="164" fontId="16" fillId="0" borderId="24" xfId="12" applyNumberFormat="1" applyFont="1" applyFill="1" applyBorder="1" applyAlignment="1" applyProtection="1">
      <alignment vertical="center"/>
      <protection locked="0" hidden="1"/>
    </xf>
    <xf numFmtId="164" fontId="20" fillId="0" borderId="37" xfId="33" applyNumberFormat="1" applyFont="1" applyFill="1" applyBorder="1" applyAlignment="1" applyProtection="1">
      <alignment vertical="center"/>
      <protection hidden="1"/>
    </xf>
    <xf numFmtId="164" fontId="17" fillId="0" borderId="36" xfId="12" applyNumberFormat="1" applyFont="1" applyFill="1" applyBorder="1"/>
    <xf numFmtId="164" fontId="19" fillId="0" borderId="22" xfId="25" applyNumberFormat="1" applyFont="1" applyFill="1" applyBorder="1" applyAlignment="1" applyProtection="1">
      <alignment vertical="center"/>
      <protection hidden="1"/>
    </xf>
    <xf numFmtId="1" fontId="19" fillId="0" borderId="1" xfId="29" applyNumberFormat="1" applyFont="1" applyFill="1" applyBorder="1" applyAlignment="1" applyProtection="1">
      <alignment horizontal="center" vertical="center"/>
      <protection locked="0" hidden="1"/>
    </xf>
    <xf numFmtId="0" fontId="19" fillId="0" borderId="1" xfId="29" applyFont="1" applyFill="1" applyBorder="1" applyAlignment="1" applyProtection="1">
      <alignment vertical="center" wrapText="1"/>
      <protection locked="0" hidden="1"/>
    </xf>
    <xf numFmtId="164" fontId="19" fillId="0" borderId="58" xfId="33" applyNumberFormat="1" applyFont="1" applyFill="1" applyBorder="1" applyAlignment="1" applyProtection="1">
      <alignment vertical="center"/>
      <protection hidden="1"/>
    </xf>
    <xf numFmtId="164" fontId="20" fillId="0" borderId="37" xfId="33" applyNumberFormat="1" applyFont="1" applyFill="1" applyBorder="1" applyAlignment="1" applyProtection="1">
      <alignment vertical="center"/>
      <protection locked="0" hidden="1"/>
    </xf>
    <xf numFmtId="164" fontId="17" fillId="0" borderId="37" xfId="33" applyNumberFormat="1" applyFont="1" applyFill="1" applyBorder="1" applyAlignment="1" applyProtection="1">
      <alignment vertical="center"/>
      <protection hidden="1"/>
    </xf>
    <xf numFmtId="164" fontId="100" fillId="0" borderId="37" xfId="0" applyNumberFormat="1" applyFont="1" applyFill="1" applyBorder="1" applyAlignment="1" applyProtection="1">
      <alignment vertical="center"/>
      <protection locked="0" hidden="1"/>
    </xf>
    <xf numFmtId="164" fontId="100" fillId="0" borderId="24" xfId="0" applyNumberFormat="1" applyFont="1" applyFill="1" applyBorder="1" applyAlignment="1" applyProtection="1">
      <alignment vertical="center"/>
      <protection locked="0" hidden="1"/>
    </xf>
    <xf numFmtId="164" fontId="103" fillId="0" borderId="0" xfId="12" applyNumberFormat="1" applyFont="1" applyFill="1" applyAlignment="1" applyProtection="1">
      <alignment vertical="center"/>
      <protection hidden="1"/>
    </xf>
    <xf numFmtId="0" fontId="102" fillId="0" borderId="0" xfId="0" applyFont="1" applyFill="1" applyAlignment="1" applyProtection="1">
      <alignment vertical="center"/>
      <protection locked="0" hidden="1"/>
    </xf>
    <xf numFmtId="164" fontId="102" fillId="0" borderId="36" xfId="12" applyNumberFormat="1" applyFont="1" applyFill="1" applyBorder="1" applyAlignment="1" applyProtection="1">
      <alignment vertical="center"/>
      <protection hidden="1"/>
    </xf>
    <xf numFmtId="164" fontId="102" fillId="0" borderId="1" xfId="12" applyNumberFormat="1" applyFont="1" applyFill="1" applyBorder="1" applyAlignment="1" applyProtection="1">
      <alignment vertical="center"/>
      <protection hidden="1"/>
    </xf>
    <xf numFmtId="164" fontId="103" fillId="0" borderId="36" xfId="12" applyNumberFormat="1" applyFont="1" applyFill="1" applyBorder="1" applyAlignment="1" applyProtection="1">
      <alignment vertical="center"/>
      <protection hidden="1"/>
    </xf>
    <xf numFmtId="164" fontId="103" fillId="0" borderId="37" xfId="12" applyNumberFormat="1" applyFont="1" applyFill="1" applyBorder="1" applyAlignment="1" applyProtection="1">
      <alignment vertical="center"/>
      <protection hidden="1"/>
    </xf>
    <xf numFmtId="164" fontId="103" fillId="0" borderId="39" xfId="12" applyNumberFormat="1" applyFont="1" applyFill="1" applyBorder="1" applyAlignment="1" applyProtection="1">
      <alignment vertical="center"/>
      <protection locked="0" hidden="1"/>
    </xf>
    <xf numFmtId="0" fontId="122" fillId="0" borderId="0" xfId="0" applyFont="1" applyFill="1"/>
    <xf numFmtId="0" fontId="123" fillId="0" borderId="0" xfId="0" applyFont="1" applyFill="1" applyAlignment="1" applyProtection="1">
      <alignment vertical="center"/>
      <protection locked="0" hidden="1"/>
    </xf>
    <xf numFmtId="0" fontId="121" fillId="0" borderId="7" xfId="19" applyFont="1" applyFill="1" applyBorder="1" applyAlignment="1" applyProtection="1">
      <alignment horizontal="center" vertical="center" wrapText="1"/>
      <protection locked="0" hidden="1"/>
    </xf>
    <xf numFmtId="164" fontId="121" fillId="0" borderId="7" xfId="12" applyNumberFormat="1" applyFont="1" applyFill="1" applyBorder="1" applyAlignment="1" applyProtection="1">
      <alignment horizontal="center" wrapText="1"/>
      <protection locked="0" hidden="1"/>
    </xf>
    <xf numFmtId="0" fontId="121" fillId="0" borderId="0" xfId="0" applyFont="1" applyFill="1" applyAlignment="1" applyProtection="1">
      <alignment vertical="center"/>
      <protection locked="0" hidden="1"/>
    </xf>
    <xf numFmtId="1" fontId="121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21" fillId="0" borderId="0" xfId="0" applyFont="1" applyFill="1" applyAlignment="1" applyProtection="1">
      <alignment vertical="center" wrapText="1"/>
      <protection locked="0" hidden="1"/>
    </xf>
    <xf numFmtId="164" fontId="121" fillId="0" borderId="41" xfId="12" applyNumberFormat="1" applyFont="1" applyFill="1" applyBorder="1" applyAlignment="1" applyProtection="1">
      <alignment vertical="center" wrapText="1"/>
      <protection hidden="1"/>
    </xf>
    <xf numFmtId="1" fontId="123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23" fillId="0" borderId="1" xfId="0" applyFont="1" applyFill="1" applyBorder="1" applyAlignment="1" applyProtection="1">
      <alignment vertical="center" wrapText="1"/>
      <protection locked="0" hidden="1"/>
    </xf>
    <xf numFmtId="164" fontId="123" fillId="0" borderId="1" xfId="12" applyNumberFormat="1" applyFont="1" applyFill="1" applyBorder="1" applyAlignment="1" applyProtection="1">
      <alignment vertical="center" wrapText="1"/>
      <protection locked="0" hidden="1"/>
    </xf>
    <xf numFmtId="1" fontId="121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21" fillId="0" borderId="1" xfId="0" applyFont="1" applyFill="1" applyBorder="1" applyAlignment="1" applyProtection="1">
      <alignment vertical="center" wrapText="1"/>
      <protection locked="0" hidden="1"/>
    </xf>
    <xf numFmtId="164" fontId="121" fillId="0" borderId="43" xfId="12" applyNumberFormat="1" applyFont="1" applyFill="1" applyBorder="1" applyAlignment="1" applyProtection="1">
      <alignment vertical="center" wrapText="1"/>
      <protection hidden="1"/>
    </xf>
    <xf numFmtId="164" fontId="123" fillId="0" borderId="24" xfId="12" applyNumberFormat="1" applyFont="1" applyFill="1" applyBorder="1" applyAlignment="1" applyProtection="1">
      <alignment vertical="center" wrapText="1"/>
      <protection locked="0" hidden="1"/>
    </xf>
    <xf numFmtId="0" fontId="123" fillId="0" borderId="0" xfId="0" applyFont="1" applyFill="1" applyAlignment="1">
      <alignment wrapText="1"/>
    </xf>
    <xf numFmtId="0" fontId="123" fillId="0" borderId="0" xfId="0" applyFont="1" applyFill="1" applyAlignment="1" applyProtection="1">
      <alignment vertical="center" wrapText="1"/>
      <protection locked="0" hidden="1"/>
    </xf>
    <xf numFmtId="1" fontId="123" fillId="0" borderId="1" xfId="0" applyNumberFormat="1" applyFont="1" applyFill="1" applyBorder="1" applyAlignment="1" applyProtection="1">
      <alignment horizontal="center" vertical="center"/>
      <protection locked="0" hidden="1"/>
    </xf>
    <xf numFmtId="0" fontId="123" fillId="0" borderId="1" xfId="0" applyFont="1" applyFill="1" applyBorder="1" applyAlignment="1">
      <alignment vertical="center" wrapText="1"/>
    </xf>
    <xf numFmtId="164" fontId="123" fillId="0" borderId="1" xfId="12" applyNumberFormat="1" applyFont="1" applyFill="1" applyBorder="1" applyAlignment="1" applyProtection="1">
      <alignment vertical="center" wrapText="1"/>
      <protection hidden="1"/>
    </xf>
    <xf numFmtId="164" fontId="121" fillId="0" borderId="42" xfId="12" applyNumberFormat="1" applyFont="1" applyFill="1" applyBorder="1" applyAlignment="1" applyProtection="1">
      <alignment vertical="center" wrapText="1"/>
      <protection hidden="1"/>
    </xf>
    <xf numFmtId="164" fontId="123" fillId="0" borderId="24" xfId="12" applyNumberFormat="1" applyFont="1" applyFill="1" applyBorder="1" applyAlignment="1" applyProtection="1">
      <alignment vertical="center" wrapText="1"/>
      <protection hidden="1"/>
    </xf>
    <xf numFmtId="164" fontId="121" fillId="0" borderId="7" xfId="12" applyNumberFormat="1" applyFont="1" applyFill="1" applyBorder="1" applyAlignment="1" applyProtection="1">
      <alignment vertical="center" wrapText="1"/>
      <protection hidden="1"/>
    </xf>
    <xf numFmtId="164" fontId="121" fillId="0" borderId="22" xfId="12" applyNumberFormat="1" applyFont="1" applyFill="1" applyBorder="1" applyAlignment="1" applyProtection="1">
      <alignment vertical="center" wrapText="1"/>
      <protection hidden="1"/>
    </xf>
    <xf numFmtId="164" fontId="123" fillId="0" borderId="36" xfId="12" applyNumberFormat="1" applyFont="1" applyFill="1" applyBorder="1" applyAlignment="1" applyProtection="1">
      <alignment vertical="center" wrapText="1"/>
      <protection locked="0" hidden="1"/>
    </xf>
    <xf numFmtId="1" fontId="121" fillId="0" borderId="1" xfId="0" applyNumberFormat="1" applyFont="1" applyFill="1" applyBorder="1" applyAlignment="1">
      <alignment horizontal="center" wrapText="1"/>
    </xf>
    <xf numFmtId="164" fontId="121" fillId="0" borderId="37" xfId="12" applyNumberFormat="1" applyFont="1" applyFill="1" applyBorder="1" applyAlignment="1" applyProtection="1">
      <alignment vertical="center" wrapText="1"/>
      <protection hidden="1"/>
    </xf>
    <xf numFmtId="164" fontId="121" fillId="0" borderId="24" xfId="12" applyNumberFormat="1" applyFont="1" applyFill="1" applyBorder="1" applyAlignment="1" applyProtection="1">
      <alignment vertical="center" wrapText="1"/>
      <protection hidden="1"/>
    </xf>
    <xf numFmtId="1" fontId="121" fillId="0" borderId="1" xfId="19" applyNumberFormat="1" applyFont="1" applyFill="1" applyBorder="1" applyAlignment="1" applyProtection="1">
      <alignment horizontal="center" vertical="center" wrapText="1"/>
      <protection locked="0" hidden="1"/>
    </xf>
    <xf numFmtId="0" fontId="121" fillId="0" borderId="1" xfId="19" applyFont="1" applyFill="1" applyBorder="1" applyAlignment="1" applyProtection="1">
      <alignment vertical="center" wrapText="1"/>
      <protection locked="0" hidden="1"/>
    </xf>
    <xf numFmtId="164" fontId="102" fillId="0" borderId="22" xfId="12" applyNumberFormat="1" applyFont="1" applyFill="1" applyBorder="1"/>
    <xf numFmtId="164" fontId="103" fillId="0" borderId="39" xfId="12" applyNumberFormat="1" applyFont="1" applyFill="1" applyBorder="1"/>
    <xf numFmtId="164" fontId="103" fillId="0" borderId="36" xfId="12" applyNumberFormat="1" applyFont="1" applyFill="1" applyBorder="1"/>
    <xf numFmtId="164" fontId="102" fillId="0" borderId="37" xfId="12" applyNumberFormat="1" applyFont="1" applyFill="1" applyBorder="1"/>
    <xf numFmtId="164" fontId="102" fillId="0" borderId="58" xfId="0" applyNumberFormat="1" applyFont="1" applyFill="1" applyBorder="1"/>
    <xf numFmtId="0" fontId="102" fillId="0" borderId="1" xfId="0" applyFont="1" applyFill="1" applyBorder="1"/>
    <xf numFmtId="0" fontId="20" fillId="0" borderId="2" xfId="0" applyFont="1" applyFill="1" applyBorder="1" applyAlignment="1" applyProtection="1">
      <alignment horizontal="center" vertical="center"/>
      <protection locked="0" hidden="1"/>
    </xf>
    <xf numFmtId="0" fontId="105" fillId="0" borderId="37" xfId="0" applyFont="1" applyFill="1" applyBorder="1"/>
    <xf numFmtId="0" fontId="102" fillId="0" borderId="1" xfId="19" applyFont="1" applyFill="1" applyBorder="1" applyAlignment="1" applyProtection="1">
      <alignment vertical="center" wrapText="1"/>
      <protection locked="0" hidden="1"/>
    </xf>
    <xf numFmtId="1" fontId="20" fillId="0" borderId="2" xfId="0" applyNumberFormat="1" applyFont="1" applyFill="1" applyBorder="1" applyAlignment="1">
      <alignment horizontal="center" vertical="center"/>
    </xf>
    <xf numFmtId="0" fontId="97" fillId="0" borderId="0" xfId="0" applyFont="1"/>
    <xf numFmtId="49" fontId="18" fillId="16" borderId="14" xfId="7" applyNumberFormat="1" applyFont="1" applyFill="1" applyBorder="1" applyAlignment="1" applyProtection="1">
      <alignment horizontal="center" vertical="top"/>
      <protection locked="0" hidden="1"/>
    </xf>
    <xf numFmtId="0" fontId="18" fillId="16" borderId="14" xfId="7" applyFont="1" applyFill="1" applyBorder="1" applyAlignment="1" applyProtection="1">
      <alignment horizontal="center" vertical="top" wrapText="1"/>
      <protection locked="0" hidden="1"/>
    </xf>
    <xf numFmtId="49" fontId="18" fillId="16" borderId="3" xfId="7" applyNumberFormat="1" applyFont="1" applyFill="1" applyBorder="1" applyAlignment="1" applyProtection="1">
      <alignment horizontal="center" vertical="top"/>
      <protection locked="0" hidden="1"/>
    </xf>
    <xf numFmtId="0" fontId="18" fillId="16" borderId="3" xfId="7" applyFont="1" applyFill="1" applyBorder="1" applyAlignment="1" applyProtection="1">
      <alignment vertical="top" wrapText="1"/>
      <protection locked="0" hidden="1"/>
    </xf>
    <xf numFmtId="0" fontId="18" fillId="16" borderId="7" xfId="0" applyFont="1" applyFill="1" applyBorder="1" applyAlignment="1" applyProtection="1">
      <alignment horizontal="center" vertical="center" wrapText="1"/>
      <protection locked="0" hidden="1"/>
    </xf>
    <xf numFmtId="49" fontId="18" fillId="16" borderId="7" xfId="0" quotePrefix="1" applyNumberFormat="1" applyFont="1" applyFill="1" applyBorder="1" applyAlignment="1" applyProtection="1">
      <alignment horizontal="center" vertical="center"/>
      <protection locked="0" hidden="1"/>
    </xf>
    <xf numFmtId="0" fontId="18" fillId="16" borderId="15" xfId="0" applyFont="1" applyFill="1" applyBorder="1" applyAlignment="1" applyProtection="1">
      <alignment vertical="center" wrapText="1"/>
      <protection locked="0" hidden="1"/>
    </xf>
    <xf numFmtId="0" fontId="18" fillId="16" borderId="22" xfId="0" applyFont="1" applyFill="1" applyBorder="1" applyAlignment="1" applyProtection="1">
      <alignment vertical="center" wrapText="1"/>
      <protection locked="0" hidden="1"/>
    </xf>
    <xf numFmtId="0" fontId="18" fillId="16" borderId="22" xfId="0" quotePrefix="1" applyFont="1" applyFill="1" applyBorder="1" applyAlignment="1" applyProtection="1">
      <alignment vertical="center" wrapText="1"/>
      <protection locked="0" hidden="1"/>
    </xf>
    <xf numFmtId="49" fontId="17" fillId="16" borderId="0" xfId="0" applyNumberFormat="1" applyFont="1" applyFill="1" applyAlignment="1" applyProtection="1">
      <alignment horizontal="center"/>
      <protection locked="0" hidden="1"/>
    </xf>
    <xf numFmtId="0" fontId="17" fillId="0" borderId="0" xfId="0" applyFont="1" applyAlignment="1">
      <alignment horizontal="center"/>
    </xf>
    <xf numFmtId="0" fontId="17" fillId="0" borderId="16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17" fillId="16" borderId="76" xfId="0" applyFont="1" applyFill="1" applyBorder="1" applyAlignment="1">
      <alignment vertical="center" wrapText="1"/>
    </xf>
    <xf numFmtId="0" fontId="17" fillId="16" borderId="74" xfId="0" applyFont="1" applyFill="1" applyBorder="1" applyAlignment="1">
      <alignment vertical="center" wrapText="1"/>
    </xf>
    <xf numFmtId="0" fontId="17" fillId="16" borderId="87" xfId="0" applyFont="1" applyFill="1" applyBorder="1" applyAlignment="1" applyProtection="1">
      <alignment vertical="center" wrapText="1"/>
      <protection locked="0" hidden="1"/>
    </xf>
    <xf numFmtId="0" fontId="17" fillId="16" borderId="74" xfId="0" applyFont="1" applyFill="1" applyBorder="1" applyAlignment="1" applyProtection="1">
      <alignment vertical="center" wrapText="1"/>
      <protection locked="0" hidden="1"/>
    </xf>
    <xf numFmtId="0" fontId="17" fillId="16" borderId="74" xfId="0" applyFont="1" applyFill="1" applyBorder="1" applyAlignment="1" applyProtection="1">
      <alignment horizontal="left" vertical="center" wrapText="1"/>
      <protection locked="0" hidden="1"/>
    </xf>
    <xf numFmtId="0" fontId="17" fillId="16" borderId="74" xfId="0" applyFont="1" applyFill="1" applyBorder="1" applyAlignment="1" applyProtection="1">
      <alignment vertical="center"/>
      <protection locked="0" hidden="1"/>
    </xf>
    <xf numFmtId="0" fontId="17" fillId="16" borderId="10" xfId="0" applyFont="1" applyFill="1" applyBorder="1" applyAlignment="1" applyProtection="1">
      <alignment vertical="center" wrapText="1"/>
      <protection locked="0" hidden="1"/>
    </xf>
    <xf numFmtId="0" fontId="17" fillId="16" borderId="78" xfId="0" applyFont="1" applyFill="1" applyBorder="1" applyAlignment="1" applyProtection="1">
      <alignment vertical="center" wrapText="1"/>
      <protection locked="0" hidden="1"/>
    </xf>
    <xf numFmtId="49" fontId="17" fillId="16" borderId="1" xfId="0" applyNumberFormat="1" applyFont="1" applyFill="1" applyBorder="1" applyAlignment="1">
      <alignment horizontal="center" vertical="center" wrapText="1"/>
    </xf>
    <xf numFmtId="49" fontId="17" fillId="16" borderId="1" xfId="0" quotePrefix="1" applyNumberFormat="1" applyFont="1" applyFill="1" applyBorder="1" applyAlignment="1" applyProtection="1">
      <alignment horizontal="center" vertical="center"/>
      <protection locked="0" hidden="1"/>
    </xf>
    <xf numFmtId="49" fontId="18" fillId="16" borderId="1" xfId="0" quotePrefix="1" applyNumberFormat="1" applyFont="1" applyFill="1" applyBorder="1" applyAlignment="1" applyProtection="1">
      <alignment horizontal="center" vertical="center"/>
      <protection locked="0" hidden="1"/>
    </xf>
    <xf numFmtId="49" fontId="17" fillId="16" borderId="2" xfId="0" applyNumberFormat="1" applyFont="1" applyFill="1" applyBorder="1" applyAlignment="1">
      <alignment horizontal="center" vertical="center" wrapText="1"/>
    </xf>
    <xf numFmtId="49" fontId="17" fillId="16" borderId="48" xfId="0" quotePrefix="1" applyNumberFormat="1" applyFont="1" applyFill="1" applyBorder="1" applyAlignment="1" applyProtection="1">
      <alignment horizontal="center" vertical="center"/>
      <protection locked="0" hidden="1"/>
    </xf>
    <xf numFmtId="0" fontId="40" fillId="16" borderId="0" xfId="0" applyFont="1" applyFill="1" applyAlignment="1">
      <alignment horizontal="center" vertical="center"/>
    </xf>
    <xf numFmtId="43" fontId="57" fillId="0" borderId="14" xfId="12" applyNumberFormat="1" applyFont="1" applyBorder="1" applyAlignment="1" applyProtection="1">
      <alignment horizontal="center" vertical="center"/>
      <protection locked="0" hidden="1"/>
    </xf>
    <xf numFmtId="43" fontId="57" fillId="0" borderId="4" xfId="12" applyNumberFormat="1" applyFont="1" applyBorder="1" applyAlignment="1" applyProtection="1">
      <alignment horizontal="center" vertical="center"/>
      <protection locked="0" hidden="1"/>
    </xf>
    <xf numFmtId="0" fontId="19" fillId="0" borderId="0" xfId="15" applyFont="1" applyBorder="1" applyAlignment="1" applyProtection="1">
      <alignment horizontal="center"/>
      <protection locked="0" hidden="1"/>
    </xf>
    <xf numFmtId="0" fontId="57" fillId="16" borderId="14" xfId="7" applyFont="1" applyFill="1" applyBorder="1" applyAlignment="1" applyProtection="1">
      <alignment horizontal="center" vertical="center" wrapText="1"/>
      <protection locked="0" hidden="1"/>
    </xf>
    <xf numFmtId="0" fontId="57" fillId="16" borderId="4" xfId="7" applyFont="1" applyFill="1" applyBorder="1" applyAlignment="1" applyProtection="1">
      <alignment horizontal="center" vertical="center" wrapText="1"/>
      <protection locked="0" hidden="1"/>
    </xf>
    <xf numFmtId="0" fontId="33" fillId="16" borderId="0" xfId="15" applyFont="1" applyFill="1" applyBorder="1" applyAlignment="1" applyProtection="1">
      <alignment horizontal="center"/>
      <protection locked="0" hidden="1"/>
    </xf>
    <xf numFmtId="0" fontId="48" fillId="0" borderId="11" xfId="0" applyFont="1" applyFill="1" applyBorder="1" applyAlignment="1">
      <alignment horizontal="center" vertical="center"/>
    </xf>
    <xf numFmtId="0" fontId="48" fillId="0" borderId="8" xfId="0" applyFont="1" applyFill="1" applyBorder="1" applyAlignment="1">
      <alignment horizontal="center" vertical="center"/>
    </xf>
    <xf numFmtId="0" fontId="48" fillId="0" borderId="22" xfId="0" applyFont="1" applyFill="1" applyBorder="1" applyAlignment="1">
      <alignment horizontal="center" vertical="center"/>
    </xf>
    <xf numFmtId="0" fontId="31" fillId="0" borderId="77" xfId="0" applyFont="1" applyFill="1" applyBorder="1" applyAlignment="1">
      <alignment horizontal="center" vertical="center"/>
    </xf>
    <xf numFmtId="0" fontId="31" fillId="0" borderId="78" xfId="0" applyFont="1" applyFill="1" applyBorder="1" applyAlignment="1">
      <alignment horizontal="center" vertical="center"/>
    </xf>
    <xf numFmtId="0" fontId="19" fillId="0" borderId="0" xfId="16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 vertical="top"/>
    </xf>
    <xf numFmtId="0" fontId="19" fillId="0" borderId="28" xfId="0" applyFont="1" applyFill="1" applyBorder="1" applyAlignment="1">
      <alignment horizontal="center" vertical="top"/>
    </xf>
    <xf numFmtId="0" fontId="19" fillId="0" borderId="32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top"/>
    </xf>
    <xf numFmtId="0" fontId="19" fillId="0" borderId="32" xfId="0" applyFont="1" applyFill="1" applyBorder="1" applyAlignment="1">
      <alignment horizontal="center" vertical="top"/>
    </xf>
    <xf numFmtId="0" fontId="19" fillId="0" borderId="28" xfId="0" applyFont="1" applyFill="1" applyBorder="1" applyAlignment="1">
      <alignment horizontal="center"/>
    </xf>
    <xf numFmtId="0" fontId="19" fillId="0" borderId="51" xfId="0" applyFont="1" applyFill="1" applyBorder="1" applyAlignment="1">
      <alignment horizontal="center" vertical="center"/>
    </xf>
    <xf numFmtId="0" fontId="19" fillId="0" borderId="25" xfId="0" applyFont="1" applyFill="1" applyBorder="1" applyAlignment="1">
      <alignment horizontal="center" vertical="center"/>
    </xf>
    <xf numFmtId="0" fontId="19" fillId="0" borderId="85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0" fontId="19" fillId="0" borderId="51" xfId="0" applyFont="1" applyFill="1" applyBorder="1" applyAlignment="1">
      <alignment horizontal="left" vertical="center" wrapText="1"/>
    </xf>
    <xf numFmtId="0" fontId="19" fillId="0" borderId="25" xfId="0" applyFont="1" applyFill="1" applyBorder="1" applyAlignment="1">
      <alignment horizontal="left" vertical="center" wrapText="1"/>
    </xf>
    <xf numFmtId="0" fontId="19" fillId="0" borderId="37" xfId="0" applyFont="1" applyFill="1" applyBorder="1" applyAlignment="1">
      <alignment horizontal="left" vertical="center" wrapText="1"/>
    </xf>
    <xf numFmtId="0" fontId="19" fillId="0" borderId="27" xfId="0" applyFont="1" applyFill="1" applyBorder="1" applyAlignment="1">
      <alignment horizontal="center"/>
    </xf>
    <xf numFmtId="0" fontId="19" fillId="0" borderId="0" xfId="46" applyFont="1" applyFill="1" applyBorder="1" applyAlignment="1">
      <alignment horizontal="center"/>
    </xf>
    <xf numFmtId="0" fontId="19" fillId="0" borderId="69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7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38" xfId="0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wrapText="1"/>
    </xf>
    <xf numFmtId="0" fontId="19" fillId="0" borderId="25" xfId="0" applyFont="1" applyFill="1" applyBorder="1" applyAlignment="1">
      <alignment horizontal="center"/>
    </xf>
    <xf numFmtId="0" fontId="19" fillId="0" borderId="37" xfId="0" applyFont="1" applyFill="1" applyBorder="1" applyAlignment="1">
      <alignment horizontal="center"/>
    </xf>
    <xf numFmtId="0" fontId="26" fillId="16" borderId="0" xfId="15" applyFont="1" applyFill="1" applyAlignment="1" applyProtection="1">
      <alignment horizontal="center"/>
      <protection locked="0" hidden="1"/>
    </xf>
    <xf numFmtId="0" fontId="26" fillId="16" borderId="21" xfId="15" applyFont="1" applyFill="1" applyBorder="1" applyAlignment="1" applyProtection="1">
      <alignment horizontal="center"/>
      <protection locked="0" hidden="1"/>
    </xf>
    <xf numFmtId="43" fontId="19" fillId="16" borderId="11" xfId="12" applyFont="1" applyFill="1" applyBorder="1" applyAlignment="1" applyProtection="1">
      <alignment horizontal="center" vertical="top" wrapText="1"/>
      <protection hidden="1"/>
    </xf>
    <xf numFmtId="43" fontId="19" fillId="16" borderId="8" xfId="12" applyFont="1" applyFill="1" applyBorder="1" applyAlignment="1" applyProtection="1">
      <alignment horizontal="center" vertical="top" wrapText="1"/>
      <protection hidden="1"/>
    </xf>
    <xf numFmtId="43" fontId="19" fillId="16" borderId="22" xfId="12" applyFont="1" applyFill="1" applyBorder="1" applyAlignment="1" applyProtection="1">
      <alignment horizontal="center" vertical="top" wrapText="1"/>
      <protection hidden="1"/>
    </xf>
    <xf numFmtId="164" fontId="19" fillId="16" borderId="14" xfId="12" applyNumberFormat="1" applyFont="1" applyFill="1" applyBorder="1" applyAlignment="1" applyProtection="1">
      <alignment horizontal="center" vertical="center" wrapText="1"/>
      <protection hidden="1"/>
    </xf>
    <xf numFmtId="164" fontId="19" fillId="16" borderId="4" xfId="12" applyNumberFormat="1" applyFont="1" applyFill="1" applyBorder="1" applyAlignment="1" applyProtection="1">
      <alignment horizontal="center" vertical="center" wrapText="1"/>
      <protection hidden="1"/>
    </xf>
    <xf numFmtId="0" fontId="16" fillId="16" borderId="0" xfId="15" applyFont="1" applyFill="1" applyBorder="1" applyAlignment="1" applyProtection="1">
      <alignment horizontal="center"/>
      <protection locked="0"/>
    </xf>
    <xf numFmtId="0" fontId="16" fillId="16" borderId="21" xfId="15" applyFont="1" applyFill="1" applyBorder="1" applyAlignment="1" applyProtection="1">
      <alignment horizontal="center"/>
      <protection locked="0"/>
    </xf>
    <xf numFmtId="0" fontId="16" fillId="16" borderId="0" xfId="15" applyFont="1" applyFill="1" applyAlignment="1" applyProtection="1">
      <alignment horizontal="center"/>
      <protection locked="0"/>
    </xf>
    <xf numFmtId="0" fontId="16" fillId="16" borderId="21" xfId="16" applyFont="1" applyFill="1" applyBorder="1" applyAlignment="1">
      <alignment horizontal="center"/>
    </xf>
    <xf numFmtId="0" fontId="16" fillId="16" borderId="0" xfId="16" applyFont="1" applyFill="1" applyBorder="1" applyAlignment="1">
      <alignment horizontal="center"/>
    </xf>
    <xf numFmtId="0" fontId="16" fillId="16" borderId="0" xfId="27" applyFont="1" applyFill="1" applyBorder="1" applyAlignment="1" applyProtection="1">
      <alignment horizontal="center"/>
      <protection locked="0"/>
    </xf>
    <xf numFmtId="0" fontId="16" fillId="16" borderId="21" xfId="27" applyFont="1" applyFill="1" applyBorder="1" applyAlignment="1" applyProtection="1">
      <alignment horizontal="center"/>
      <protection locked="0"/>
    </xf>
    <xf numFmtId="0" fontId="16" fillId="16" borderId="0" xfId="15" applyFont="1" applyFill="1" applyBorder="1" applyAlignment="1" applyProtection="1">
      <alignment horizontal="center" vertical="center" wrapText="1"/>
      <protection locked="0" hidden="1"/>
    </xf>
    <xf numFmtId="0" fontId="16" fillId="16" borderId="21" xfId="15" applyFont="1" applyFill="1" applyBorder="1" applyAlignment="1" applyProtection="1">
      <alignment horizontal="center" vertical="center" wrapText="1"/>
      <protection locked="0" hidden="1"/>
    </xf>
    <xf numFmtId="0" fontId="16" fillId="16" borderId="0" xfId="27" applyFont="1" applyFill="1" applyBorder="1" applyAlignment="1" applyProtection="1">
      <alignment horizontal="center" vertical="center"/>
      <protection locked="0" hidden="1"/>
    </xf>
    <xf numFmtId="0" fontId="16" fillId="16" borderId="21" xfId="27" applyFont="1" applyFill="1" applyBorder="1" applyAlignment="1" applyProtection="1">
      <alignment horizontal="center" vertical="center"/>
      <protection locked="0" hidden="1"/>
    </xf>
    <xf numFmtId="0" fontId="16" fillId="16" borderId="0" xfId="15" applyFont="1" applyFill="1" applyBorder="1" applyAlignment="1" applyProtection="1">
      <alignment horizontal="center" vertical="center"/>
      <protection locked="0" hidden="1"/>
    </xf>
    <xf numFmtId="0" fontId="16" fillId="16" borderId="21" xfId="15" applyFont="1" applyFill="1" applyBorder="1" applyAlignment="1" applyProtection="1">
      <alignment horizontal="center" vertical="center"/>
      <protection locked="0" hidden="1"/>
    </xf>
    <xf numFmtId="0" fontId="16" fillId="16" borderId="25" xfId="15" applyFont="1" applyFill="1" applyBorder="1" applyAlignment="1" applyProtection="1">
      <alignment horizontal="center"/>
      <protection locked="0"/>
    </xf>
    <xf numFmtId="0" fontId="16" fillId="16" borderId="0" xfId="16" applyFont="1" applyFill="1" applyBorder="1" applyAlignment="1">
      <alignment horizontal="center" vertical="center"/>
    </xf>
    <xf numFmtId="0" fontId="16" fillId="16" borderId="0" xfId="27" applyFont="1" applyFill="1" applyBorder="1" applyAlignment="1" applyProtection="1">
      <alignment horizontal="center"/>
      <protection locked="0" hidden="1"/>
    </xf>
    <xf numFmtId="1" fontId="16" fillId="16" borderId="0" xfId="36" applyNumberFormat="1" applyFont="1" applyFill="1" applyBorder="1" applyAlignment="1" applyProtection="1">
      <alignment horizontal="center" vertical="center"/>
      <protection locked="0"/>
    </xf>
    <xf numFmtId="1" fontId="16" fillId="16" borderId="21" xfId="36" applyNumberFormat="1" applyFont="1" applyFill="1" applyBorder="1" applyAlignment="1" applyProtection="1">
      <alignment horizontal="center" vertical="center"/>
      <protection locked="0"/>
    </xf>
    <xf numFmtId="0" fontId="16" fillId="16" borderId="11" xfId="36" applyFont="1" applyFill="1" applyBorder="1" applyAlignment="1" applyProtection="1">
      <alignment horizontal="center" vertical="top" wrapText="1"/>
      <protection locked="0"/>
    </xf>
    <xf numFmtId="0" fontId="16" fillId="16" borderId="22" xfId="36" applyFont="1" applyFill="1" applyBorder="1" applyAlignment="1" applyProtection="1">
      <alignment horizontal="center" vertical="top" wrapText="1"/>
      <protection locked="0"/>
    </xf>
    <xf numFmtId="0" fontId="19" fillId="0" borderId="21" xfId="15" applyFont="1" applyFill="1" applyBorder="1" applyAlignment="1" applyProtection="1">
      <alignment horizontal="center" vertical="center"/>
      <protection locked="0" hidden="1"/>
    </xf>
    <xf numFmtId="0" fontId="19" fillId="0" borderId="0" xfId="15" applyFont="1" applyFill="1" applyBorder="1" applyAlignment="1" applyProtection="1">
      <alignment horizontal="center" vertical="center"/>
      <protection locked="0" hidden="1"/>
    </xf>
    <xf numFmtId="0" fontId="19" fillId="0" borderId="0" xfId="15" applyFont="1" applyFill="1" applyAlignment="1" applyProtection="1">
      <alignment horizontal="center" vertical="center"/>
      <protection locked="0" hidden="1"/>
    </xf>
    <xf numFmtId="0" fontId="19" fillId="0" borderId="13" xfId="15" applyFont="1" applyFill="1" applyBorder="1" applyAlignment="1" applyProtection="1">
      <alignment horizontal="center" vertical="center"/>
      <protection locked="0" hidden="1"/>
    </xf>
    <xf numFmtId="0" fontId="108" fillId="0" borderId="0" xfId="34" applyFont="1" applyFill="1" applyBorder="1" applyAlignment="1" applyProtection="1">
      <alignment horizontal="center" vertical="center"/>
      <protection locked="0" hidden="1"/>
    </xf>
    <xf numFmtId="0" fontId="108" fillId="0" borderId="21" xfId="34" applyFont="1" applyFill="1" applyBorder="1" applyAlignment="1" applyProtection="1">
      <alignment horizontal="center" vertical="center"/>
      <protection locked="0" hidden="1"/>
    </xf>
    <xf numFmtId="0" fontId="19" fillId="0" borderId="0" xfId="27" applyFont="1" applyFill="1" applyBorder="1" applyAlignment="1" applyProtection="1">
      <alignment horizontal="center" vertical="center"/>
      <protection locked="0" hidden="1"/>
    </xf>
    <xf numFmtId="0" fontId="19" fillId="0" borderId="21" xfId="27" applyFont="1" applyFill="1" applyBorder="1" applyAlignment="1" applyProtection="1">
      <alignment horizontal="center" vertical="center"/>
      <protection locked="0" hidden="1"/>
    </xf>
    <xf numFmtId="0" fontId="28" fillId="0" borderId="0" xfId="27" applyFont="1" applyFill="1" applyBorder="1" applyAlignment="1" applyProtection="1">
      <alignment horizontal="center" vertical="center"/>
      <protection locked="0" hidden="1"/>
    </xf>
    <xf numFmtId="0" fontId="28" fillId="0" borderId="21" xfId="27" applyFont="1" applyFill="1" applyBorder="1" applyAlignment="1" applyProtection="1">
      <alignment horizontal="center" vertical="center"/>
      <protection locked="0" hidden="1"/>
    </xf>
    <xf numFmtId="0" fontId="18" fillId="0" borderId="0" xfId="27" applyFont="1" applyFill="1" applyBorder="1" applyAlignment="1" applyProtection="1">
      <alignment horizontal="center" vertical="center"/>
      <protection locked="0" hidden="1"/>
    </xf>
    <xf numFmtId="0" fontId="18" fillId="0" borderId="21" xfId="27" applyFont="1" applyFill="1" applyBorder="1" applyAlignment="1" applyProtection="1">
      <alignment horizontal="center"/>
      <protection locked="0" hidden="1"/>
    </xf>
    <xf numFmtId="0" fontId="18" fillId="0" borderId="21" xfId="27" applyFont="1" applyFill="1" applyBorder="1" applyAlignment="1" applyProtection="1">
      <alignment horizontal="center" vertical="center"/>
      <protection locked="0" hidden="1"/>
    </xf>
    <xf numFmtId="0" fontId="19" fillId="0" borderId="0" xfId="27" applyFont="1" applyFill="1" applyAlignment="1" applyProtection="1">
      <alignment horizontal="center" vertical="center"/>
      <protection locked="0" hidden="1"/>
    </xf>
    <xf numFmtId="0" fontId="121" fillId="0" borderId="0" xfId="27" applyFont="1" applyFill="1" applyBorder="1" applyAlignment="1" applyProtection="1">
      <alignment horizontal="center" vertical="center"/>
      <protection locked="0" hidden="1"/>
    </xf>
    <xf numFmtId="0" fontId="102" fillId="0" borderId="21" xfId="15" applyFont="1" applyFill="1" applyBorder="1" applyAlignment="1" applyProtection="1">
      <alignment horizontal="center" vertical="center"/>
      <protection locked="0" hidden="1"/>
    </xf>
    <xf numFmtId="0" fontId="18" fillId="0" borderId="0" xfId="15" applyFont="1" applyFill="1" applyBorder="1" applyAlignment="1" applyProtection="1">
      <alignment horizontal="center" vertical="center"/>
      <protection locked="0" hidden="1"/>
    </xf>
    <xf numFmtId="0" fontId="102" fillId="0" borderId="0" xfId="15" applyFont="1" applyFill="1" applyBorder="1" applyAlignment="1" applyProtection="1">
      <alignment horizontal="center" vertical="center"/>
      <protection locked="0" hidden="1"/>
    </xf>
    <xf numFmtId="0" fontId="100" fillId="0" borderId="0" xfId="15" applyFont="1" applyFill="1" applyBorder="1" applyAlignment="1" applyProtection="1">
      <alignment horizontal="center" vertical="center"/>
      <protection locked="0" hidden="1"/>
    </xf>
    <xf numFmtId="0" fontId="100" fillId="0" borderId="21" xfId="15" applyFont="1" applyFill="1" applyBorder="1" applyAlignment="1" applyProtection="1">
      <alignment horizontal="center" vertical="center"/>
      <protection locked="0" hidden="1"/>
    </xf>
    <xf numFmtId="1" fontId="120" fillId="0" borderId="21" xfId="0" applyNumberFormat="1" applyFont="1" applyFill="1" applyBorder="1" applyAlignment="1" applyProtection="1">
      <alignment horizontal="left" vertical="center"/>
      <protection locked="0" hidden="1"/>
    </xf>
    <xf numFmtId="0" fontId="16" fillId="0" borderId="0" xfId="15" applyFont="1" applyFill="1" applyBorder="1" applyAlignment="1" applyProtection="1">
      <alignment horizontal="center" vertical="center"/>
      <protection locked="0" hidden="1"/>
    </xf>
    <xf numFmtId="0" fontId="16" fillId="0" borderId="21" xfId="15" applyFont="1" applyFill="1" applyBorder="1" applyAlignment="1" applyProtection="1">
      <alignment horizontal="center" vertical="center"/>
      <protection locked="0" hidden="1"/>
    </xf>
    <xf numFmtId="0" fontId="18" fillId="0" borderId="21" xfId="15" applyFont="1" applyFill="1" applyBorder="1" applyAlignment="1" applyProtection="1">
      <alignment horizontal="center" vertical="center"/>
      <protection locked="0" hidden="1"/>
    </xf>
    <xf numFmtId="0" fontId="121" fillId="0" borderId="0" xfId="15" applyFont="1" applyFill="1" applyBorder="1" applyAlignment="1" applyProtection="1">
      <alignment horizontal="center" vertical="center"/>
      <protection locked="0" hidden="1"/>
    </xf>
    <xf numFmtId="0" fontId="121" fillId="0" borderId="0" xfId="15" applyFont="1" applyFill="1" applyBorder="1" applyAlignment="1" applyProtection="1">
      <alignment horizontal="center" vertical="center" wrapText="1"/>
      <protection locked="0" hidden="1"/>
    </xf>
    <xf numFmtId="0" fontId="121" fillId="0" borderId="21" xfId="15" applyFont="1" applyFill="1" applyBorder="1" applyAlignment="1" applyProtection="1">
      <alignment horizontal="center" vertical="center" wrapText="1"/>
      <protection locked="0" hidden="1"/>
    </xf>
    <xf numFmtId="0" fontId="51" fillId="16" borderId="0" xfId="15" applyFont="1" applyFill="1" applyAlignment="1" applyProtection="1">
      <alignment horizontal="center"/>
      <protection hidden="1"/>
    </xf>
    <xf numFmtId="0" fontId="51" fillId="16" borderId="28" xfId="15" applyFont="1" applyFill="1" applyBorder="1" applyAlignment="1" applyProtection="1">
      <alignment horizontal="center"/>
      <protection hidden="1"/>
    </xf>
    <xf numFmtId="0" fontId="51" fillId="16" borderId="0" xfId="15" applyFont="1" applyFill="1" applyBorder="1" applyAlignment="1" applyProtection="1">
      <alignment horizontal="center"/>
      <protection hidden="1"/>
    </xf>
    <xf numFmtId="0" fontId="28" fillId="16" borderId="24" xfId="9" quotePrefix="1" applyFont="1" applyFill="1" applyBorder="1" applyAlignment="1" applyProtection="1">
      <alignment horizontal="center" vertical="center" wrapText="1"/>
      <protection hidden="1"/>
    </xf>
    <xf numFmtId="0" fontId="28" fillId="16" borderId="2" xfId="9" quotePrefix="1" applyFont="1" applyFill="1" applyBorder="1" applyAlignment="1" applyProtection="1">
      <alignment horizontal="center" vertical="center" wrapText="1"/>
      <protection hidden="1"/>
    </xf>
    <xf numFmtId="0" fontId="51" fillId="16" borderId="0" xfId="15" applyFont="1" applyFill="1" applyAlignment="1" applyProtection="1">
      <alignment horizontal="center"/>
      <protection locked="0" hidden="1"/>
    </xf>
    <xf numFmtId="0" fontId="51" fillId="16" borderId="21" xfId="15" applyFont="1" applyFill="1" applyBorder="1" applyAlignment="1" applyProtection="1">
      <alignment horizontal="center"/>
      <protection locked="0" hidden="1"/>
    </xf>
    <xf numFmtId="2" fontId="25" fillId="16" borderId="11" xfId="17" applyNumberFormat="1" applyFont="1" applyFill="1" applyBorder="1" applyAlignment="1" applyProtection="1">
      <alignment horizontal="center" vertical="top" wrapText="1"/>
      <protection hidden="1"/>
    </xf>
    <xf numFmtId="2" fontId="25" fillId="16" borderId="8" xfId="17" applyNumberFormat="1" applyFont="1" applyFill="1" applyBorder="1" applyAlignment="1" applyProtection="1">
      <alignment horizontal="center" vertical="top" wrapText="1"/>
      <protection hidden="1"/>
    </xf>
    <xf numFmtId="2" fontId="25" fillId="16" borderId="22" xfId="17" applyNumberFormat="1" applyFont="1" applyFill="1" applyBorder="1" applyAlignment="1" applyProtection="1">
      <alignment horizontal="center" vertical="top" wrapText="1"/>
      <protection hidden="1"/>
    </xf>
    <xf numFmtId="0" fontId="18" fillId="0" borderId="21" xfId="27" applyFont="1" applyFill="1" applyBorder="1" applyAlignment="1" applyProtection="1">
      <alignment horizontal="center" wrapText="1"/>
      <protection locked="0" hidden="1"/>
    </xf>
    <xf numFmtId="0" fontId="18" fillId="0" borderId="0" xfId="27" applyFont="1" applyFill="1" applyBorder="1" applyAlignment="1" applyProtection="1">
      <alignment horizontal="center" wrapText="1"/>
      <protection locked="0" hidden="1"/>
    </xf>
    <xf numFmtId="0" fontId="18" fillId="0" borderId="13" xfId="27" applyFont="1" applyFill="1" applyBorder="1" applyAlignment="1" applyProtection="1">
      <alignment horizontal="center" wrapText="1"/>
      <protection locked="0" hidden="1"/>
    </xf>
    <xf numFmtId="0" fontId="18" fillId="0" borderId="21" xfId="15" applyFont="1" applyFill="1" applyBorder="1" applyAlignment="1" applyProtection="1">
      <alignment horizontal="center" wrapText="1"/>
      <protection locked="0" hidden="1"/>
    </xf>
    <xf numFmtId="0" fontId="18" fillId="0" borderId="0" xfId="15" applyFont="1" applyFill="1" applyBorder="1" applyAlignment="1" applyProtection="1">
      <alignment horizontal="center" wrapText="1"/>
      <protection locked="0" hidden="1"/>
    </xf>
    <xf numFmtId="0" fontId="18" fillId="0" borderId="0" xfId="15" applyFont="1" applyFill="1" applyBorder="1" applyAlignment="1" applyProtection="1">
      <alignment horizontal="center" vertical="center" wrapText="1"/>
      <protection locked="0" hidden="1"/>
    </xf>
    <xf numFmtId="0" fontId="18" fillId="0" borderId="13" xfId="15" applyFont="1" applyFill="1" applyBorder="1" applyAlignment="1" applyProtection="1">
      <alignment horizontal="center" wrapText="1"/>
      <protection locked="0" hidden="1"/>
    </xf>
    <xf numFmtId="0" fontId="18" fillId="0" borderId="21" xfId="27" applyFont="1" applyFill="1" applyBorder="1" applyAlignment="1" applyProtection="1">
      <alignment horizontal="center" vertical="center" wrapText="1"/>
      <protection locked="0" hidden="1"/>
    </xf>
    <xf numFmtId="0" fontId="112" fillId="0" borderId="0" xfId="27" applyFont="1" applyFill="1" applyBorder="1" applyAlignment="1" applyProtection="1">
      <alignment horizontal="center" wrapText="1"/>
      <protection locked="0" hidden="1"/>
    </xf>
    <xf numFmtId="0" fontId="116" fillId="0" borderId="21" xfId="27" applyFont="1" applyFill="1" applyBorder="1" applyAlignment="1" applyProtection="1">
      <alignment horizontal="center" wrapText="1"/>
      <protection locked="0" hidden="1"/>
    </xf>
    <xf numFmtId="0" fontId="112" fillId="0" borderId="21" xfId="27" applyFont="1" applyFill="1" applyBorder="1" applyAlignment="1" applyProtection="1">
      <alignment horizontal="center" wrapText="1"/>
      <protection locked="0" hidden="1"/>
    </xf>
    <xf numFmtId="0" fontId="18" fillId="0" borderId="0" xfId="0" applyFont="1" applyFill="1" applyAlignment="1">
      <alignment horizont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21" xfId="0" applyFont="1" applyFill="1" applyBorder="1" applyAlignment="1">
      <alignment horizontal="center" wrapText="1"/>
    </xf>
    <xf numFmtId="0" fontId="18" fillId="0" borderId="0" xfId="27" applyFont="1" applyFill="1" applyBorder="1" applyAlignment="1" applyProtection="1">
      <alignment horizontal="center" vertical="center" wrapText="1"/>
      <protection locked="0" hidden="1"/>
    </xf>
    <xf numFmtId="0" fontId="102" fillId="0" borderId="0" xfId="27" applyFont="1" applyFill="1" applyBorder="1" applyAlignment="1" applyProtection="1">
      <alignment horizontal="center" vertical="center" wrapText="1"/>
      <protection locked="0" hidden="1"/>
    </xf>
    <xf numFmtId="0" fontId="102" fillId="0" borderId="21" xfId="27" applyFont="1" applyFill="1" applyBorder="1" applyAlignment="1" applyProtection="1">
      <alignment horizontal="center" wrapText="1"/>
      <protection locked="0" hidden="1"/>
    </xf>
    <xf numFmtId="0" fontId="18" fillId="0" borderId="21" xfId="15" applyFont="1" applyFill="1" applyBorder="1" applyAlignment="1" applyProtection="1">
      <alignment horizontal="center" vertical="center" wrapText="1"/>
      <protection locked="0" hidden="1"/>
    </xf>
    <xf numFmtId="0" fontId="18" fillId="0" borderId="0" xfId="15" applyFont="1" applyFill="1" applyBorder="1" applyAlignment="1" applyProtection="1">
      <alignment wrapText="1"/>
      <protection locked="0" hidden="1"/>
    </xf>
    <xf numFmtId="0" fontId="18" fillId="0" borderId="13" xfId="15" applyFont="1" applyFill="1" applyBorder="1" applyAlignment="1" applyProtection="1">
      <alignment wrapText="1"/>
      <protection locked="0" hidden="1"/>
    </xf>
    <xf numFmtId="0" fontId="116" fillId="0" borderId="21" xfId="15" applyFont="1" applyFill="1" applyBorder="1" applyAlignment="1" applyProtection="1">
      <alignment horizontal="left" wrapText="1"/>
      <protection locked="0" hidden="1"/>
    </xf>
    <xf numFmtId="0" fontId="18" fillId="0" borderId="8" xfId="15" applyFont="1" applyFill="1" applyBorder="1" applyAlignment="1" applyProtection="1">
      <alignment horizontal="center" wrapText="1"/>
      <protection locked="0" hidden="1"/>
    </xf>
    <xf numFmtId="0" fontId="18" fillId="0" borderId="0" xfId="15" applyFont="1" applyFill="1" applyAlignment="1" applyProtection="1">
      <alignment horizontal="center" wrapText="1"/>
      <protection locked="0" hidden="1"/>
    </xf>
    <xf numFmtId="0" fontId="18" fillId="0" borderId="0" xfId="15" applyFont="1" applyFill="1" applyAlignment="1" applyProtection="1">
      <alignment horizontal="center" vertical="center" wrapText="1"/>
      <protection locked="0" hidden="1"/>
    </xf>
    <xf numFmtId="0" fontId="18" fillId="0" borderId="0" xfId="27" applyFont="1" applyFill="1" applyAlignment="1" applyProtection="1">
      <alignment horizontal="center" wrapText="1"/>
      <protection locked="0" hidden="1"/>
    </xf>
    <xf numFmtId="0" fontId="112" fillId="0" borderId="0" xfId="15" applyFont="1" applyFill="1" applyBorder="1" applyAlignment="1" applyProtection="1">
      <alignment horizontal="center" vertical="center" wrapText="1"/>
      <protection locked="0" hidden="1"/>
    </xf>
    <xf numFmtId="0" fontId="112" fillId="0" borderId="21" xfId="15" applyFont="1" applyFill="1" applyBorder="1" applyAlignment="1" applyProtection="1">
      <alignment horizontal="center" wrapText="1"/>
      <protection locked="0" hidden="1"/>
    </xf>
    <xf numFmtId="0" fontId="116" fillId="0" borderId="0" xfId="27" applyFont="1" applyFill="1" applyBorder="1" applyAlignment="1" applyProtection="1">
      <alignment horizontal="left" wrapText="1"/>
      <protection locked="0" hidden="1"/>
    </xf>
    <xf numFmtId="0" fontId="116" fillId="0" borderId="21" xfId="27" applyFont="1" applyFill="1" applyBorder="1" applyAlignment="1" applyProtection="1">
      <alignment horizontal="left" wrapText="1"/>
      <protection locked="0" hidden="1"/>
    </xf>
    <xf numFmtId="0" fontId="117" fillId="0" borderId="21" xfId="27" applyFont="1" applyFill="1" applyBorder="1" applyAlignment="1" applyProtection="1">
      <alignment horizontal="left" wrapText="1"/>
      <protection locked="0" hidden="1"/>
    </xf>
    <xf numFmtId="0" fontId="74" fillId="0" borderId="0" xfId="16" applyFont="1" applyFill="1" applyBorder="1" applyAlignment="1">
      <alignment horizontal="center"/>
    </xf>
    <xf numFmtId="0" fontId="74" fillId="0" borderId="21" xfId="16" applyFont="1" applyFill="1" applyBorder="1" applyAlignment="1">
      <alignment horizontal="center"/>
    </xf>
    <xf numFmtId="0" fontId="74" fillId="0" borderId="0" xfId="16" applyFont="1" applyFill="1" applyBorder="1" applyAlignment="1">
      <alignment horizontal="center" vertical="center"/>
    </xf>
    <xf numFmtId="0" fontId="74" fillId="0" borderId="21" xfId="16" applyFont="1" applyFill="1" applyBorder="1" applyAlignment="1">
      <alignment horizontal="center" vertical="center"/>
    </xf>
    <xf numFmtId="0" fontId="74" fillId="0" borderId="21" xfId="15" applyFont="1" applyFill="1" applyBorder="1" applyAlignment="1" applyProtection="1">
      <alignment horizontal="center" vertical="center"/>
      <protection locked="0" hidden="1"/>
    </xf>
    <xf numFmtId="0" fontId="92" fillId="0" borderId="0" xfId="16" applyFont="1" applyFill="1" applyBorder="1" applyAlignment="1">
      <alignment horizontal="center" vertical="center"/>
    </xf>
    <xf numFmtId="0" fontId="74" fillId="0" borderId="21" xfId="0" applyFont="1" applyFill="1" applyBorder="1" applyAlignment="1">
      <alignment horizontal="center"/>
    </xf>
    <xf numFmtId="0" fontId="23" fillId="0" borderId="0" xfId="16" applyFont="1" applyFill="1" applyBorder="1" applyAlignment="1">
      <alignment horizontal="center"/>
    </xf>
    <xf numFmtId="0" fontId="23" fillId="0" borderId="21" xfId="16" applyFont="1" applyFill="1" applyBorder="1" applyAlignment="1">
      <alignment horizontal="center" vertical="center"/>
    </xf>
    <xf numFmtId="0" fontId="74" fillId="0" borderId="0" xfId="16" applyFont="1" applyFill="1" applyBorder="1" applyAlignment="1">
      <alignment horizontal="center" wrapText="1"/>
    </xf>
    <xf numFmtId="0" fontId="89" fillId="0" borderId="0" xfId="16" applyFont="1" applyFill="1" applyBorder="1" applyAlignment="1">
      <alignment horizontal="center" vertical="center"/>
    </xf>
    <xf numFmtId="0" fontId="89" fillId="0" borderId="21" xfId="16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 wrapText="1"/>
    </xf>
    <xf numFmtId="0" fontId="23" fillId="0" borderId="0" xfId="16" applyFont="1" applyFill="1" applyBorder="1" applyAlignment="1">
      <alignment horizontal="center" vertical="center"/>
    </xf>
    <xf numFmtId="0" fontId="23" fillId="0" borderId="0" xfId="16" applyFont="1" applyFill="1" applyBorder="1" applyAlignment="1">
      <alignment horizontal="center" wrapText="1"/>
    </xf>
    <xf numFmtId="0" fontId="23" fillId="0" borderId="21" xfId="16" applyFont="1" applyFill="1" applyBorder="1" applyAlignment="1">
      <alignment horizontal="center" wrapText="1"/>
    </xf>
    <xf numFmtId="0" fontId="74" fillId="0" borderId="13" xfId="16" applyFont="1" applyFill="1" applyBorder="1" applyAlignment="1">
      <alignment horizontal="center" vertical="center"/>
    </xf>
    <xf numFmtId="0" fontId="74" fillId="0" borderId="11" xfId="0" applyFont="1" applyFill="1" applyBorder="1" applyAlignment="1">
      <alignment horizontal="left" vertical="center" wrapText="1"/>
    </xf>
    <xf numFmtId="0" fontId="74" fillId="0" borderId="8" xfId="0" applyFont="1" applyFill="1" applyBorder="1" applyAlignment="1">
      <alignment horizontal="left" vertical="center" wrapText="1"/>
    </xf>
    <xf numFmtId="0" fontId="74" fillId="0" borderId="21" xfId="16" applyFont="1" applyFill="1" applyBorder="1" applyAlignment="1">
      <alignment horizontal="center" vertical="center" wrapText="1"/>
    </xf>
    <xf numFmtId="0" fontId="92" fillId="0" borderId="0" xfId="16" applyFont="1" applyFill="1" applyBorder="1" applyAlignment="1">
      <alignment horizontal="center"/>
    </xf>
    <xf numFmtId="0" fontId="92" fillId="0" borderId="21" xfId="16" applyFont="1" applyFill="1" applyBorder="1" applyAlignment="1">
      <alignment horizontal="center" vertical="center"/>
    </xf>
    <xf numFmtId="0" fontId="90" fillId="0" borderId="11" xfId="0" applyFont="1" applyFill="1" applyBorder="1" applyAlignment="1">
      <alignment horizontal="left" vertical="center"/>
    </xf>
    <xf numFmtId="0" fontId="90" fillId="0" borderId="22" xfId="0" applyFont="1" applyFill="1" applyBorder="1" applyAlignment="1">
      <alignment horizontal="left" vertical="center"/>
    </xf>
    <xf numFmtId="0" fontId="17" fillId="0" borderId="14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</cellXfs>
  <cellStyles count="49">
    <cellStyle name="20% - Accent2" xfId="1" builtinId="34"/>
    <cellStyle name="20% - Accent2 2" xfId="19"/>
    <cellStyle name="20% - Accent2 2 2" xfId="29"/>
    <cellStyle name="20% - Accent2 2 3" xfId="31"/>
    <cellStyle name="20% - Accent2 2 4" xfId="36"/>
    <cellStyle name="20% - Accent2 2 4 2" xfId="47"/>
    <cellStyle name="20% - Accent2 3" xfId="28"/>
    <cellStyle name="20% - Accent2 4" xfId="30"/>
    <cellStyle name="20% - Accent3" xfId="17" builtinId="38"/>
    <cellStyle name="20% - Accent6 2" xfId="45"/>
    <cellStyle name="40% - Accent1" xfId="2" builtinId="31"/>
    <cellStyle name="40% - Accent1 2" xfId="21"/>
    <cellStyle name="40% - Accent1 3" xfId="40"/>
    <cellStyle name="40% - Accent2" xfId="3" builtinId="35"/>
    <cellStyle name="40% - Accent2 2" xfId="20"/>
    <cellStyle name="40% - Accent2 3" xfId="42"/>
    <cellStyle name="40% - Accent3" xfId="4" builtinId="39"/>
    <cellStyle name="40% - Accent3 2" xfId="43"/>
    <cellStyle name="40% - Accent4" xfId="5" builtinId="43"/>
    <cellStyle name="40% - Accent4 2" xfId="44"/>
    <cellStyle name="40% - Accent5" xfId="6" builtinId="47"/>
    <cellStyle name="40% - Accent5 2" xfId="41"/>
    <cellStyle name="40% - Accent6" xfId="7" builtinId="51"/>
    <cellStyle name="40% - Accent6 2" xfId="39"/>
    <cellStyle name="60% - Accent2" xfId="8" builtinId="36"/>
    <cellStyle name="60% - Accent4" xfId="9" builtinId="44"/>
    <cellStyle name="60% - Accent5" xfId="18" builtinId="48"/>
    <cellStyle name="60% - Accent6" xfId="10" builtinId="52"/>
    <cellStyle name="Accent4" xfId="11" builtinId="41"/>
    <cellStyle name="Comma" xfId="12" builtinId="3"/>
    <cellStyle name="Comma 2" xfId="13"/>
    <cellStyle name="Comma 3" xfId="23"/>
    <cellStyle name="Comma 3 2" xfId="25"/>
    <cellStyle name="Comma 3 2 2" xfId="38"/>
    <cellStyle name="Comma 4" xfId="33"/>
    <cellStyle name="Heading 4" xfId="16" builtinId="19"/>
    <cellStyle name="Normal" xfId="0" builtinId="0"/>
    <cellStyle name="Normal 2" xfId="22"/>
    <cellStyle name="Normal 2 2" xfId="24"/>
    <cellStyle name="Normal 2 2 2" xfId="35"/>
    <cellStyle name="Normal 2 2 2 2" xfId="48"/>
    <cellStyle name="Normal 3" xfId="14"/>
    <cellStyle name="Normal 4" xfId="26"/>
    <cellStyle name="Normal 4 2" xfId="46"/>
    <cellStyle name="Normal 5" xfId="32"/>
    <cellStyle name="Normal 6" xfId="37"/>
    <cellStyle name="TableStyleLight1" xfId="34"/>
    <cellStyle name="Title" xfId="15" builtinId="15"/>
    <cellStyle name="Title 2" xfId="27"/>
  </cellStyles>
  <dxfs count="0"/>
  <tableStyles count="0" defaultTableStyle="TableStyleMedium9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585634</xdr:colOff>
      <xdr:row>0</xdr:row>
      <xdr:rowOff>0</xdr:rowOff>
    </xdr:from>
    <xdr:to>
      <xdr:col>8</xdr:col>
      <xdr:colOff>477160</xdr:colOff>
      <xdr:row>9</xdr:row>
      <xdr:rowOff>296532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-25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9785" y="0"/>
          <a:ext cx="2335677" cy="1752240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374075</xdr:colOff>
      <xdr:row>21</xdr:row>
      <xdr:rowOff>107373</xdr:rowOff>
    </xdr:from>
    <xdr:to>
      <xdr:col>4</xdr:col>
      <xdr:colOff>1070535</xdr:colOff>
      <xdr:row>23</xdr:row>
      <xdr:rowOff>265828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>
          <a:spLocks noChangeArrowheads="1"/>
        </xdr:cNvSpPr>
      </xdr:nvSpPr>
      <xdr:spPr bwMode="auto">
        <a:xfrm rot="-1766807">
          <a:off x="8790711" y="2410691"/>
          <a:ext cx="4937249" cy="7355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720439</xdr:colOff>
      <xdr:row>114</xdr:row>
      <xdr:rowOff>0</xdr:rowOff>
    </xdr:from>
    <xdr:to>
      <xdr:col>5</xdr:col>
      <xdr:colOff>1539205</xdr:colOff>
      <xdr:row>116</xdr:row>
      <xdr:rowOff>133343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>
          <a:spLocks noChangeArrowheads="1"/>
        </xdr:cNvSpPr>
      </xdr:nvSpPr>
      <xdr:spPr bwMode="auto">
        <a:xfrm rot="-1766807">
          <a:off x="11284530" y="24924327"/>
          <a:ext cx="4937249" cy="7355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Facet">
  <a:themeElements>
    <a:clrScheme name="Facet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Facet">
      <a:majorFont>
        <a:latin typeface="Trebuchet MS"/>
        <a:ea typeface=""/>
        <a:cs typeface=""/>
        <a:font script="Jpan" typeface="メイリオ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/>
        <a:ea typeface=""/>
        <a:cs typeface=""/>
        <a:font script="Jpan" typeface="メイリオ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Facet">
      <a:fillStyleLst>
        <a:solidFill>
          <a:schemeClr val="phClr"/>
        </a:solidFill>
        <a:gradFill rotWithShape="1">
          <a:gsLst>
            <a:gs pos="0">
              <a:schemeClr val="phClr">
                <a:tint val="65000"/>
                <a:lumMod val="110000"/>
              </a:schemeClr>
            </a:gs>
            <a:gs pos="88000">
              <a:schemeClr val="phClr">
                <a:tint val="9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6000"/>
                <a:lumMod val="100000"/>
              </a:schemeClr>
            </a:gs>
            <a:gs pos="78000">
              <a:schemeClr val="phClr">
                <a:shade val="94000"/>
                <a:lumMod val="94000"/>
              </a:schemeClr>
            </a:gs>
          </a:gsLst>
          <a:lin ang="5400000" scaled="0"/>
        </a:gradFill>
      </a:fillStyleLst>
      <a:lnStyleLst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50800" dist="381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l"/>
          </a:scene3d>
          <a:sp3d prstMaterial="plastic">
            <a:bevelT w="0" h="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04000"/>
              </a:schemeClr>
            </a:gs>
            <a:gs pos="94000">
              <a:schemeClr val="phClr">
                <a:shade val="96000"/>
                <a:lumMod val="82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94000"/>
                <a:lumMod val="96000"/>
              </a:schemeClr>
            </a:gs>
          </a:gsLst>
          <a:path path="circle">
            <a:fillToRect l="50000" t="50000" r="100000" b="10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Facet" id="{C0C680CD-088A-49FC-A102-D699147F32B2}" vid="{CFBC31BA-B70F-4F30-BCAA-4F3011E16C4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0:N22"/>
  <sheetViews>
    <sheetView view="pageLayout" topLeftCell="A4" zoomScaleNormal="60" zoomScaleSheetLayoutView="85" workbookViewId="0">
      <selection activeCell="G14" sqref="G14"/>
    </sheetView>
  </sheetViews>
  <sheetFormatPr defaultRowHeight="12.75" x14ac:dyDescent="0.2"/>
  <sheetData>
    <row r="10" spans="1:14" ht="25.5" customHeight="1" x14ac:dyDescent="0.2"/>
    <row r="11" spans="1:14" ht="41.25" customHeight="1" x14ac:dyDescent="0.2">
      <c r="B11" s="279"/>
      <c r="C11" s="279"/>
      <c r="D11" s="279"/>
      <c r="E11" s="279"/>
      <c r="F11" s="279"/>
      <c r="G11" s="574" t="s">
        <v>128</v>
      </c>
      <c r="H11" s="279"/>
      <c r="I11" s="279"/>
      <c r="J11" s="279"/>
      <c r="K11" s="279"/>
      <c r="L11" s="279"/>
    </row>
    <row r="12" spans="1:14" ht="20.25" customHeight="1" x14ac:dyDescent="0.2">
      <c r="G12" s="56"/>
    </row>
    <row r="14" spans="1:14" ht="46.5" x14ac:dyDescent="0.2">
      <c r="A14" s="565"/>
      <c r="B14" s="566"/>
      <c r="C14" s="566"/>
      <c r="D14" s="566"/>
      <c r="E14" s="566"/>
      <c r="F14" s="566"/>
      <c r="G14" s="567" t="s">
        <v>3099</v>
      </c>
      <c r="H14" s="566"/>
      <c r="I14" s="566"/>
      <c r="J14" s="566"/>
      <c r="K14" s="566"/>
      <c r="L14" s="566"/>
      <c r="M14" s="565"/>
    </row>
    <row r="16" spans="1:14" s="278" customFormat="1" ht="33" x14ac:dyDescent="0.45">
      <c r="A16" s="3410" t="s">
        <v>2734</v>
      </c>
      <c r="B16" s="3410"/>
      <c r="C16" s="3410"/>
      <c r="D16" s="3410"/>
      <c r="E16" s="3410"/>
      <c r="F16" s="3410"/>
      <c r="G16" s="3410"/>
      <c r="H16" s="3410"/>
      <c r="I16" s="3410"/>
      <c r="J16" s="3410"/>
      <c r="K16" s="3410"/>
      <c r="L16" s="3410"/>
      <c r="M16" s="3410"/>
      <c r="N16" s="575"/>
    </row>
    <row r="19" spans="3:12" ht="27.75" x14ac:dyDescent="0.2">
      <c r="C19" s="571"/>
      <c r="D19" s="571"/>
      <c r="E19" s="571"/>
      <c r="F19" s="571"/>
      <c r="G19" s="572" t="s">
        <v>1116</v>
      </c>
      <c r="H19" s="571"/>
      <c r="I19" s="571"/>
      <c r="J19" s="571"/>
      <c r="K19" s="571"/>
      <c r="L19" s="571"/>
    </row>
    <row r="20" spans="3:12" ht="23.25" x14ac:dyDescent="0.2">
      <c r="C20" s="571"/>
      <c r="D20" s="571"/>
      <c r="E20" s="571"/>
      <c r="F20" s="571"/>
      <c r="G20" s="573" t="s">
        <v>1117</v>
      </c>
      <c r="H20" s="571"/>
      <c r="I20" s="571"/>
      <c r="J20" s="571"/>
      <c r="K20" s="571"/>
      <c r="L20" s="571"/>
    </row>
    <row r="21" spans="3:12" ht="23.25" x14ac:dyDescent="0.2">
      <c r="C21" s="571"/>
      <c r="D21" s="571"/>
      <c r="E21" s="571"/>
      <c r="F21" s="571"/>
      <c r="G21" s="573" t="s">
        <v>1118</v>
      </c>
      <c r="H21" s="571"/>
      <c r="I21" s="571"/>
      <c r="J21" s="571"/>
      <c r="K21" s="571"/>
      <c r="L21" s="571"/>
    </row>
    <row r="22" spans="3:12" ht="23.25" x14ac:dyDescent="0.2">
      <c r="C22" s="571"/>
      <c r="D22" s="571"/>
      <c r="E22" s="571"/>
      <c r="F22" s="571"/>
      <c r="G22" s="573" t="s">
        <v>1119</v>
      </c>
      <c r="H22" s="571"/>
      <c r="I22" s="571"/>
      <c r="J22" s="571"/>
      <c r="K22" s="571"/>
      <c r="L22" s="571"/>
    </row>
  </sheetData>
  <mergeCells count="1">
    <mergeCell ref="A16:M16"/>
  </mergeCells>
  <pageMargins left="0.59523809523809523" right="0.8035714285714286" top="0.75" bottom="0.75" header="0.3" footer="0.3"/>
  <pageSetup paperSize="9" orientation="landscape" r:id="rId1"/>
  <headerFooter>
    <oddHeader>&amp;R&amp;20&amp;G</oddHeader>
    <oddFooter>&amp;L&amp;G</oddFoot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view="pageLayout" topLeftCell="B101" zoomScale="40" zoomScaleNormal="50" zoomScaleSheetLayoutView="10" zoomScalePageLayoutView="40" workbookViewId="0">
      <selection activeCell="B105" sqref="B105"/>
    </sheetView>
  </sheetViews>
  <sheetFormatPr defaultColWidth="66.7109375" defaultRowHeight="36" customHeight="1" x14ac:dyDescent="0.45"/>
  <cols>
    <col min="1" max="1" width="29.28515625" style="291" customWidth="1"/>
    <col min="2" max="2" width="162.28515625" style="135" customWidth="1"/>
    <col min="3" max="3" width="42.140625" style="274" customWidth="1"/>
    <col min="4" max="4" width="40.140625" style="275" customWidth="1"/>
    <col min="5" max="5" width="50" style="274" customWidth="1"/>
    <col min="6" max="6" width="51.5703125" style="274" customWidth="1"/>
    <col min="7" max="7" width="48" style="274" customWidth="1"/>
    <col min="8" max="8" width="42.28515625" style="275" customWidth="1"/>
    <col min="9" max="9" width="20.140625" style="135" customWidth="1"/>
    <col min="10" max="16384" width="66.7109375" style="135"/>
  </cols>
  <sheetData>
    <row r="1" spans="1:9" ht="36" customHeight="1" x14ac:dyDescent="0.45">
      <c r="A1" s="3508" t="s">
        <v>128</v>
      </c>
      <c r="B1" s="3508"/>
      <c r="C1" s="3508"/>
      <c r="D1" s="3508"/>
      <c r="E1" s="3508"/>
      <c r="F1" s="3508"/>
      <c r="G1" s="3508"/>
      <c r="H1" s="3508"/>
    </row>
    <row r="2" spans="1:9" ht="36" customHeight="1" thickBot="1" x14ac:dyDescent="0.5">
      <c r="A2" s="3509" t="s">
        <v>2452</v>
      </c>
      <c r="B2" s="3509"/>
      <c r="C2" s="3509"/>
      <c r="D2" s="3509"/>
      <c r="E2" s="3509"/>
      <c r="F2" s="3509"/>
      <c r="G2" s="3509"/>
      <c r="H2" s="3509"/>
    </row>
    <row r="3" spans="1:9" ht="36" customHeight="1" thickBot="1" x14ac:dyDescent="0.5">
      <c r="A3" s="281" t="s">
        <v>394</v>
      </c>
      <c r="B3" s="214" t="s">
        <v>520</v>
      </c>
      <c r="C3" s="215" t="s">
        <v>7</v>
      </c>
      <c r="D3" s="216" t="s">
        <v>8</v>
      </c>
      <c r="E3" s="3510" t="s">
        <v>77</v>
      </c>
      <c r="F3" s="3511"/>
      <c r="G3" s="3512"/>
      <c r="H3" s="216" t="s">
        <v>2</v>
      </c>
    </row>
    <row r="4" spans="1:9" ht="36" customHeight="1" thickBot="1" x14ac:dyDescent="0.5">
      <c r="A4" s="282" t="s">
        <v>1</v>
      </c>
      <c r="B4" s="217"/>
      <c r="C4" s="218" t="s">
        <v>1236</v>
      </c>
      <c r="D4" s="219" t="s">
        <v>2400</v>
      </c>
      <c r="E4" s="218" t="s">
        <v>2401</v>
      </c>
      <c r="F4" s="220" t="s">
        <v>2706</v>
      </c>
      <c r="G4" s="221" t="s">
        <v>2707</v>
      </c>
      <c r="H4" s="219" t="s">
        <v>452</v>
      </c>
    </row>
    <row r="5" spans="1:9" s="227" customFormat="1" ht="43.35" customHeight="1" x14ac:dyDescent="0.45">
      <c r="A5" s="283" t="s">
        <v>83</v>
      </c>
      <c r="B5" s="222" t="s">
        <v>641</v>
      </c>
      <c r="C5" s="223"/>
      <c r="D5" s="224"/>
      <c r="E5" s="223"/>
      <c r="F5" s="223"/>
      <c r="G5" s="223"/>
      <c r="H5" s="225"/>
      <c r="I5" s="226"/>
    </row>
    <row r="6" spans="1:9" s="227" customFormat="1" ht="43.35" customHeight="1" x14ac:dyDescent="0.45">
      <c r="A6" s="287" t="s">
        <v>410</v>
      </c>
      <c r="B6" s="277" t="s">
        <v>1377</v>
      </c>
      <c r="C6" s="229">
        <f>'11 CAPITAL EXPENDITURE'!D22</f>
        <v>285000000</v>
      </c>
      <c r="D6" s="229">
        <f>'11 CAPITAL EXPENDITURE'!E22</f>
        <v>30778632.940000001</v>
      </c>
      <c r="E6" s="229">
        <f>'11 CAPITAL EXPENDITURE'!F22</f>
        <v>2170000000</v>
      </c>
      <c r="F6" s="230">
        <f>E6*10%+E6</f>
        <v>2387000000</v>
      </c>
      <c r="G6" s="230">
        <f>F6*10%+F6</f>
        <v>2625700000</v>
      </c>
      <c r="H6" s="231">
        <f t="shared" ref="H6:H28" si="0">SUM(E6:G6)</f>
        <v>7182700000</v>
      </c>
      <c r="I6" s="226"/>
    </row>
    <row r="7" spans="1:9" s="227" customFormat="1" ht="43.35" customHeight="1" x14ac:dyDescent="0.45">
      <c r="A7" s="287" t="s">
        <v>407</v>
      </c>
      <c r="B7" s="228" t="s">
        <v>1378</v>
      </c>
      <c r="C7" s="229">
        <f>'11 CAPITAL EXPENDITURE'!D53</f>
        <v>497135900</v>
      </c>
      <c r="D7" s="229">
        <f>'11 CAPITAL EXPENDITURE'!E53</f>
        <v>53942500</v>
      </c>
      <c r="E7" s="229">
        <f>'11 CAPITAL EXPENDITURE'!F53</f>
        <v>2031635900</v>
      </c>
      <c r="F7" s="230">
        <f t="shared" ref="F7:G27" si="1">E7*10%+E7</f>
        <v>2234799490</v>
      </c>
      <c r="G7" s="230">
        <f t="shared" si="1"/>
        <v>2458279439</v>
      </c>
      <c r="H7" s="231">
        <f t="shared" si="0"/>
        <v>6724714829</v>
      </c>
      <c r="I7" s="226"/>
    </row>
    <row r="8" spans="1:9" s="227" customFormat="1" ht="43.35" customHeight="1" x14ac:dyDescent="0.45">
      <c r="A8" s="287" t="s">
        <v>2404</v>
      </c>
      <c r="B8" s="228" t="s">
        <v>1379</v>
      </c>
      <c r="C8" s="229">
        <f>'11 CAPITAL EXPENDITURE'!D63</f>
        <v>850000000</v>
      </c>
      <c r="D8" s="229">
        <f>'11 CAPITAL EXPENDITURE'!E63</f>
        <v>32758450</v>
      </c>
      <c r="E8" s="229">
        <f>'11 CAPITAL EXPENDITURE'!F63</f>
        <v>600000000</v>
      </c>
      <c r="F8" s="230">
        <f t="shared" si="1"/>
        <v>660000000</v>
      </c>
      <c r="G8" s="230">
        <f t="shared" si="1"/>
        <v>726000000</v>
      </c>
      <c r="H8" s="231">
        <f t="shared" si="0"/>
        <v>1986000000</v>
      </c>
      <c r="I8" s="226"/>
    </row>
    <row r="9" spans="1:9" s="227" customFormat="1" ht="43.35" customHeight="1" x14ac:dyDescent="0.45">
      <c r="A9" s="287" t="s">
        <v>1281</v>
      </c>
      <c r="B9" s="228" t="s">
        <v>2406</v>
      </c>
      <c r="C9" s="229"/>
      <c r="D9" s="229"/>
      <c r="E9" s="229">
        <f>'11 CAPITAL EXPENDITURE'!F73</f>
        <v>100000000</v>
      </c>
      <c r="F9" s="230">
        <f t="shared" ref="F9" si="2">E9*10%+E9</f>
        <v>110000000</v>
      </c>
      <c r="G9" s="230">
        <f t="shared" ref="G9" si="3">F9*10%+F9</f>
        <v>121000000</v>
      </c>
      <c r="H9" s="231">
        <f t="shared" si="0"/>
        <v>331000000</v>
      </c>
      <c r="I9" s="226"/>
    </row>
    <row r="10" spans="1:9" s="227" customFormat="1" ht="43.35" customHeight="1" x14ac:dyDescent="0.45">
      <c r="A10" s="287" t="s">
        <v>399</v>
      </c>
      <c r="B10" s="277" t="s">
        <v>1380</v>
      </c>
      <c r="C10" s="229">
        <f>'11 CAPITAL EXPENDITURE'!D91</f>
        <v>1400000000</v>
      </c>
      <c r="D10" s="229">
        <f>'11 CAPITAL EXPENDITURE'!E91</f>
        <v>520842855.89999998</v>
      </c>
      <c r="E10" s="229">
        <f>'11 CAPITAL EXPENDITURE'!F91</f>
        <v>2300000000</v>
      </c>
      <c r="F10" s="230">
        <f t="shared" si="1"/>
        <v>2530000000</v>
      </c>
      <c r="G10" s="230">
        <f t="shared" si="1"/>
        <v>2783000000</v>
      </c>
      <c r="H10" s="231">
        <f t="shared" si="0"/>
        <v>7613000000</v>
      </c>
      <c r="I10" s="226"/>
    </row>
    <row r="11" spans="1:9" s="227" customFormat="1" ht="43.35" customHeight="1" x14ac:dyDescent="0.45">
      <c r="A11" s="287" t="s">
        <v>1278</v>
      </c>
      <c r="B11" s="228" t="s">
        <v>153</v>
      </c>
      <c r="C11" s="229">
        <f>'11 CAPITAL EXPENDITURE'!D111</f>
        <v>115000000</v>
      </c>
      <c r="D11" s="229">
        <f>'11 CAPITAL EXPENDITURE'!E111</f>
        <v>48741215</v>
      </c>
      <c r="E11" s="229">
        <f>'11 CAPITAL EXPENDITURE'!F111</f>
        <v>205000000</v>
      </c>
      <c r="F11" s="230">
        <f t="shared" si="1"/>
        <v>225500000</v>
      </c>
      <c r="G11" s="230">
        <f t="shared" si="1"/>
        <v>248050000</v>
      </c>
      <c r="H11" s="231">
        <f t="shared" si="0"/>
        <v>678550000</v>
      </c>
      <c r="I11" s="226"/>
    </row>
    <row r="12" spans="1:9" s="227" customFormat="1" ht="43.35" customHeight="1" x14ac:dyDescent="0.45">
      <c r="A12" s="287" t="s">
        <v>409</v>
      </c>
      <c r="B12" s="228" t="s">
        <v>588</v>
      </c>
      <c r="C12" s="229">
        <f>'11 CAPITAL EXPENDITURE'!D126</f>
        <v>40000000</v>
      </c>
      <c r="D12" s="229">
        <f>'11 CAPITAL EXPENDITURE'!E126</f>
        <v>0</v>
      </c>
      <c r="E12" s="229">
        <f>'11 CAPITAL EXPENDITURE'!F126</f>
        <v>65000000</v>
      </c>
      <c r="F12" s="230">
        <f t="shared" si="1"/>
        <v>71500000</v>
      </c>
      <c r="G12" s="230">
        <f t="shared" si="1"/>
        <v>78650000</v>
      </c>
      <c r="H12" s="231">
        <f t="shared" si="0"/>
        <v>215150000</v>
      </c>
      <c r="I12" s="226"/>
    </row>
    <row r="13" spans="1:9" s="227" customFormat="1" ht="43.35" customHeight="1" x14ac:dyDescent="0.45">
      <c r="A13" s="287" t="s">
        <v>408</v>
      </c>
      <c r="B13" s="228" t="s">
        <v>1383</v>
      </c>
      <c r="C13" s="229">
        <f>'11 CAPITAL EXPENDITURE'!D143</f>
        <v>400000000</v>
      </c>
      <c r="D13" s="229">
        <f>'11 CAPITAL EXPENDITURE'!E143</f>
        <v>0</v>
      </c>
      <c r="E13" s="229">
        <f>'11 CAPITAL EXPENDITURE'!F143</f>
        <v>400000000</v>
      </c>
      <c r="F13" s="230">
        <f t="shared" si="1"/>
        <v>440000000</v>
      </c>
      <c r="G13" s="230">
        <f t="shared" si="1"/>
        <v>484000000</v>
      </c>
      <c r="H13" s="231">
        <f t="shared" si="0"/>
        <v>1324000000</v>
      </c>
      <c r="I13" s="226"/>
    </row>
    <row r="14" spans="1:9" s="227" customFormat="1" ht="43.35" customHeight="1" x14ac:dyDescent="0.45">
      <c r="A14" s="287" t="s">
        <v>411</v>
      </c>
      <c r="B14" s="228" t="s">
        <v>1384</v>
      </c>
      <c r="C14" s="229">
        <f>'11 CAPITAL EXPENDITURE'!D193</f>
        <v>895000000</v>
      </c>
      <c r="D14" s="229">
        <f>'11 CAPITAL EXPENDITURE'!E193</f>
        <v>895000000</v>
      </c>
      <c r="E14" s="229">
        <f>'11 CAPITAL EXPENDITURE'!F193</f>
        <v>1887000000</v>
      </c>
      <c r="F14" s="230">
        <f t="shared" si="1"/>
        <v>2075700000</v>
      </c>
      <c r="G14" s="230">
        <f t="shared" si="1"/>
        <v>2283270000</v>
      </c>
      <c r="H14" s="231">
        <f t="shared" si="0"/>
        <v>6245970000</v>
      </c>
      <c r="I14" s="226"/>
    </row>
    <row r="15" spans="1:9" s="227" customFormat="1" ht="43.35" customHeight="1" x14ac:dyDescent="0.45">
      <c r="A15" s="287" t="s">
        <v>412</v>
      </c>
      <c r="B15" s="228" t="s">
        <v>1386</v>
      </c>
      <c r="C15" s="229">
        <f>'11 CAPITAL EXPENDITURE'!D227</f>
        <v>163000000</v>
      </c>
      <c r="D15" s="229">
        <f>'11 CAPITAL EXPENDITURE'!E227</f>
        <v>28485500</v>
      </c>
      <c r="E15" s="229">
        <f>'11 CAPITAL EXPENDITURE'!F227</f>
        <v>169000000</v>
      </c>
      <c r="F15" s="230">
        <f t="shared" si="1"/>
        <v>185900000</v>
      </c>
      <c r="G15" s="230">
        <f t="shared" si="1"/>
        <v>204490000</v>
      </c>
      <c r="H15" s="231">
        <f t="shared" si="0"/>
        <v>559390000</v>
      </c>
      <c r="I15" s="226"/>
    </row>
    <row r="16" spans="1:9" s="227" customFormat="1" ht="43.35" customHeight="1" x14ac:dyDescent="0.45">
      <c r="A16" s="287" t="s">
        <v>989</v>
      </c>
      <c r="B16" s="228" t="s">
        <v>1387</v>
      </c>
      <c r="C16" s="229">
        <f>'11 CAPITAL EXPENDITURE'!D256</f>
        <v>144750000</v>
      </c>
      <c r="D16" s="229">
        <f>'11 CAPITAL EXPENDITURE'!E256</f>
        <v>0</v>
      </c>
      <c r="E16" s="229">
        <f>'11 CAPITAL EXPENDITURE'!F256</f>
        <v>128750000</v>
      </c>
      <c r="F16" s="230">
        <f t="shared" si="1"/>
        <v>141625000</v>
      </c>
      <c r="G16" s="230">
        <f t="shared" si="1"/>
        <v>155787500</v>
      </c>
      <c r="H16" s="231">
        <f t="shared" si="0"/>
        <v>426162500</v>
      </c>
      <c r="I16" s="226"/>
    </row>
    <row r="17" spans="1:9" s="227" customFormat="1" ht="43.35" customHeight="1" x14ac:dyDescent="0.45">
      <c r="A17" s="287" t="s">
        <v>988</v>
      </c>
      <c r="B17" s="228" t="s">
        <v>1388</v>
      </c>
      <c r="C17" s="229">
        <f>'11 CAPITAL EXPENDITURE'!D277</f>
        <v>771200000</v>
      </c>
      <c r="D17" s="229">
        <f>'11 CAPITAL EXPENDITURE'!E277</f>
        <v>0</v>
      </c>
      <c r="E17" s="229">
        <f>'11 CAPITAL EXPENDITURE'!F277</f>
        <v>765200000</v>
      </c>
      <c r="F17" s="230">
        <f t="shared" si="1"/>
        <v>841720000</v>
      </c>
      <c r="G17" s="230">
        <f t="shared" si="1"/>
        <v>925892000</v>
      </c>
      <c r="H17" s="231">
        <f t="shared" si="0"/>
        <v>2532812000</v>
      </c>
      <c r="I17" s="226"/>
    </row>
    <row r="18" spans="1:9" s="227" customFormat="1" ht="43.35" customHeight="1" x14ac:dyDescent="0.45">
      <c r="A18" s="287" t="s">
        <v>987</v>
      </c>
      <c r="B18" s="228" t="s">
        <v>1389</v>
      </c>
      <c r="C18" s="229">
        <f>'11 CAPITAL EXPENDITURE'!D294</f>
        <v>54000000</v>
      </c>
      <c r="D18" s="229">
        <f>'11 CAPITAL EXPENDITURE'!E294</f>
        <v>0</v>
      </c>
      <c r="E18" s="229">
        <f>'11 CAPITAL EXPENDITURE'!F294</f>
        <v>60000000</v>
      </c>
      <c r="F18" s="230">
        <f t="shared" si="1"/>
        <v>66000000</v>
      </c>
      <c r="G18" s="230">
        <f t="shared" si="1"/>
        <v>72600000</v>
      </c>
      <c r="H18" s="231">
        <f t="shared" si="0"/>
        <v>198600000</v>
      </c>
      <c r="I18" s="226"/>
    </row>
    <row r="19" spans="1:9" s="227" customFormat="1" ht="43.35" customHeight="1" x14ac:dyDescent="0.45">
      <c r="A19" s="287" t="s">
        <v>1283</v>
      </c>
      <c r="B19" s="228" t="s">
        <v>980</v>
      </c>
      <c r="C19" s="155">
        <f>'11 CAPITAL EXPENDITURE'!D316</f>
        <v>131225000</v>
      </c>
      <c r="D19" s="155">
        <f>'11 CAPITAL EXPENDITURE'!E316</f>
        <v>16001000</v>
      </c>
      <c r="E19" s="155">
        <f>'11 CAPITAL EXPENDITURE'!F316</f>
        <v>196450000</v>
      </c>
      <c r="F19" s="230">
        <f t="shared" si="1"/>
        <v>216095000</v>
      </c>
      <c r="G19" s="230">
        <f t="shared" si="1"/>
        <v>237704500</v>
      </c>
      <c r="H19" s="231">
        <f>SUM(E19:G19)</f>
        <v>650249500</v>
      </c>
      <c r="I19" s="226"/>
    </row>
    <row r="20" spans="1:9" s="227" customFormat="1" ht="52.5" customHeight="1" x14ac:dyDescent="0.45">
      <c r="A20" s="287" t="s">
        <v>400</v>
      </c>
      <c r="B20" s="228" t="s">
        <v>1390</v>
      </c>
      <c r="C20" s="229">
        <f>'11 CAPITAL EXPENDITURE'!D340</f>
        <v>1250000000</v>
      </c>
      <c r="D20" s="229">
        <f>'11 CAPITAL EXPENDITURE'!E340</f>
        <v>992103636.44000006</v>
      </c>
      <c r="E20" s="229">
        <f>'11 CAPITAL EXPENDITURE'!F340</f>
        <v>1600000000</v>
      </c>
      <c r="F20" s="230">
        <f t="shared" si="1"/>
        <v>1760000000</v>
      </c>
      <c r="G20" s="230">
        <f t="shared" si="1"/>
        <v>1936000000</v>
      </c>
      <c r="H20" s="231">
        <f t="shared" si="0"/>
        <v>5296000000</v>
      </c>
      <c r="I20" s="226"/>
    </row>
    <row r="21" spans="1:9" s="227" customFormat="1" ht="43.35" customHeight="1" x14ac:dyDescent="0.45">
      <c r="A21" s="287" t="s">
        <v>414</v>
      </c>
      <c r="B21" s="228" t="s">
        <v>1456</v>
      </c>
      <c r="C21" s="229">
        <v>298037035</v>
      </c>
      <c r="D21" s="229">
        <f>'11 CAPITAL EXPENDITURE'!E369</f>
        <v>28798915.210000001</v>
      </c>
      <c r="E21" s="229">
        <f>'11 CAPITAL EXPENDITURE'!F369</f>
        <v>393037035</v>
      </c>
      <c r="F21" s="230">
        <f t="shared" si="1"/>
        <v>432340738.5</v>
      </c>
      <c r="G21" s="230">
        <f t="shared" si="1"/>
        <v>475574812.35000002</v>
      </c>
      <c r="H21" s="772">
        <f t="shared" si="0"/>
        <v>1300952585.8499999</v>
      </c>
      <c r="I21" s="226"/>
    </row>
    <row r="22" spans="1:9" s="227" customFormat="1" ht="41.25" customHeight="1" x14ac:dyDescent="0.45">
      <c r="A22" s="287" t="s">
        <v>1284</v>
      </c>
      <c r="B22" s="228" t="s">
        <v>1391</v>
      </c>
      <c r="C22" s="256"/>
      <c r="D22" s="256"/>
      <c r="E22" s="256">
        <f>'11 CAPITAL EXPENDITURE'!F380</f>
        <v>25000000</v>
      </c>
      <c r="F22" s="709">
        <f>SUM(C22:E22)</f>
        <v>25000000</v>
      </c>
      <c r="G22" s="771">
        <f>'11 CAPITAL EXPENDITURE'!F369</f>
        <v>393037035</v>
      </c>
      <c r="H22" s="257">
        <f t="shared" ref="H22" si="4">SUM(F22:G22)</f>
        <v>418037035</v>
      </c>
    </row>
    <row r="23" spans="1:9" s="227" customFormat="1" ht="43.35" customHeight="1" x14ac:dyDescent="0.45">
      <c r="A23" s="287" t="s">
        <v>415</v>
      </c>
      <c r="B23" s="228" t="s">
        <v>1392</v>
      </c>
      <c r="C23" s="229">
        <f>'11 CAPITAL EXPENDITURE'!D399</f>
        <v>205000000</v>
      </c>
      <c r="D23" s="229">
        <f>'11 CAPITAL EXPENDITURE'!E399</f>
        <v>76894000</v>
      </c>
      <c r="E23" s="229">
        <f>'11 CAPITAL EXPENDITURE'!F399</f>
        <v>104700000</v>
      </c>
      <c r="F23" s="230">
        <f t="shared" si="1"/>
        <v>115170000</v>
      </c>
      <c r="G23" s="230">
        <f t="shared" si="1"/>
        <v>126687000</v>
      </c>
      <c r="H23" s="268">
        <f t="shared" si="0"/>
        <v>346557000</v>
      </c>
      <c r="I23" s="226"/>
    </row>
    <row r="24" spans="1:9" s="227" customFormat="1" ht="52.5" customHeight="1" x14ac:dyDescent="0.45">
      <c r="A24" s="287" t="s">
        <v>416</v>
      </c>
      <c r="B24" s="228" t="s">
        <v>1393</v>
      </c>
      <c r="C24" s="229">
        <f>'11 CAPITAL EXPENDITURE'!D413</f>
        <v>39488265</v>
      </c>
      <c r="D24" s="229">
        <f>'11 CAPITAL EXPENDITURE'!E413</f>
        <v>0</v>
      </c>
      <c r="E24" s="229">
        <f>'11 CAPITAL EXPENDITURE'!F413</f>
        <v>83488265</v>
      </c>
      <c r="F24" s="230">
        <f t="shared" si="1"/>
        <v>91837091.5</v>
      </c>
      <c r="G24" s="230">
        <f t="shared" si="1"/>
        <v>101020800.65000001</v>
      </c>
      <c r="H24" s="231">
        <f t="shared" si="0"/>
        <v>276346157.14999998</v>
      </c>
      <c r="I24" s="226"/>
    </row>
    <row r="25" spans="1:9" s="227" customFormat="1" ht="52.5" customHeight="1" x14ac:dyDescent="0.45">
      <c r="A25" s="287" t="s">
        <v>417</v>
      </c>
      <c r="B25" s="228" t="s">
        <v>1394</v>
      </c>
      <c r="C25" s="229"/>
      <c r="D25" s="229"/>
      <c r="E25" s="229">
        <f>'11 CAPITAL EXPENDITURE'!F426</f>
        <v>70000000</v>
      </c>
      <c r="F25" s="230">
        <f>E25*10%+E25</f>
        <v>77000000</v>
      </c>
      <c r="G25" s="230">
        <f>F25*10%+F25</f>
        <v>84700000</v>
      </c>
      <c r="H25" s="231">
        <f t="shared" si="0"/>
        <v>231700000</v>
      </c>
      <c r="I25" s="226"/>
    </row>
    <row r="26" spans="1:9" s="227" customFormat="1" ht="43.35" customHeight="1" x14ac:dyDescent="0.45">
      <c r="A26" s="287" t="s">
        <v>418</v>
      </c>
      <c r="B26" s="228" t="s">
        <v>1395</v>
      </c>
      <c r="C26" s="229">
        <f>'11 CAPITAL EXPENDITURE'!D436</f>
        <v>276417855</v>
      </c>
      <c r="D26" s="229">
        <f>'11 CAPITAL EXPENDITURE'!E436</f>
        <v>207313391.25</v>
      </c>
      <c r="E26" s="229">
        <f>'11 CAPITAL EXPENDITURE'!F436</f>
        <v>276417855</v>
      </c>
      <c r="F26" s="230">
        <f t="shared" si="1"/>
        <v>304059640.5</v>
      </c>
      <c r="G26" s="230">
        <f t="shared" si="1"/>
        <v>334465604.55000001</v>
      </c>
      <c r="H26" s="231">
        <f t="shared" si="0"/>
        <v>914943100.04999995</v>
      </c>
      <c r="I26" s="226"/>
    </row>
    <row r="27" spans="1:9" s="227" customFormat="1" ht="43.35" customHeight="1" thickBot="1" x14ac:dyDescent="0.5">
      <c r="A27" s="773" t="s">
        <v>419</v>
      </c>
      <c r="B27" s="774" t="s">
        <v>159</v>
      </c>
      <c r="C27" s="775">
        <f>'11 CAPITAL EXPENDITURE'!D469</f>
        <v>40000000</v>
      </c>
      <c r="D27" s="775">
        <f>'11 CAPITAL EXPENDITURE'!E469</f>
        <v>0</v>
      </c>
      <c r="E27" s="775">
        <f>'11 CAPITAL EXPENDITURE'!F469</f>
        <v>820000000</v>
      </c>
      <c r="F27" s="776">
        <f t="shared" si="1"/>
        <v>902000000</v>
      </c>
      <c r="G27" s="776">
        <f t="shared" si="1"/>
        <v>992200000</v>
      </c>
      <c r="H27" s="777">
        <f t="shared" si="0"/>
        <v>2714200000</v>
      </c>
      <c r="I27" s="226"/>
    </row>
    <row r="28" spans="1:9" s="237" customFormat="1" ht="43.35" customHeight="1" thickBot="1" x14ac:dyDescent="0.45">
      <c r="A28" s="100"/>
      <c r="B28" s="233" t="s">
        <v>2414</v>
      </c>
      <c r="C28" s="234">
        <f>SUM(C6:C27)</f>
        <v>7855254055</v>
      </c>
      <c r="D28" s="234">
        <f>SUM(D6:D27)</f>
        <v>2931660096.7399998</v>
      </c>
      <c r="E28" s="234">
        <f>SUM(E6:E27)</f>
        <v>14450679055</v>
      </c>
      <c r="F28" s="235">
        <f>SUM(F6:F27)</f>
        <v>15893246960.5</v>
      </c>
      <c r="G28" s="235">
        <f>SUM(G6:G27)</f>
        <v>17848108691.549999</v>
      </c>
      <c r="H28" s="235">
        <f t="shared" si="0"/>
        <v>48192034707.050003</v>
      </c>
      <c r="I28" s="236"/>
    </row>
    <row r="29" spans="1:9" s="244" customFormat="1" ht="36" customHeight="1" x14ac:dyDescent="0.45">
      <c r="A29" s="285" t="s">
        <v>87</v>
      </c>
      <c r="B29" s="238" t="s">
        <v>80</v>
      </c>
      <c r="C29" s="239"/>
      <c r="D29" s="240"/>
      <c r="E29" s="239"/>
      <c r="F29" s="241"/>
      <c r="G29" s="239"/>
      <c r="H29" s="242"/>
      <c r="I29" s="243"/>
    </row>
    <row r="30" spans="1:9" s="227" customFormat="1" ht="36" customHeight="1" x14ac:dyDescent="0.45">
      <c r="A30" s="103" t="s">
        <v>401</v>
      </c>
      <c r="B30" s="228" t="s">
        <v>160</v>
      </c>
      <c r="C30" s="229">
        <f>SUM('11 CAPITAL EXPENDITURE'!F488,'11 CAPITAL EXPENDITURE'!F505,'11 CAPITAL EXPENDITURE'!F525,'11 CAPITAL EXPENDITURE'!F540,'11 CAPITAL EXPENDITURE'!F558,'11 CAPITAL EXPENDITURE'!F594)</f>
        <v>13620623506</v>
      </c>
      <c r="D30" s="229">
        <f>SUM('11 CAPITAL EXPENDITURE'!E488,'11 CAPITAL EXPENDITURE'!E505,'11 CAPITAL EXPENDITURE'!E525,'11 CAPITAL EXPENDITURE'!E540,'11 CAPITAL EXPENDITURE'!E558)</f>
        <v>550709290</v>
      </c>
      <c r="E30" s="229">
        <f>SUM('11 CAPITAL EXPENDITURE'!F488,'11 CAPITAL EXPENDITURE'!F505,'11 CAPITAL EXPENDITURE'!F525,'11 CAPITAL EXPENDITURE'!F540,'11 CAPITAL EXPENDITURE'!F558)</f>
        <v>9636166953</v>
      </c>
      <c r="F30" s="230">
        <f t="shared" ref="F30:G53" si="5">E30*10%+E30</f>
        <v>10599783648.299999</v>
      </c>
      <c r="G30" s="230">
        <f t="shared" si="5"/>
        <v>11659762013.129999</v>
      </c>
      <c r="H30" s="231">
        <f>SUM(E30:G30)</f>
        <v>31895712614.43</v>
      </c>
      <c r="I30" s="226"/>
    </row>
    <row r="31" spans="1:9" s="227" customFormat="1" ht="36" customHeight="1" x14ac:dyDescent="0.45">
      <c r="A31" s="103" t="s">
        <v>1286</v>
      </c>
      <c r="B31" s="228" t="s">
        <v>1396</v>
      </c>
      <c r="C31" s="229">
        <f>'11 CAPITAL EXPENDITURE'!D617</f>
        <v>3302400000</v>
      </c>
      <c r="D31" s="229">
        <f>'11 CAPITAL EXPENDITURE'!E617</f>
        <v>123109996.68000001</v>
      </c>
      <c r="E31" s="229">
        <f>'11 CAPITAL EXPENDITURE'!F617</f>
        <v>3420000000</v>
      </c>
      <c r="F31" s="230">
        <f t="shared" si="5"/>
        <v>3762000000</v>
      </c>
      <c r="G31" s="230">
        <f t="shared" ref="G31" si="6">F31*10%+F31</f>
        <v>4138200000</v>
      </c>
      <c r="H31" s="231">
        <f t="shared" ref="H31:H53" si="7">SUM(E31:G31)</f>
        <v>11320200000</v>
      </c>
      <c r="I31" s="226"/>
    </row>
    <row r="32" spans="1:9" s="227" customFormat="1" ht="36" customHeight="1" x14ac:dyDescent="0.45">
      <c r="A32" s="103" t="s">
        <v>1287</v>
      </c>
      <c r="B32" s="228" t="s">
        <v>2705</v>
      </c>
      <c r="C32" s="229">
        <f>'11 CAPITAL EXPENDITURE'!D594</f>
        <v>815872000</v>
      </c>
      <c r="D32" s="229">
        <f>'11 CAPITAL EXPENDITURE'!E594</f>
        <v>14489900</v>
      </c>
      <c r="E32" s="229">
        <f>'11 CAPITAL EXPENDITURE'!F594</f>
        <v>3984456553</v>
      </c>
      <c r="F32" s="230">
        <f t="shared" si="5"/>
        <v>4382902208.3000002</v>
      </c>
      <c r="G32" s="230">
        <f t="shared" ref="G32" si="8">F32*10%+F32</f>
        <v>4821192429.1300001</v>
      </c>
      <c r="H32" s="231">
        <f t="shared" si="7"/>
        <v>13188551190.43</v>
      </c>
      <c r="I32" s="226"/>
    </row>
    <row r="33" spans="1:9" s="227" customFormat="1" ht="36" customHeight="1" x14ac:dyDescent="0.45">
      <c r="A33" s="103" t="s">
        <v>1285</v>
      </c>
      <c r="B33" s="228" t="s">
        <v>1240</v>
      </c>
      <c r="C33" s="229">
        <f>'11 CAPITAL EXPENDITURE'!D641+'11 CAPITAL EXPENDITURE'!D658</f>
        <v>705000000</v>
      </c>
      <c r="D33" s="229">
        <f>'11 CAPITAL EXPENDITURE'!E641+'11 CAPITAL EXPENDITURE'!E658</f>
        <v>11836000</v>
      </c>
      <c r="E33" s="229">
        <f>'11 CAPITAL EXPENDITURE'!F641+'11 CAPITAL EXPENDITURE'!F658</f>
        <v>2910000000</v>
      </c>
      <c r="F33" s="230">
        <f t="shared" si="5"/>
        <v>3201000000</v>
      </c>
      <c r="G33" s="230">
        <f t="shared" ref="G33" si="9">F33*10%+F33</f>
        <v>3521100000</v>
      </c>
      <c r="H33" s="231">
        <f t="shared" si="7"/>
        <v>9632100000</v>
      </c>
      <c r="I33" s="226"/>
    </row>
    <row r="34" spans="1:9" s="227" customFormat="1" ht="36" customHeight="1" x14ac:dyDescent="0.45">
      <c r="A34" s="103" t="s">
        <v>402</v>
      </c>
      <c r="B34" s="228" t="s">
        <v>1124</v>
      </c>
      <c r="C34" s="229">
        <f>'11 CAPITAL EXPENDITURE'!D683</f>
        <v>430000000</v>
      </c>
      <c r="D34" s="229">
        <f>'11 CAPITAL EXPENDITURE'!E683</f>
        <v>0</v>
      </c>
      <c r="E34" s="229">
        <f>'11 CAPITAL EXPENDITURE'!F683</f>
        <v>6018308389</v>
      </c>
      <c r="F34" s="230">
        <f t="shared" si="5"/>
        <v>6620139227.8999996</v>
      </c>
      <c r="G34" s="230">
        <f t="shared" ref="G34" si="10">F34*10%+F34</f>
        <v>7282153150.6899996</v>
      </c>
      <c r="H34" s="231">
        <f t="shared" si="7"/>
        <v>19920600767.59</v>
      </c>
      <c r="I34" s="226"/>
    </row>
    <row r="35" spans="1:9" s="227" customFormat="1" ht="36" customHeight="1" x14ac:dyDescent="0.45">
      <c r="A35" s="103" t="s">
        <v>433</v>
      </c>
      <c r="B35" s="228" t="s">
        <v>1117</v>
      </c>
      <c r="C35" s="229">
        <f>'11 CAPITAL EXPENDITURE'!D710</f>
        <v>474750500</v>
      </c>
      <c r="D35" s="229">
        <f>'11 CAPITAL EXPENDITURE'!E710</f>
        <v>79515000</v>
      </c>
      <c r="E35" s="229">
        <f>'11 CAPITAL EXPENDITURE'!F710</f>
        <v>305000000</v>
      </c>
      <c r="F35" s="230">
        <f t="shared" si="5"/>
        <v>335500000</v>
      </c>
      <c r="G35" s="230">
        <f t="shared" ref="G35" si="11">F35*10%+F35</f>
        <v>369050000</v>
      </c>
      <c r="H35" s="231">
        <f t="shared" si="7"/>
        <v>1009550000</v>
      </c>
      <c r="I35" s="226"/>
    </row>
    <row r="36" spans="1:9" s="227" customFormat="1" ht="36" customHeight="1" x14ac:dyDescent="0.45">
      <c r="A36" s="103" t="s">
        <v>1370</v>
      </c>
      <c r="B36" s="228" t="s">
        <v>1398</v>
      </c>
      <c r="C36" s="229">
        <f>'11 CAPITAL EXPENDITURE'!D738</f>
        <v>330000000</v>
      </c>
      <c r="D36" s="229">
        <f>'11 CAPITAL EXPENDITURE'!E738</f>
        <v>39770230</v>
      </c>
      <c r="E36" s="229">
        <f>'11 CAPITAL EXPENDITURE'!F738</f>
        <v>1015000000</v>
      </c>
      <c r="F36" s="230">
        <f t="shared" si="5"/>
        <v>1116500000</v>
      </c>
      <c r="G36" s="230">
        <f t="shared" ref="G36:G37" si="12">F36*10%+F36</f>
        <v>1228150000</v>
      </c>
      <c r="H36" s="231">
        <f t="shared" si="7"/>
        <v>3359650000</v>
      </c>
      <c r="I36" s="226"/>
    </row>
    <row r="37" spans="1:9" s="227" customFormat="1" ht="36" customHeight="1" x14ac:dyDescent="0.45">
      <c r="A37" s="101" t="s">
        <v>1288</v>
      </c>
      <c r="B37" s="701" t="s">
        <v>1399</v>
      </c>
      <c r="C37" s="229">
        <f>'11 CAPITAL EXPENDITURE'!D755</f>
        <v>1256982500</v>
      </c>
      <c r="D37" s="229">
        <f>'11 CAPITAL EXPENDITURE'!E755</f>
        <v>255395000</v>
      </c>
      <c r="E37" s="229">
        <f>'11 CAPITAL EXPENDITURE'!F755</f>
        <v>1861587500</v>
      </c>
      <c r="F37" s="230">
        <f t="shared" si="5"/>
        <v>2047746250</v>
      </c>
      <c r="G37" s="230">
        <f t="shared" si="12"/>
        <v>2252520875</v>
      </c>
      <c r="H37" s="231">
        <f t="shared" si="7"/>
        <v>6161854625</v>
      </c>
      <c r="I37" s="226"/>
    </row>
    <row r="38" spans="1:9" s="227" customFormat="1" ht="36" customHeight="1" x14ac:dyDescent="0.45">
      <c r="A38" s="103" t="s">
        <v>981</v>
      </c>
      <c r="B38" s="228" t="s">
        <v>975</v>
      </c>
      <c r="C38" s="229">
        <f>'11 CAPITAL EXPENDITURE'!D766</f>
        <v>500000000</v>
      </c>
      <c r="D38" s="229">
        <f>'11 CAPITAL EXPENDITURE'!E766</f>
        <v>576169019.30999994</v>
      </c>
      <c r="E38" s="229">
        <f>'11 CAPITAL EXPENDITURE'!F766</f>
        <v>300000000</v>
      </c>
      <c r="F38" s="230">
        <f t="shared" si="5"/>
        <v>330000000</v>
      </c>
      <c r="G38" s="230">
        <f t="shared" ref="G38" si="13">F38*10%+F38</f>
        <v>363000000</v>
      </c>
      <c r="H38" s="231">
        <f t="shared" si="7"/>
        <v>993000000</v>
      </c>
      <c r="I38" s="226"/>
    </row>
    <row r="39" spans="1:9" s="227" customFormat="1" ht="36" customHeight="1" x14ac:dyDescent="0.45">
      <c r="A39" s="103" t="s">
        <v>1293</v>
      </c>
      <c r="B39" s="228" t="s">
        <v>166</v>
      </c>
      <c r="C39" s="229">
        <f>'11 CAPITAL EXPENDITURE'!D785</f>
        <v>865000000</v>
      </c>
      <c r="D39" s="229">
        <f>'11 CAPITAL EXPENDITURE'!E785</f>
        <v>120172640</v>
      </c>
      <c r="E39" s="229">
        <f>'11 CAPITAL EXPENDITURE'!F785</f>
        <v>2210000000</v>
      </c>
      <c r="F39" s="230">
        <f t="shared" si="5"/>
        <v>2431000000</v>
      </c>
      <c r="G39" s="230">
        <f t="shared" ref="G39" si="14">F39*10%+F39</f>
        <v>2674100000</v>
      </c>
      <c r="H39" s="231">
        <f t="shared" si="7"/>
        <v>7315100000</v>
      </c>
      <c r="I39" s="226"/>
    </row>
    <row r="40" spans="1:9" s="227" customFormat="1" ht="36" customHeight="1" x14ac:dyDescent="0.45">
      <c r="A40" s="103" t="s">
        <v>549</v>
      </c>
      <c r="B40" s="277" t="s">
        <v>1441</v>
      </c>
      <c r="C40" s="229">
        <f>'11 CAPITAL EXPENDITURE'!D803</f>
        <v>200000000</v>
      </c>
      <c r="D40" s="229">
        <f>'11 CAPITAL EXPENDITURE'!E803</f>
        <v>0</v>
      </c>
      <c r="E40" s="229">
        <f>'11 CAPITAL EXPENDITURE'!F803</f>
        <v>200000000</v>
      </c>
      <c r="F40" s="230">
        <f t="shared" si="5"/>
        <v>220000000</v>
      </c>
      <c r="G40" s="230">
        <f t="shared" ref="G40" si="15">F40*10%+F40</f>
        <v>242000000</v>
      </c>
      <c r="H40" s="231">
        <f t="shared" si="7"/>
        <v>662000000</v>
      </c>
      <c r="I40" s="226"/>
    </row>
    <row r="41" spans="1:9" s="227" customFormat="1" ht="36" customHeight="1" x14ac:dyDescent="0.45">
      <c r="A41" s="103" t="s">
        <v>440</v>
      </c>
      <c r="B41" s="228" t="s">
        <v>1400</v>
      </c>
      <c r="C41" s="229">
        <f>'11 CAPITAL EXPENDITURE'!D818</f>
        <v>42000000</v>
      </c>
      <c r="D41" s="229">
        <f>'11 CAPITAL EXPENDITURE'!E818</f>
        <v>0</v>
      </c>
      <c r="E41" s="229">
        <f>'11 CAPITAL EXPENDITURE'!F818</f>
        <v>42000000</v>
      </c>
      <c r="F41" s="230">
        <f t="shared" si="5"/>
        <v>46200000</v>
      </c>
      <c r="G41" s="230">
        <f t="shared" ref="G41" si="16">F41*10%+F41</f>
        <v>50820000</v>
      </c>
      <c r="H41" s="231">
        <f t="shared" si="7"/>
        <v>139020000</v>
      </c>
      <c r="I41" s="226"/>
    </row>
    <row r="42" spans="1:9" s="227" customFormat="1" ht="36" customHeight="1" x14ac:dyDescent="0.45">
      <c r="A42" s="103" t="s">
        <v>437</v>
      </c>
      <c r="B42" s="228" t="s">
        <v>1022</v>
      </c>
      <c r="C42" s="229">
        <f>'11 CAPITAL EXPENDITURE'!D828</f>
        <v>20000000</v>
      </c>
      <c r="D42" s="229">
        <f>'11 CAPITAL EXPENDITURE'!E828</f>
        <v>0</v>
      </c>
      <c r="E42" s="229">
        <f>'11 CAPITAL EXPENDITURE'!F828</f>
        <v>20000000</v>
      </c>
      <c r="F42" s="230">
        <f t="shared" si="5"/>
        <v>22000000</v>
      </c>
      <c r="G42" s="230">
        <f t="shared" ref="G42" si="17">F42*10%+F42</f>
        <v>24200000</v>
      </c>
      <c r="H42" s="231">
        <f t="shared" si="7"/>
        <v>66200000</v>
      </c>
      <c r="I42" s="226"/>
    </row>
    <row r="43" spans="1:9" s="227" customFormat="1" ht="36" customHeight="1" x14ac:dyDescent="0.45">
      <c r="A43" s="103" t="s">
        <v>438</v>
      </c>
      <c r="B43" s="228" t="s">
        <v>1402</v>
      </c>
      <c r="C43" s="229">
        <f>'11 CAPITAL EXPENDITURE'!D861</f>
        <v>948681855</v>
      </c>
      <c r="D43" s="229">
        <f>'11 CAPITAL EXPENDITURE'!E861</f>
        <v>93318680</v>
      </c>
      <c r="E43" s="229">
        <f>'11 CAPITAL EXPENDITURE'!F861</f>
        <v>646365948</v>
      </c>
      <c r="F43" s="230">
        <f t="shared" si="5"/>
        <v>711002542.79999995</v>
      </c>
      <c r="G43" s="230">
        <f t="shared" ref="G43" si="18">F43*10%+F43</f>
        <v>782102797.07999992</v>
      </c>
      <c r="H43" s="231">
        <f t="shared" si="7"/>
        <v>2139471287.8799999</v>
      </c>
      <c r="I43" s="226"/>
    </row>
    <row r="44" spans="1:9" s="227" customFormat="1" ht="36" customHeight="1" x14ac:dyDescent="0.45">
      <c r="A44" s="103" t="s">
        <v>1289</v>
      </c>
      <c r="B44" s="277" t="s">
        <v>1434</v>
      </c>
      <c r="C44" s="229"/>
      <c r="D44" s="229"/>
      <c r="E44" s="229">
        <f>'11 CAPITAL EXPENDITURE'!F897</f>
        <v>740000000</v>
      </c>
      <c r="F44" s="230">
        <f t="shared" si="5"/>
        <v>814000000</v>
      </c>
      <c r="G44" s="230">
        <f t="shared" ref="G44" si="19">F44*10%+F44</f>
        <v>895400000</v>
      </c>
      <c r="H44" s="231">
        <f t="shared" si="7"/>
        <v>2449400000</v>
      </c>
      <c r="I44" s="226"/>
    </row>
    <row r="45" spans="1:9" s="227" customFormat="1" ht="36" customHeight="1" x14ac:dyDescent="0.45">
      <c r="A45" s="103" t="s">
        <v>1290</v>
      </c>
      <c r="B45" s="228" t="s">
        <v>1403</v>
      </c>
      <c r="C45" s="229">
        <f>'11 CAPITAL EXPENDITURE'!D912</f>
        <v>100000000</v>
      </c>
      <c r="D45" s="229">
        <f>'11 CAPITAL EXPENDITURE'!E912</f>
        <v>17895200</v>
      </c>
      <c r="E45" s="229">
        <f>'11 CAPITAL EXPENDITURE'!F912</f>
        <v>115104800</v>
      </c>
      <c r="F45" s="230">
        <f t="shared" si="5"/>
        <v>126615280</v>
      </c>
      <c r="G45" s="230">
        <f t="shared" ref="G45" si="20">F45*10%+F45</f>
        <v>139276808</v>
      </c>
      <c r="H45" s="231">
        <f t="shared" si="7"/>
        <v>380996888</v>
      </c>
      <c r="I45" s="226"/>
    </row>
    <row r="46" spans="1:9" s="227" customFormat="1" ht="36" customHeight="1" x14ac:dyDescent="0.45">
      <c r="A46" s="103" t="s">
        <v>544</v>
      </c>
      <c r="B46" s="228" t="s">
        <v>1404</v>
      </c>
      <c r="C46" s="229">
        <f>'11 CAPITAL EXPENDITURE'!D927</f>
        <v>2265000000</v>
      </c>
      <c r="D46" s="229">
        <f>'11 CAPITAL EXPENDITURE'!E927</f>
        <v>84976664.379999995</v>
      </c>
      <c r="E46" s="229">
        <f>'11 CAPITAL EXPENDITURE'!F927</f>
        <v>2405023335</v>
      </c>
      <c r="F46" s="230">
        <f t="shared" si="5"/>
        <v>2645525668.5</v>
      </c>
      <c r="G46" s="230">
        <f t="shared" ref="G46" si="21">F46*10%+F46</f>
        <v>2910078235.3499999</v>
      </c>
      <c r="H46" s="231">
        <f t="shared" si="7"/>
        <v>7960627238.8500004</v>
      </c>
      <c r="I46" s="226"/>
    </row>
    <row r="47" spans="1:9" s="227" customFormat="1" ht="36" customHeight="1" x14ac:dyDescent="0.45">
      <c r="A47" s="103" t="s">
        <v>439</v>
      </c>
      <c r="B47" s="228" t="s">
        <v>1405</v>
      </c>
      <c r="C47" s="229">
        <f>'11 CAPITAL EXPENDITURE'!D948</f>
        <v>270000000</v>
      </c>
      <c r="D47" s="229">
        <f>'11 CAPITAL EXPENDITURE'!E948</f>
        <v>3680000</v>
      </c>
      <c r="E47" s="229">
        <f>'11 CAPITAL EXPENDITURE'!F948</f>
        <v>1870000000</v>
      </c>
      <c r="F47" s="230">
        <f t="shared" si="5"/>
        <v>2057000000</v>
      </c>
      <c r="G47" s="230">
        <f t="shared" ref="G47" si="22">F47*10%+F47</f>
        <v>2262700000</v>
      </c>
      <c r="H47" s="231">
        <f t="shared" si="7"/>
        <v>6189700000</v>
      </c>
      <c r="I47" s="226"/>
    </row>
    <row r="48" spans="1:9" s="227" customFormat="1" ht="36" customHeight="1" x14ac:dyDescent="0.45">
      <c r="A48" s="103" t="s">
        <v>1371</v>
      </c>
      <c r="B48" s="228" t="s">
        <v>1406</v>
      </c>
      <c r="C48" s="229">
        <f>'11 CAPITAL EXPENDITURE'!D974+'11 CAPITAL EXPENDITURE'!D979</f>
        <v>14361158790</v>
      </c>
      <c r="D48" s="229">
        <f>'11 CAPITAL EXPENDITURE'!E974+'11 CAPITAL EXPENDITURE'!E979</f>
        <v>2490548639.1500001</v>
      </c>
      <c r="E48" s="229">
        <f>'11 CAPITAL EXPENDITURE'!F974+'11 CAPITAL EXPENDITURE'!F979</f>
        <v>40706031489</v>
      </c>
      <c r="F48" s="230">
        <f t="shared" si="5"/>
        <v>44776634637.900002</v>
      </c>
      <c r="G48" s="230">
        <f t="shared" ref="G48" si="23">F48*10%+F48</f>
        <v>49254298101.690002</v>
      </c>
      <c r="H48" s="231">
        <f t="shared" si="7"/>
        <v>134736964228.59</v>
      </c>
      <c r="I48" s="226"/>
    </row>
    <row r="49" spans="1:9" s="227" customFormat="1" ht="36" customHeight="1" x14ac:dyDescent="0.45">
      <c r="A49" s="103" t="s">
        <v>1023</v>
      </c>
      <c r="B49" s="277" t="s">
        <v>2535</v>
      </c>
      <c r="C49" s="229">
        <f>'11 CAPITAL EXPENDITURE'!D1055</f>
        <v>1526893120</v>
      </c>
      <c r="D49" s="229">
        <f>'11 CAPITAL EXPENDITURE'!E1055</f>
        <v>653375686.56999993</v>
      </c>
      <c r="E49" s="229">
        <f>'11 CAPITAL EXPENDITURE'!F1055</f>
        <v>3857966027</v>
      </c>
      <c r="F49" s="230">
        <f t="shared" si="5"/>
        <v>4243762629.6999998</v>
      </c>
      <c r="G49" s="230">
        <f t="shared" ref="G49" si="24">F49*10%+F49</f>
        <v>4668138892.6700001</v>
      </c>
      <c r="H49" s="231">
        <f t="shared" si="7"/>
        <v>12769867549.369999</v>
      </c>
      <c r="I49" s="226"/>
    </row>
    <row r="50" spans="1:9" s="227" customFormat="1" ht="36" customHeight="1" x14ac:dyDescent="0.45">
      <c r="A50" s="103" t="s">
        <v>1292</v>
      </c>
      <c r="B50" s="228" t="s">
        <v>1407</v>
      </c>
      <c r="C50" s="229">
        <f>'11 CAPITAL EXPENDITURE'!D1068</f>
        <v>1409918855</v>
      </c>
      <c r="D50" s="229">
        <f>'11 CAPITAL EXPENDITURE'!E1068</f>
        <v>327657395.99000001</v>
      </c>
      <c r="E50" s="229">
        <f>'11 CAPITAL EXPENDITURE'!F1068</f>
        <v>1082261459</v>
      </c>
      <c r="F50" s="230">
        <f t="shared" si="5"/>
        <v>1190487604.9000001</v>
      </c>
      <c r="G50" s="230">
        <f t="shared" ref="G50" si="25">F50*10%+F50</f>
        <v>1309536365.3900001</v>
      </c>
      <c r="H50" s="231">
        <f t="shared" si="7"/>
        <v>3582285429.29</v>
      </c>
      <c r="I50" s="226"/>
    </row>
    <row r="51" spans="1:9" s="227" customFormat="1" ht="36" customHeight="1" x14ac:dyDescent="0.45">
      <c r="A51" s="103" t="s">
        <v>441</v>
      </c>
      <c r="B51" s="228" t="s">
        <v>165</v>
      </c>
      <c r="C51" s="229">
        <f>'11 CAPITAL EXPENDITURE'!D1100</f>
        <v>8276000000</v>
      </c>
      <c r="D51" s="229">
        <f>'11 CAPITAL EXPENDITURE'!E1100</f>
        <v>1234969773.98</v>
      </c>
      <c r="E51" s="229">
        <f>'11 CAPITAL EXPENDITURE'!F1100</f>
        <v>18221000000</v>
      </c>
      <c r="F51" s="230">
        <f t="shared" si="5"/>
        <v>20043100000</v>
      </c>
      <c r="G51" s="230">
        <f t="shared" ref="G51" si="26">F51*10%+F51</f>
        <v>22047410000</v>
      </c>
      <c r="H51" s="231">
        <f t="shared" si="7"/>
        <v>60311510000</v>
      </c>
      <c r="I51" s="226"/>
    </row>
    <row r="52" spans="1:9" s="227" customFormat="1" ht="36" customHeight="1" x14ac:dyDescent="0.45">
      <c r="A52" s="103" t="s">
        <v>1291</v>
      </c>
      <c r="B52" s="228" t="s">
        <v>1408</v>
      </c>
      <c r="C52" s="229">
        <f>'11 CAPITAL EXPENDITURE'!D1146</f>
        <v>2418000000</v>
      </c>
      <c r="D52" s="229">
        <f>'11 CAPITAL EXPENDITURE'!E1146</f>
        <v>789499374.93000007</v>
      </c>
      <c r="E52" s="229">
        <f>'11 CAPITAL EXPENDITURE'!F1146</f>
        <v>2414000000</v>
      </c>
      <c r="F52" s="230">
        <f t="shared" si="5"/>
        <v>2655400000</v>
      </c>
      <c r="G52" s="230">
        <f t="shared" ref="G52" si="27">F52*10%+F52</f>
        <v>2920940000</v>
      </c>
      <c r="H52" s="231">
        <f t="shared" si="7"/>
        <v>7990340000</v>
      </c>
      <c r="I52" s="226"/>
    </row>
    <row r="53" spans="1:9" s="227" customFormat="1" ht="36" customHeight="1" thickBot="1" x14ac:dyDescent="0.5">
      <c r="A53" s="284" t="s">
        <v>983</v>
      </c>
      <c r="B53" s="232" t="s">
        <v>1096</v>
      </c>
      <c r="C53" s="230">
        <f>'11 CAPITAL EXPENDITURE'!D1131</f>
        <v>715000000</v>
      </c>
      <c r="D53" s="230">
        <f>'11 CAPITAL EXPENDITURE'!E1131</f>
        <v>103473100.62</v>
      </c>
      <c r="E53" s="230">
        <f>'11 CAPITAL EXPENDITURE'!F1131</f>
        <v>1613601585</v>
      </c>
      <c r="F53" s="230">
        <f t="shared" si="5"/>
        <v>1774961743.5</v>
      </c>
      <c r="G53" s="230">
        <f t="shared" ref="G53" si="28">F53*10%+F53</f>
        <v>1952457917.8499999</v>
      </c>
      <c r="H53" s="230">
        <f t="shared" si="7"/>
        <v>5341021246.3500004</v>
      </c>
      <c r="I53" s="226"/>
    </row>
    <row r="54" spans="1:9" s="237" customFormat="1" ht="36" customHeight="1" thickBot="1" x14ac:dyDescent="0.45">
      <c r="A54" s="100"/>
      <c r="B54" s="233" t="s">
        <v>2415</v>
      </c>
      <c r="C54" s="245">
        <f>SUM(C30:C53)</f>
        <v>54853281126</v>
      </c>
      <c r="D54" s="245">
        <f>SUM(D30:D53)</f>
        <v>7570561591.6099997</v>
      </c>
      <c r="E54" s="245">
        <f>SUM(E30:E53)</f>
        <v>105593874038</v>
      </c>
      <c r="F54" s="245">
        <f>SUM(F30:F53)</f>
        <v>116153261441.8</v>
      </c>
      <c r="G54" s="245">
        <f>SUM(G30:G53)</f>
        <v>127768587585.98001</v>
      </c>
      <c r="H54" s="262">
        <f>SUM(E54:G54)</f>
        <v>349515723065.78003</v>
      </c>
      <c r="I54" s="236"/>
    </row>
    <row r="55" spans="1:9" ht="43.35" customHeight="1" thickBot="1" x14ac:dyDescent="0.5">
      <c r="A55" s="282"/>
      <c r="B55" s="217"/>
      <c r="C55" s="246"/>
      <c r="D55" s="247"/>
      <c r="E55" s="248"/>
      <c r="F55" s="249"/>
      <c r="G55" s="250"/>
      <c r="H55" s="247"/>
      <c r="I55" s="251"/>
    </row>
    <row r="56" spans="1:9" s="237" customFormat="1" ht="43.35" customHeight="1" x14ac:dyDescent="0.4">
      <c r="A56" s="286" t="s">
        <v>125</v>
      </c>
      <c r="B56" s="252" t="s">
        <v>1372</v>
      </c>
      <c r="C56" s="253"/>
      <c r="D56" s="254"/>
      <c r="E56" s="253"/>
      <c r="F56" s="253"/>
      <c r="G56" s="253"/>
      <c r="H56" s="255"/>
      <c r="I56" s="236"/>
    </row>
    <row r="57" spans="1:9" s="227" customFormat="1" ht="43.35" customHeight="1" x14ac:dyDescent="0.45">
      <c r="A57" s="287" t="s">
        <v>443</v>
      </c>
      <c r="B57" s="228" t="s">
        <v>167</v>
      </c>
      <c r="C57" s="256">
        <f>'11 CAPITAL EXPENDITURE'!D1168</f>
        <v>28500000</v>
      </c>
      <c r="D57" s="256">
        <f>'11 CAPITAL EXPENDITURE'!E1168</f>
        <v>6160000</v>
      </c>
      <c r="E57" s="256">
        <f>'11 CAPITAL EXPENDITURE'!F1168</f>
        <v>26340000</v>
      </c>
      <c r="F57" s="256">
        <f t="shared" ref="F57:G61" si="29">E57*10%+E57</f>
        <v>28974000</v>
      </c>
      <c r="G57" s="256">
        <f t="shared" si="29"/>
        <v>31871400</v>
      </c>
      <c r="H57" s="257">
        <f t="shared" ref="H57:H62" si="30">SUM(E57:G57)</f>
        <v>87185400</v>
      </c>
      <c r="I57" s="226"/>
    </row>
    <row r="58" spans="1:9" s="227" customFormat="1" ht="43.35" customHeight="1" x14ac:dyDescent="0.45">
      <c r="A58" s="287" t="s">
        <v>444</v>
      </c>
      <c r="B58" s="228" t="s">
        <v>170</v>
      </c>
      <c r="C58" s="256">
        <f>'11 CAPITAL EXPENDITURE'!D1193</f>
        <v>150000000</v>
      </c>
      <c r="D58" s="256">
        <f>'11 CAPITAL EXPENDITURE'!E1193</f>
        <v>17000000</v>
      </c>
      <c r="E58" s="256">
        <f>'11 CAPITAL EXPENDITURE'!F1193</f>
        <v>150000000</v>
      </c>
      <c r="F58" s="256">
        <f t="shared" si="29"/>
        <v>165000000</v>
      </c>
      <c r="G58" s="256">
        <f t="shared" ref="G58" si="31">F58*10%+F58</f>
        <v>181500000</v>
      </c>
      <c r="H58" s="257">
        <f t="shared" si="30"/>
        <v>496500000</v>
      </c>
      <c r="I58" s="226"/>
    </row>
    <row r="59" spans="1:9" s="227" customFormat="1" ht="43.35" customHeight="1" x14ac:dyDescent="0.45">
      <c r="A59" s="287" t="s">
        <v>445</v>
      </c>
      <c r="B59" s="228" t="s">
        <v>168</v>
      </c>
      <c r="C59" s="256">
        <f>'11 CAPITAL EXPENDITURE'!D1234</f>
        <v>655500000</v>
      </c>
      <c r="D59" s="256">
        <f>'11 CAPITAL EXPENDITURE'!E1234</f>
        <v>310675000</v>
      </c>
      <c r="E59" s="256">
        <f>'11 CAPITAL EXPENDITURE'!F1234</f>
        <v>874000000</v>
      </c>
      <c r="F59" s="256">
        <f t="shared" si="29"/>
        <v>961400000</v>
      </c>
      <c r="G59" s="256">
        <f t="shared" ref="G59" si="32">F59*10%+F59</f>
        <v>1057540000</v>
      </c>
      <c r="H59" s="257">
        <f t="shared" si="30"/>
        <v>2892940000</v>
      </c>
      <c r="I59" s="226"/>
    </row>
    <row r="60" spans="1:9" s="227" customFormat="1" ht="43.35" customHeight="1" x14ac:dyDescent="0.45">
      <c r="A60" s="287" t="s">
        <v>446</v>
      </c>
      <c r="B60" s="228" t="s">
        <v>238</v>
      </c>
      <c r="C60" s="256">
        <f>'11 CAPITAL EXPENDITURE'!D1270</f>
        <v>202500000</v>
      </c>
      <c r="D60" s="256">
        <f>'11 CAPITAL EXPENDITURE'!E1270</f>
        <v>103250000</v>
      </c>
      <c r="E60" s="256">
        <f>'11 CAPITAL EXPENDITURE'!F1270</f>
        <v>227500000</v>
      </c>
      <c r="F60" s="256">
        <f t="shared" si="29"/>
        <v>250250000</v>
      </c>
      <c r="G60" s="256">
        <f t="shared" ref="G60" si="33">F60*10%+F60</f>
        <v>275275000</v>
      </c>
      <c r="H60" s="257">
        <f t="shared" si="30"/>
        <v>753025000</v>
      </c>
      <c r="I60" s="226"/>
    </row>
    <row r="61" spans="1:9" s="227" customFormat="1" ht="43.35" customHeight="1" thickBot="1" x14ac:dyDescent="0.5">
      <c r="A61" s="288" t="s">
        <v>1294</v>
      </c>
      <c r="B61" s="232" t="s">
        <v>3061</v>
      </c>
      <c r="C61" s="258">
        <f>'11 CAPITAL EXPENDITURE'!D1289</f>
        <v>25000000</v>
      </c>
      <c r="D61" s="258">
        <f>'11 CAPITAL EXPENDITURE'!E1289</f>
        <v>13000000</v>
      </c>
      <c r="E61" s="258">
        <f>'11 CAPITAL EXPENDITURE'!F1289</f>
        <v>19000000</v>
      </c>
      <c r="F61" s="258">
        <f t="shared" si="29"/>
        <v>20900000</v>
      </c>
      <c r="G61" s="258">
        <f t="shared" ref="G61" si="34">F61*10%+F61</f>
        <v>22990000</v>
      </c>
      <c r="H61" s="259">
        <f t="shared" si="30"/>
        <v>62890000</v>
      </c>
      <c r="I61" s="226"/>
    </row>
    <row r="62" spans="1:9" s="227" customFormat="1" ht="43.35" customHeight="1" thickBot="1" x14ac:dyDescent="0.5">
      <c r="A62" s="289"/>
      <c r="B62" s="260" t="s">
        <v>2416</v>
      </c>
      <c r="C62" s="261">
        <f>SUM(C57:C61)</f>
        <v>1061500000</v>
      </c>
      <c r="D62" s="261">
        <f>SUM(D57:D61)</f>
        <v>450085000</v>
      </c>
      <c r="E62" s="261">
        <f>SUM(E57:E61)</f>
        <v>1296840000</v>
      </c>
      <c r="F62" s="261">
        <f>SUM(F57:F61)</f>
        <v>1426524000</v>
      </c>
      <c r="G62" s="261">
        <f>SUM(G57:G61)</f>
        <v>1569176400</v>
      </c>
      <c r="H62" s="262">
        <f t="shared" si="30"/>
        <v>4292540400</v>
      </c>
      <c r="I62" s="226"/>
    </row>
    <row r="63" spans="1:9" s="227" customFormat="1" ht="36" customHeight="1" x14ac:dyDescent="0.45">
      <c r="A63" s="290" t="s">
        <v>90</v>
      </c>
      <c r="B63" s="263" t="s">
        <v>81</v>
      </c>
      <c r="C63" s="264"/>
      <c r="D63" s="265"/>
      <c r="E63" s="264"/>
      <c r="F63" s="264"/>
      <c r="G63" s="264"/>
      <c r="H63" s="266"/>
      <c r="I63" s="226"/>
    </row>
    <row r="64" spans="1:9" s="227" customFormat="1" ht="36" customHeight="1" x14ac:dyDescent="0.45">
      <c r="A64" s="103" t="s">
        <v>447</v>
      </c>
      <c r="B64" s="228" t="s">
        <v>978</v>
      </c>
      <c r="C64" s="267">
        <f>'11 CAPITAL EXPENDITURE'!D1319</f>
        <v>748862500</v>
      </c>
      <c r="D64" s="267">
        <f>'11 CAPITAL EXPENDITURE'!E1319</f>
        <v>159122052</v>
      </c>
      <c r="E64" s="267">
        <f>'11 CAPITAL EXPENDITURE'!F1319</f>
        <v>943528900</v>
      </c>
      <c r="F64" s="230">
        <f>E64*10%+E64</f>
        <v>1037881790</v>
      </c>
      <c r="G64" s="230">
        <f t="shared" ref="F64:G94" si="35">F64*10%+F64</f>
        <v>1141669969</v>
      </c>
      <c r="H64" s="268">
        <f>SUM(E64:G64)</f>
        <v>3123080659</v>
      </c>
      <c r="I64" s="226"/>
    </row>
    <row r="65" spans="1:9" s="227" customFormat="1" ht="36" customHeight="1" x14ac:dyDescent="0.45">
      <c r="A65" s="103" t="s">
        <v>1311</v>
      </c>
      <c r="B65" s="228" t="s">
        <v>1409</v>
      </c>
      <c r="C65" s="267">
        <f>'11 CAPITAL EXPENDITURE'!D1338</f>
        <v>650000000</v>
      </c>
      <c r="D65" s="267">
        <f>'11 CAPITAL EXPENDITURE'!E1338</f>
        <v>62609540</v>
      </c>
      <c r="E65" s="267">
        <f>'11 CAPITAL EXPENDITURE'!F1338</f>
        <v>650000000</v>
      </c>
      <c r="F65" s="230">
        <f t="shared" si="35"/>
        <v>715000000</v>
      </c>
      <c r="G65" s="230">
        <f t="shared" ref="G65" si="36">F65*10%+F65</f>
        <v>786500000</v>
      </c>
      <c r="H65" s="268">
        <f t="shared" ref="H65:H95" si="37">SUM(E65:G65)</f>
        <v>2151500000</v>
      </c>
      <c r="I65" s="226"/>
    </row>
    <row r="66" spans="1:9" s="227" customFormat="1" ht="36" customHeight="1" x14ac:dyDescent="0.45">
      <c r="A66" s="103" t="s">
        <v>1296</v>
      </c>
      <c r="B66" s="228" t="s">
        <v>669</v>
      </c>
      <c r="C66" s="267">
        <f>'11 CAPITAL EXPENDITURE'!D1357</f>
        <v>140000000</v>
      </c>
      <c r="D66" s="267">
        <f>'11 CAPITAL EXPENDITURE'!E1357</f>
        <v>25160000</v>
      </c>
      <c r="E66" s="267">
        <f>'11 CAPITAL EXPENDITURE'!F1357</f>
        <v>140000000</v>
      </c>
      <c r="F66" s="230">
        <f t="shared" si="35"/>
        <v>154000000</v>
      </c>
      <c r="G66" s="230">
        <f t="shared" ref="G66" si="38">F66*10%+F66</f>
        <v>169400000</v>
      </c>
      <c r="H66" s="268">
        <f t="shared" si="37"/>
        <v>463400000</v>
      </c>
      <c r="I66" s="226"/>
    </row>
    <row r="67" spans="1:9" s="227" customFormat="1" ht="36" customHeight="1" x14ac:dyDescent="0.45">
      <c r="A67" s="103" t="s">
        <v>448</v>
      </c>
      <c r="B67" s="228" t="s">
        <v>171</v>
      </c>
      <c r="C67" s="267">
        <f>'11 CAPITAL EXPENDITURE'!D1384</f>
        <v>510000000</v>
      </c>
      <c r="D67" s="267">
        <f>'11 CAPITAL EXPENDITURE'!E1384</f>
        <v>63064434</v>
      </c>
      <c r="E67" s="267">
        <f>'11 CAPITAL EXPENDITURE'!F1384</f>
        <v>520000000</v>
      </c>
      <c r="F67" s="230">
        <f t="shared" si="35"/>
        <v>572000000</v>
      </c>
      <c r="G67" s="230">
        <f t="shared" ref="G67" si="39">F67*10%+F67</f>
        <v>629200000</v>
      </c>
      <c r="H67" s="268">
        <f t="shared" si="37"/>
        <v>1721200000</v>
      </c>
      <c r="I67" s="226"/>
    </row>
    <row r="68" spans="1:9" s="227" customFormat="1" ht="36" customHeight="1" x14ac:dyDescent="0.45">
      <c r="A68" s="103" t="s">
        <v>1298</v>
      </c>
      <c r="B68" s="277" t="s">
        <v>1410</v>
      </c>
      <c r="C68" s="267">
        <f>'11 CAPITAL EXPENDITURE'!D1405</f>
        <v>118650000</v>
      </c>
      <c r="D68" s="267">
        <f>'11 CAPITAL EXPENDITURE'!E1405</f>
        <v>56726440</v>
      </c>
      <c r="E68" s="267">
        <f>'11 CAPITAL EXPENDITURE'!F1405</f>
        <v>128900000</v>
      </c>
      <c r="F68" s="230">
        <f t="shared" si="35"/>
        <v>141790000</v>
      </c>
      <c r="G68" s="230">
        <f t="shared" ref="G68" si="40">F68*10%+F68</f>
        <v>155969000</v>
      </c>
      <c r="H68" s="268">
        <f t="shared" si="37"/>
        <v>426659000</v>
      </c>
      <c r="I68" s="226"/>
    </row>
    <row r="69" spans="1:9" s="227" customFormat="1" ht="36" customHeight="1" x14ac:dyDescent="0.45">
      <c r="A69" s="103" t="s">
        <v>1299</v>
      </c>
      <c r="B69" s="277" t="s">
        <v>1094</v>
      </c>
      <c r="C69" s="267">
        <f>'11 CAPITAL EXPENDITURE'!D1428</f>
        <v>285805200</v>
      </c>
      <c r="D69" s="267">
        <f>'11 CAPITAL EXPENDITURE'!E1428</f>
        <v>12002490</v>
      </c>
      <c r="E69" s="267">
        <f>'11 CAPITAL EXPENDITURE'!F1428</f>
        <v>444100410</v>
      </c>
      <c r="F69" s="230">
        <f t="shared" si="35"/>
        <v>488510451</v>
      </c>
      <c r="G69" s="230">
        <f t="shared" ref="G69" si="41">F69*10%+F69</f>
        <v>537361496.10000002</v>
      </c>
      <c r="H69" s="268">
        <f t="shared" si="37"/>
        <v>1469972357.0999999</v>
      </c>
      <c r="I69" s="226"/>
    </row>
    <row r="70" spans="1:9" s="227" customFormat="1" ht="36" customHeight="1" x14ac:dyDescent="0.45">
      <c r="A70" s="103" t="s">
        <v>404</v>
      </c>
      <c r="B70" s="228" t="s">
        <v>173</v>
      </c>
      <c r="C70" s="267">
        <f>'11 CAPITAL EXPENDITURE'!D1479</f>
        <v>3924638025</v>
      </c>
      <c r="D70" s="267">
        <f>'11 CAPITAL EXPENDITURE'!E1479</f>
        <v>1725039926.3</v>
      </c>
      <c r="E70" s="267">
        <f>'11 CAPITAL EXPENDITURE'!F1479</f>
        <v>5920839605</v>
      </c>
      <c r="F70" s="230">
        <f t="shared" si="35"/>
        <v>6512923565.5</v>
      </c>
      <c r="G70" s="230">
        <f t="shared" ref="G70" si="42">F70*10%+F70</f>
        <v>7164215922.0500002</v>
      </c>
      <c r="H70" s="268">
        <f t="shared" si="37"/>
        <v>19597979092.549999</v>
      </c>
      <c r="I70" s="226"/>
    </row>
    <row r="71" spans="1:9" s="227" customFormat="1" ht="36" customHeight="1" x14ac:dyDescent="0.45">
      <c r="A71" s="103" t="s">
        <v>1300</v>
      </c>
      <c r="B71" s="228" t="s">
        <v>1411</v>
      </c>
      <c r="C71" s="267">
        <f>'11 CAPITAL EXPENDITURE'!D1503</f>
        <v>5213341260</v>
      </c>
      <c r="D71" s="267">
        <f>'11 CAPITAL EXPENDITURE'!E1503</f>
        <v>1156470000</v>
      </c>
      <c r="E71" s="267">
        <f>'11 CAPITAL EXPENDITURE'!F1503</f>
        <v>5025052448</v>
      </c>
      <c r="F71" s="230">
        <f t="shared" si="35"/>
        <v>5527557692.8000002</v>
      </c>
      <c r="G71" s="230">
        <f t="shared" ref="G71" si="43">F71*10%+F71</f>
        <v>6080313462.0799999</v>
      </c>
      <c r="H71" s="268">
        <f t="shared" si="37"/>
        <v>16632923602.879999</v>
      </c>
      <c r="I71" s="226"/>
    </row>
    <row r="72" spans="1:9" s="227" customFormat="1" ht="36" customHeight="1" x14ac:dyDescent="0.45">
      <c r="A72" s="103" t="s">
        <v>541</v>
      </c>
      <c r="B72" s="228" t="s">
        <v>1412</v>
      </c>
      <c r="C72" s="267">
        <f>'11 CAPITAL EXPENDITURE'!D1524</f>
        <v>64686030</v>
      </c>
      <c r="D72" s="267">
        <f>'11 CAPITAL EXPENDITURE'!E1524</f>
        <v>0</v>
      </c>
      <c r="E72" s="267">
        <f>'11 CAPITAL EXPENDITURE'!F1524</f>
        <v>77708335</v>
      </c>
      <c r="F72" s="230">
        <f t="shared" si="35"/>
        <v>85479168.5</v>
      </c>
      <c r="G72" s="230">
        <f t="shared" ref="G72" si="44">F72*10%+F72</f>
        <v>94027085.349999994</v>
      </c>
      <c r="H72" s="268">
        <f t="shared" si="37"/>
        <v>257214588.84999999</v>
      </c>
      <c r="I72" s="226"/>
    </row>
    <row r="73" spans="1:9" s="227" customFormat="1" ht="36" customHeight="1" x14ac:dyDescent="0.45">
      <c r="A73" s="103" t="s">
        <v>985</v>
      </c>
      <c r="B73" s="228" t="s">
        <v>1413</v>
      </c>
      <c r="C73" s="267">
        <f>'11 CAPITAL EXPENDITURE'!D1542</f>
        <v>79970545</v>
      </c>
      <c r="D73" s="267">
        <f>'11 CAPITAL EXPENDITURE'!E1542</f>
        <v>20415227</v>
      </c>
      <c r="E73" s="267">
        <f>'11 CAPITAL EXPENDITURE'!F1542</f>
        <v>79970545</v>
      </c>
      <c r="F73" s="230">
        <f t="shared" si="35"/>
        <v>87967599.5</v>
      </c>
      <c r="G73" s="230">
        <f t="shared" ref="G73" si="45">F73*10%+F73</f>
        <v>96764359.450000003</v>
      </c>
      <c r="H73" s="268">
        <f t="shared" si="37"/>
        <v>264702503.94999999</v>
      </c>
      <c r="I73" s="226"/>
    </row>
    <row r="74" spans="1:9" s="227" customFormat="1" ht="36" customHeight="1" x14ac:dyDescent="0.45">
      <c r="A74" s="103" t="s">
        <v>1302</v>
      </c>
      <c r="B74" s="228" t="s">
        <v>1414</v>
      </c>
      <c r="C74" s="267">
        <f>'11 CAPITAL EXPENDITURE'!D1583</f>
        <v>1008922000</v>
      </c>
      <c r="D74" s="267">
        <f>'11 CAPITAL EXPENDITURE'!E1583</f>
        <v>248102581</v>
      </c>
      <c r="E74" s="267">
        <f>'11 CAPITAL EXPENDITURE'!F1583</f>
        <v>1834517647</v>
      </c>
      <c r="F74" s="230">
        <f t="shared" si="35"/>
        <v>2017969411.7</v>
      </c>
      <c r="G74" s="230">
        <f t="shared" ref="G74" si="46">F74*10%+F74</f>
        <v>2219766352.8699999</v>
      </c>
      <c r="H74" s="268">
        <f t="shared" si="37"/>
        <v>6072253411.5699997</v>
      </c>
      <c r="I74" s="226"/>
    </row>
    <row r="75" spans="1:9" s="227" customFormat="1" ht="36" customHeight="1" x14ac:dyDescent="0.45">
      <c r="A75" s="103" t="s">
        <v>553</v>
      </c>
      <c r="B75" s="228" t="s">
        <v>1415</v>
      </c>
      <c r="C75" s="267">
        <f>'11 CAPITAL EXPENDITURE'!D1607</f>
        <v>815000000</v>
      </c>
      <c r="D75" s="267">
        <f>'11 CAPITAL EXPENDITURE'!E1607</f>
        <v>99866420.170000002</v>
      </c>
      <c r="E75" s="267">
        <f>'11 CAPITAL EXPENDITURE'!F1607</f>
        <v>2365000000</v>
      </c>
      <c r="F75" s="230">
        <f t="shared" si="35"/>
        <v>2601500000</v>
      </c>
      <c r="G75" s="230">
        <f t="shared" ref="G75" si="47">F75*10%+F75</f>
        <v>2861650000</v>
      </c>
      <c r="H75" s="268">
        <f t="shared" si="37"/>
        <v>7828150000</v>
      </c>
      <c r="I75" s="226"/>
    </row>
    <row r="76" spans="1:9" s="227" customFormat="1" ht="36" customHeight="1" x14ac:dyDescent="0.45">
      <c r="A76" s="103" t="s">
        <v>1303</v>
      </c>
      <c r="B76" s="228" t="s">
        <v>1416</v>
      </c>
      <c r="C76" s="267">
        <f>'11 CAPITAL EXPENDITURE'!D1655</f>
        <v>875000000</v>
      </c>
      <c r="D76" s="267">
        <f>'11 CAPITAL EXPENDITURE'!E1655</f>
        <v>0</v>
      </c>
      <c r="E76" s="267">
        <f>'11 CAPITAL EXPENDITURE'!F1655</f>
        <v>766399634</v>
      </c>
      <c r="F76" s="230">
        <f t="shared" si="35"/>
        <v>843039597.39999998</v>
      </c>
      <c r="G76" s="230">
        <f t="shared" ref="G76" si="48">F76*10%+F76</f>
        <v>927343557.13999999</v>
      </c>
      <c r="H76" s="268">
        <f t="shared" si="37"/>
        <v>2536782788.54</v>
      </c>
      <c r="I76" s="226"/>
    </row>
    <row r="77" spans="1:9" s="227" customFormat="1" ht="36" customHeight="1" x14ac:dyDescent="0.45">
      <c r="A77" s="103" t="s">
        <v>555</v>
      </c>
      <c r="B77" s="228" t="s">
        <v>1417</v>
      </c>
      <c r="C77" s="267">
        <f>'11 CAPITAL EXPENDITURE'!D1683</f>
        <v>350000000</v>
      </c>
      <c r="D77" s="267">
        <f>'11 CAPITAL EXPENDITURE'!E1683</f>
        <v>0</v>
      </c>
      <c r="E77" s="267">
        <f>'11 CAPITAL EXPENDITURE'!F1683</f>
        <v>355000000</v>
      </c>
      <c r="F77" s="230">
        <f t="shared" si="35"/>
        <v>390500000</v>
      </c>
      <c r="G77" s="230">
        <f t="shared" ref="G77" si="49">F77*10%+F77</f>
        <v>429550000</v>
      </c>
      <c r="H77" s="268">
        <f t="shared" si="37"/>
        <v>1175050000</v>
      </c>
      <c r="I77" s="226"/>
    </row>
    <row r="78" spans="1:9" s="227" customFormat="1" ht="36" customHeight="1" x14ac:dyDescent="0.45">
      <c r="A78" s="103" t="s">
        <v>556</v>
      </c>
      <c r="B78" s="228" t="s">
        <v>1418</v>
      </c>
      <c r="C78" s="267">
        <f>'11 CAPITAL EXPENDITURE'!D1716</f>
        <v>210000000</v>
      </c>
      <c r="D78" s="267">
        <f>'11 CAPITAL EXPENDITURE'!E1716</f>
        <v>53484918.840000004</v>
      </c>
      <c r="E78" s="267">
        <f>'11 CAPITAL EXPENDITURE'!F1716</f>
        <v>274937400</v>
      </c>
      <c r="F78" s="230">
        <f t="shared" si="35"/>
        <v>302431140</v>
      </c>
      <c r="G78" s="230">
        <f t="shared" ref="G78" si="50">F78*10%+F78</f>
        <v>332674254</v>
      </c>
      <c r="H78" s="268">
        <f t="shared" si="37"/>
        <v>910042794</v>
      </c>
      <c r="I78" s="226"/>
    </row>
    <row r="79" spans="1:9" s="227" customFormat="1" ht="36" customHeight="1" x14ac:dyDescent="0.45">
      <c r="A79" s="103" t="s">
        <v>557</v>
      </c>
      <c r="B79" s="228" t="s">
        <v>3155</v>
      </c>
      <c r="C79" s="267">
        <f>'11 CAPITAL EXPENDITURE'!D1769</f>
        <v>1330000000</v>
      </c>
      <c r="D79" s="267">
        <f>'11 CAPITAL EXPENDITURE'!E1769</f>
        <v>43325529.460000001</v>
      </c>
      <c r="E79" s="267">
        <f>'11 CAPITAL EXPENDITURE'!F1769</f>
        <v>1535000000</v>
      </c>
      <c r="F79" s="230">
        <f t="shared" si="35"/>
        <v>1688500000</v>
      </c>
      <c r="G79" s="230">
        <f t="shared" ref="G79" si="51">F79*10%+F79</f>
        <v>1857350000</v>
      </c>
      <c r="H79" s="268">
        <f t="shared" si="37"/>
        <v>5080850000</v>
      </c>
      <c r="I79" s="226"/>
    </row>
    <row r="80" spans="1:9" s="227" customFormat="1" ht="36" customHeight="1" x14ac:dyDescent="0.45">
      <c r="A80" s="103" t="s">
        <v>1304</v>
      </c>
      <c r="B80" s="228" t="s">
        <v>1419</v>
      </c>
      <c r="C80" s="267">
        <f>'11 CAPITAL EXPENDITURE'!D1621</f>
        <v>650000000</v>
      </c>
      <c r="D80" s="267">
        <f>'11 CAPITAL EXPENDITURE'!E1621</f>
        <v>568707700</v>
      </c>
      <c r="E80" s="267">
        <f>'11 CAPITAL EXPENDITURE'!F1621</f>
        <v>1300000000</v>
      </c>
      <c r="F80" s="230">
        <f t="shared" si="35"/>
        <v>1430000000</v>
      </c>
      <c r="G80" s="230">
        <f t="shared" ref="G80" si="52">F80*10%+F80</f>
        <v>1573000000</v>
      </c>
      <c r="H80" s="268">
        <f t="shared" si="37"/>
        <v>4303000000</v>
      </c>
      <c r="I80" s="226"/>
    </row>
    <row r="81" spans="1:9" s="227" customFormat="1" ht="36" customHeight="1" x14ac:dyDescent="0.45">
      <c r="A81" s="103" t="s">
        <v>405</v>
      </c>
      <c r="B81" s="228" t="s">
        <v>1420</v>
      </c>
      <c r="C81" s="267">
        <f>'11 CAPITAL EXPENDITURE'!D1826</f>
        <v>20844275832</v>
      </c>
      <c r="D81" s="267">
        <f>'11 CAPITAL EXPENDITURE'!E1826</f>
        <v>5294829642</v>
      </c>
      <c r="E81" s="267">
        <f>'11 CAPITAL EXPENDITURE'!F1826</f>
        <v>14127285737</v>
      </c>
      <c r="F81" s="230">
        <f t="shared" si="35"/>
        <v>15540014310.700001</v>
      </c>
      <c r="G81" s="230">
        <f t="shared" ref="G81" si="53">F81*10%+F81</f>
        <v>17094015741.77</v>
      </c>
      <c r="H81" s="268">
        <f t="shared" si="37"/>
        <v>46761315789.470001</v>
      </c>
      <c r="I81" s="226"/>
    </row>
    <row r="82" spans="1:9" s="227" customFormat="1" ht="36" customHeight="1" x14ac:dyDescent="0.45">
      <c r="A82" s="103" t="s">
        <v>1305</v>
      </c>
      <c r="B82" s="228" t="s">
        <v>1421</v>
      </c>
      <c r="C82" s="267">
        <v>0</v>
      </c>
      <c r="D82" s="267">
        <f>'11 CAPITAL EXPENDITURE'!E1916</f>
        <v>0</v>
      </c>
      <c r="E82" s="267">
        <f>'11 CAPITAL EXPENDITURE'!F1916</f>
        <v>3705993111</v>
      </c>
      <c r="F82" s="230">
        <f t="shared" si="35"/>
        <v>4076592422.0999999</v>
      </c>
      <c r="G82" s="230">
        <f t="shared" ref="G82" si="54">F82*10%+F82</f>
        <v>4484251664.3099995</v>
      </c>
      <c r="H82" s="268">
        <f t="shared" si="37"/>
        <v>12266837197.41</v>
      </c>
      <c r="I82" s="226"/>
    </row>
    <row r="83" spans="1:9" s="227" customFormat="1" ht="36" customHeight="1" x14ac:dyDescent="0.45">
      <c r="A83" s="103" t="s">
        <v>1306</v>
      </c>
      <c r="B83" s="277" t="s">
        <v>1422</v>
      </c>
      <c r="C83" s="230">
        <v>0</v>
      </c>
      <c r="D83" s="230">
        <f>'11 CAPITAL EXPENDITURE'!E1879</f>
        <v>0</v>
      </c>
      <c r="E83" s="230">
        <f>'11 CAPITAL EXPENDITURE'!F1879</f>
        <v>3036225537</v>
      </c>
      <c r="F83" s="230">
        <f t="shared" si="35"/>
        <v>3339848090.6999998</v>
      </c>
      <c r="G83" s="230">
        <f t="shared" ref="G83" si="55">F83*10%+F83</f>
        <v>3673832899.77</v>
      </c>
      <c r="H83" s="231">
        <f t="shared" si="37"/>
        <v>10049906527.469999</v>
      </c>
      <c r="I83" s="226"/>
    </row>
    <row r="84" spans="1:9" s="227" customFormat="1" ht="36" customHeight="1" x14ac:dyDescent="0.45">
      <c r="A84" s="103" t="s">
        <v>1308</v>
      </c>
      <c r="B84" s="228" t="s">
        <v>1423</v>
      </c>
      <c r="C84" s="230">
        <v>0</v>
      </c>
      <c r="D84" s="230">
        <f>'11 CAPITAL EXPENDITURE'!E1953</f>
        <v>0</v>
      </c>
      <c r="E84" s="230">
        <f>'11 CAPITAL EXPENDITURE'!F1953</f>
        <v>2162550000</v>
      </c>
      <c r="F84" s="230">
        <f t="shared" si="35"/>
        <v>2378805000</v>
      </c>
      <c r="G84" s="230">
        <f t="shared" ref="G84" si="56">F84*10%+F84</f>
        <v>2616685500</v>
      </c>
      <c r="H84" s="231">
        <f t="shared" si="37"/>
        <v>7158040500</v>
      </c>
      <c r="I84" s="226"/>
    </row>
    <row r="85" spans="1:9" s="227" customFormat="1" ht="36" customHeight="1" x14ac:dyDescent="0.45">
      <c r="A85" s="103" t="s">
        <v>1309</v>
      </c>
      <c r="B85" s="228" t="s">
        <v>1424</v>
      </c>
      <c r="C85" s="230">
        <v>0</v>
      </c>
      <c r="D85" s="230">
        <f>'11 CAPITAL EXPENDITURE'!E2015</f>
        <v>0</v>
      </c>
      <c r="E85" s="230">
        <f>'11 CAPITAL EXPENDITURE'!F2015</f>
        <v>561665600</v>
      </c>
      <c r="F85" s="230">
        <f t="shared" si="35"/>
        <v>617832160</v>
      </c>
      <c r="G85" s="230">
        <f t="shared" ref="G85" si="57">F85*10%+F85</f>
        <v>679615376</v>
      </c>
      <c r="H85" s="231">
        <f t="shared" si="37"/>
        <v>1859113136</v>
      </c>
      <c r="I85" s="226"/>
    </row>
    <row r="86" spans="1:9" s="227" customFormat="1" ht="36" customHeight="1" x14ac:dyDescent="0.45">
      <c r="A86" s="103" t="s">
        <v>1310</v>
      </c>
      <c r="B86" s="228" t="s">
        <v>1425</v>
      </c>
      <c r="C86" s="230">
        <v>0</v>
      </c>
      <c r="D86" s="230">
        <f>'11 CAPITAL EXPENDITURE'!E2031</f>
        <v>0</v>
      </c>
      <c r="E86" s="230">
        <f>'11 CAPITAL EXPENDITURE'!F2031</f>
        <v>225750000</v>
      </c>
      <c r="F86" s="230">
        <f t="shared" si="35"/>
        <v>248325000</v>
      </c>
      <c r="G86" s="230">
        <f t="shared" ref="G86" si="58">F86*10%+F86</f>
        <v>273157500</v>
      </c>
      <c r="H86" s="231">
        <f t="shared" si="37"/>
        <v>747232500</v>
      </c>
      <c r="I86" s="226"/>
    </row>
    <row r="87" spans="1:9" s="227" customFormat="1" ht="36" customHeight="1" x14ac:dyDescent="0.45">
      <c r="A87" s="103" t="s">
        <v>1307</v>
      </c>
      <c r="B87" s="228" t="s">
        <v>1426</v>
      </c>
      <c r="C87" s="230">
        <f>'11 CAPITAL EXPENDITURE'!D1844</f>
        <v>1068250000</v>
      </c>
      <c r="D87" s="230">
        <f>'11 CAPITAL EXPENDITURE'!E1844</f>
        <v>194578056</v>
      </c>
      <c r="E87" s="230">
        <f>'11 CAPITAL EXPENDITURE'!F1844</f>
        <v>1574972078</v>
      </c>
      <c r="F87" s="230">
        <f t="shared" si="35"/>
        <v>1732469285.8</v>
      </c>
      <c r="G87" s="230">
        <f t="shared" ref="G87" si="59">F87*10%+F87</f>
        <v>1905716214.3799999</v>
      </c>
      <c r="H87" s="231">
        <f t="shared" si="37"/>
        <v>5213157578.1800003</v>
      </c>
      <c r="I87" s="226"/>
    </row>
    <row r="88" spans="1:9" s="227" customFormat="1" ht="36" customHeight="1" x14ac:dyDescent="0.45">
      <c r="A88" s="103" t="s">
        <v>2536</v>
      </c>
      <c r="B88" s="228" t="s">
        <v>2537</v>
      </c>
      <c r="C88" s="230"/>
      <c r="D88" s="230"/>
      <c r="E88" s="230">
        <f>'11 CAPITAL EXPENDITURE'!F1897</f>
        <v>1130563126</v>
      </c>
      <c r="F88" s="230">
        <f t="shared" ref="F88" si="60">E88*10%+E88</f>
        <v>1243619438.5999999</v>
      </c>
      <c r="G88" s="230">
        <f t="shared" ref="G88" si="61">F88*10%+F88</f>
        <v>1367981382.4599998</v>
      </c>
      <c r="H88" s="231">
        <f t="shared" ref="H88" si="62">SUM(E88:G88)</f>
        <v>3742163947.0599995</v>
      </c>
      <c r="I88" s="226"/>
    </row>
    <row r="89" spans="1:9" s="227" customFormat="1" ht="36" customHeight="1" x14ac:dyDescent="0.45">
      <c r="A89" s="103" t="s">
        <v>1059</v>
      </c>
      <c r="B89" s="277" t="s">
        <v>1427</v>
      </c>
      <c r="C89" s="230">
        <v>0</v>
      </c>
      <c r="D89" s="230">
        <f>'11 CAPITAL EXPENDITURE'!E2049</f>
        <v>0</v>
      </c>
      <c r="E89" s="230">
        <f>'11 CAPITAL EXPENDITURE'!F2049</f>
        <v>178000000</v>
      </c>
      <c r="F89" s="230">
        <f t="shared" si="35"/>
        <v>195800000</v>
      </c>
      <c r="G89" s="230">
        <f t="shared" ref="G89" si="63">F89*10%+F89</f>
        <v>215380000</v>
      </c>
      <c r="H89" s="231">
        <f t="shared" si="37"/>
        <v>589180000</v>
      </c>
      <c r="I89" s="226"/>
    </row>
    <row r="90" spans="1:9" s="227" customFormat="1" ht="36" customHeight="1" x14ac:dyDescent="0.45">
      <c r="A90" s="103" t="s">
        <v>406</v>
      </c>
      <c r="B90" s="228" t="s">
        <v>176</v>
      </c>
      <c r="C90" s="230">
        <v>11470505785</v>
      </c>
      <c r="D90" s="230">
        <f>'11 CAPITAL EXPENDITURE'!E2075</f>
        <v>6966136808</v>
      </c>
      <c r="E90" s="230">
        <f>'11 CAPITAL EXPENDITURE'!F2075</f>
        <v>23531456685</v>
      </c>
      <c r="F90" s="230">
        <f t="shared" si="35"/>
        <v>25884602353.5</v>
      </c>
      <c r="G90" s="230">
        <f t="shared" ref="G90" si="64">F90*10%+F90</f>
        <v>28473062588.849998</v>
      </c>
      <c r="H90" s="231">
        <f t="shared" si="37"/>
        <v>77889121627.350006</v>
      </c>
      <c r="I90" s="226"/>
    </row>
    <row r="91" spans="1:9" s="227" customFormat="1" ht="36" customHeight="1" x14ac:dyDescent="0.45">
      <c r="A91" s="103" t="s">
        <v>560</v>
      </c>
      <c r="B91" s="277" t="s">
        <v>1428</v>
      </c>
      <c r="C91" s="230">
        <f>'11 CAPITAL EXPENDITURE'!D2107</f>
        <v>458186500</v>
      </c>
      <c r="D91" s="230">
        <f>'11 CAPITAL EXPENDITURE'!E2107</f>
        <v>173620000</v>
      </c>
      <c r="E91" s="230">
        <f>'11 CAPITAL EXPENDITURE'!F2107</f>
        <v>668186500</v>
      </c>
      <c r="F91" s="230">
        <f t="shared" si="35"/>
        <v>735005150</v>
      </c>
      <c r="G91" s="230">
        <f t="shared" ref="G91" si="65">F91*10%+F91</f>
        <v>808505665</v>
      </c>
      <c r="H91" s="231">
        <f t="shared" si="37"/>
        <v>2211697315</v>
      </c>
      <c r="I91" s="226"/>
    </row>
    <row r="92" spans="1:9" s="227" customFormat="1" ht="36" customHeight="1" x14ac:dyDescent="0.45">
      <c r="A92" s="103" t="s">
        <v>1297</v>
      </c>
      <c r="B92" s="228" t="s">
        <v>1125</v>
      </c>
      <c r="C92" s="230">
        <f>'11 CAPITAL EXPENDITURE'!D2123</f>
        <v>600000000</v>
      </c>
      <c r="D92" s="230">
        <f>'11 CAPITAL EXPENDITURE'!E2123</f>
        <v>482475098.94999999</v>
      </c>
      <c r="E92" s="230">
        <f>'11 CAPITAL EXPENDITURE'!F2123</f>
        <v>2900000000</v>
      </c>
      <c r="F92" s="230">
        <f t="shared" si="35"/>
        <v>3190000000</v>
      </c>
      <c r="G92" s="230">
        <f t="shared" ref="G92" si="66">F92*10%+F92</f>
        <v>3509000000</v>
      </c>
      <c r="H92" s="231">
        <f t="shared" si="37"/>
        <v>9599000000</v>
      </c>
      <c r="I92" s="226"/>
    </row>
    <row r="93" spans="1:9" s="227" customFormat="1" ht="36" customHeight="1" x14ac:dyDescent="0.45">
      <c r="A93" s="103" t="s">
        <v>1058</v>
      </c>
      <c r="B93" s="228" t="s">
        <v>178</v>
      </c>
      <c r="C93" s="230">
        <f>'11 CAPITAL EXPENDITURE'!D2140</f>
        <v>100000000</v>
      </c>
      <c r="D93" s="230">
        <f>'11 CAPITAL EXPENDITURE'!E2140</f>
        <v>53000000</v>
      </c>
      <c r="E93" s="230">
        <f>'11 CAPITAL EXPENDITURE'!F2140</f>
        <v>290000000</v>
      </c>
      <c r="F93" s="230">
        <f t="shared" si="35"/>
        <v>319000000</v>
      </c>
      <c r="G93" s="230">
        <f t="shared" ref="G93" si="67">F93*10%+F93</f>
        <v>350900000</v>
      </c>
      <c r="H93" s="231">
        <f t="shared" si="37"/>
        <v>959900000</v>
      </c>
      <c r="I93" s="226"/>
    </row>
    <row r="94" spans="1:9" s="244" customFormat="1" ht="36" customHeight="1" thickBot="1" x14ac:dyDescent="0.5">
      <c r="A94" s="103" t="s">
        <v>450</v>
      </c>
      <c r="B94" s="228" t="s">
        <v>1429</v>
      </c>
      <c r="C94" s="258">
        <f>'11 CAPITAL EXPENDITURE'!D2159</f>
        <v>78976530</v>
      </c>
      <c r="D94" s="258">
        <f>'11 CAPITAL EXPENDITURE'!E2159</f>
        <v>0</v>
      </c>
      <c r="E94" s="258">
        <f>'11 CAPITAL EXPENDITURE'!F2159</f>
        <v>122677927</v>
      </c>
      <c r="F94" s="230">
        <f t="shared" si="35"/>
        <v>134945719.69999999</v>
      </c>
      <c r="G94" s="230">
        <f t="shared" ref="G94" si="68">F94*10%+F94</f>
        <v>148440291.66999999</v>
      </c>
      <c r="H94" s="259">
        <f t="shared" si="37"/>
        <v>406063938.37</v>
      </c>
      <c r="I94" s="243"/>
    </row>
    <row r="95" spans="1:9" s="237" customFormat="1" ht="36" customHeight="1" thickBot="1" x14ac:dyDescent="0.45">
      <c r="A95" s="115"/>
      <c r="B95" s="269" t="s">
        <v>2417</v>
      </c>
      <c r="C95" s="234">
        <f>SUM(C64:C94)</f>
        <v>51595070207</v>
      </c>
      <c r="D95" s="273">
        <f>SUM(D64:D94)</f>
        <v>17458736863.720001</v>
      </c>
      <c r="E95" s="234">
        <f>SUM(E64:E94)</f>
        <v>76576281225</v>
      </c>
      <c r="F95" s="234">
        <f>SUM(F64:F94)</f>
        <v>84233909347.5</v>
      </c>
      <c r="G95" s="234">
        <f>SUM(G64:G94)</f>
        <v>92657300282.249985</v>
      </c>
      <c r="H95" s="235">
        <f t="shared" si="37"/>
        <v>253467490854.75</v>
      </c>
      <c r="I95" s="236"/>
    </row>
    <row r="96" spans="1:9" s="237" customFormat="1" ht="36" customHeight="1" thickBot="1" x14ac:dyDescent="0.45">
      <c r="A96" s="115"/>
      <c r="B96" s="269"/>
      <c r="C96" s="234"/>
      <c r="D96" s="270"/>
      <c r="E96" s="234"/>
      <c r="F96" s="234"/>
      <c r="G96" s="234"/>
      <c r="H96" s="271"/>
      <c r="I96" s="236"/>
    </row>
    <row r="97" spans="1:9" s="227" customFormat="1" ht="36" customHeight="1" thickBot="1" x14ac:dyDescent="0.5">
      <c r="A97" s="102"/>
      <c r="B97" s="272" t="s">
        <v>389</v>
      </c>
      <c r="C97" s="273">
        <v>113225570219</v>
      </c>
      <c r="D97" s="273">
        <f>SUM(D28,D54,D62,D95)</f>
        <v>28411043552.07</v>
      </c>
      <c r="E97" s="273">
        <f>SUM(E28,E54,E62,E95)</f>
        <v>197917674318</v>
      </c>
      <c r="F97" s="273">
        <f>SUM(F28,F54,F62,F95)</f>
        <v>217706941749.79999</v>
      </c>
      <c r="G97" s="273">
        <f>SUM(G28,G54,G62,G95)</f>
        <v>239843172959.77997</v>
      </c>
      <c r="H97" s="292">
        <f>SUM(H28,H54,H62,H95)</f>
        <v>655467789027.58008</v>
      </c>
      <c r="I97" s="226"/>
    </row>
    <row r="98" spans="1:9" ht="36" customHeight="1" x14ac:dyDescent="0.45">
      <c r="B98" s="623" t="s">
        <v>2842</v>
      </c>
      <c r="E98" s="276"/>
    </row>
    <row r="99" spans="1:9" ht="36" customHeight="1" x14ac:dyDescent="0.45">
      <c r="B99" s="621" t="s">
        <v>4289</v>
      </c>
      <c r="C99" s="766">
        <f>SUM(C100:C105)</f>
        <v>158844558054</v>
      </c>
    </row>
    <row r="100" spans="1:9" s="622" customFormat="1" ht="36" customHeight="1" x14ac:dyDescent="0.45">
      <c r="A100" s="624">
        <v>1</v>
      </c>
      <c r="B100" s="622" t="s">
        <v>4290</v>
      </c>
      <c r="C100" s="628">
        <f>SUM(E48:E50)</f>
        <v>45646258975</v>
      </c>
      <c r="D100" s="625"/>
      <c r="E100" s="626"/>
      <c r="F100" s="626"/>
      <c r="G100" s="626"/>
      <c r="H100" s="627"/>
    </row>
    <row r="101" spans="1:9" s="622" customFormat="1" ht="36" customHeight="1" x14ac:dyDescent="0.45">
      <c r="A101" s="624">
        <v>2</v>
      </c>
      <c r="B101" s="622" t="s">
        <v>2837</v>
      </c>
      <c r="C101" s="628">
        <f>SUM(E81:E88)</f>
        <v>26525005189</v>
      </c>
      <c r="D101" s="627"/>
      <c r="E101" s="626"/>
      <c r="F101" s="626"/>
      <c r="G101" s="626"/>
      <c r="H101" s="627"/>
    </row>
    <row r="102" spans="1:9" s="622" customFormat="1" ht="36" customHeight="1" x14ac:dyDescent="0.45">
      <c r="A102" s="624">
        <v>3</v>
      </c>
      <c r="B102" s="622" t="s">
        <v>2838</v>
      </c>
      <c r="C102" s="628">
        <f>SUM(E90:E91)</f>
        <v>24199643185</v>
      </c>
      <c r="D102" s="627"/>
      <c r="E102" s="626"/>
      <c r="F102" s="626"/>
      <c r="G102" s="626"/>
      <c r="H102" s="627"/>
    </row>
    <row r="103" spans="1:9" s="622" customFormat="1" ht="36" customHeight="1" x14ac:dyDescent="0.45">
      <c r="A103" s="624">
        <v>4</v>
      </c>
      <c r="B103" s="622" t="s">
        <v>2839</v>
      </c>
      <c r="C103" s="628">
        <f>SUM(E51:E53)</f>
        <v>22248601585</v>
      </c>
      <c r="D103" s="627"/>
      <c r="E103" s="626"/>
      <c r="F103" s="626"/>
      <c r="G103" s="626"/>
      <c r="H103" s="627"/>
    </row>
    <row r="104" spans="1:9" s="622" customFormat="1" ht="36" customHeight="1" x14ac:dyDescent="0.45">
      <c r="A104" s="624">
        <v>5</v>
      </c>
      <c r="B104" s="622" t="s">
        <v>2841</v>
      </c>
      <c r="C104" s="628">
        <f>SUM(E70:E80,E44)</f>
        <v>20274425614</v>
      </c>
      <c r="D104" s="627"/>
      <c r="E104" s="626"/>
      <c r="F104" s="626"/>
      <c r="G104" s="626"/>
      <c r="H104" s="627"/>
    </row>
    <row r="105" spans="1:9" s="622" customFormat="1" ht="36" customHeight="1" x14ac:dyDescent="0.45">
      <c r="A105" s="624">
        <v>6</v>
      </c>
      <c r="B105" s="622" t="s">
        <v>2840</v>
      </c>
      <c r="C105" s="628">
        <f>SUM(E30:E33)</f>
        <v>19950623506</v>
      </c>
      <c r="D105" s="627"/>
      <c r="E105" s="626"/>
      <c r="F105" s="626"/>
      <c r="G105" s="626"/>
      <c r="H105" s="627"/>
    </row>
  </sheetData>
  <mergeCells count="3">
    <mergeCell ref="A1:H1"/>
    <mergeCell ref="A2:H2"/>
    <mergeCell ref="E3:G3"/>
  </mergeCells>
  <pageMargins left="0.63" right="0.25" top="1.135" bottom="0.75" header="0.3" footer="0.3"/>
  <pageSetup scale="27" firstPageNumber="232" fitToWidth="0" fitToHeight="0" orientation="landscape" useFirstPageNumber="1" r:id="rId1"/>
  <headerFooter>
    <oddHeader>&amp;L&amp;G&amp;R&amp;16&amp;K05+000
KATSINA STATE GOVERNMENT 2021 APPROVED APPROPRIATION LAW</oddHeader>
    <oddFooter>&amp;L&amp;18&amp;K05+000KATSINA STATE GOVERNMENT 2021 APPROVED APPROPRIATION LAW&amp;C&amp;22&amp;P&amp;R&amp;G</oddFooter>
  </headerFooter>
  <rowBreaks count="3" manualBreakCount="3">
    <brk id="28" max="16383" man="1"/>
    <brk id="54" max="7" man="1"/>
    <brk id="62" max="16383" man="1"/>
  </rowBreaks>
  <ignoredErrors>
    <ignoredError sqref="A49:A53 A56:A61 A63:A94 A25:A26 A29:A47 A22:A24 A5:A21 A27" numberStoredAsText="1"/>
    <ignoredError sqref="F22:H22" formula="1"/>
  </ignoredErrors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160"/>
  <sheetViews>
    <sheetView view="pageLayout" topLeftCell="A2146" zoomScale="60" zoomScaleNormal="110" zoomScaleSheetLayoutView="90" zoomScalePageLayoutView="60" workbookViewId="0">
      <selection activeCell="D2163" sqref="D2163"/>
    </sheetView>
  </sheetViews>
  <sheetFormatPr defaultRowHeight="18.75" x14ac:dyDescent="0.3"/>
  <cols>
    <col min="1" max="1" width="16.85546875" style="2753" bestFit="1" customWidth="1"/>
    <col min="2" max="2" width="99.28515625" style="169" customWidth="1"/>
    <col min="3" max="3" width="14.85546875" style="169" customWidth="1"/>
    <col min="4" max="4" width="29" style="2754" bestFit="1" customWidth="1"/>
    <col min="5" max="5" width="20.85546875" style="2754" bestFit="1" customWidth="1"/>
    <col min="6" max="6" width="24.85546875" style="2754" bestFit="1" customWidth="1"/>
    <col min="7" max="7" width="15.85546875" style="169" bestFit="1" customWidth="1"/>
    <col min="8" max="8" width="13.7109375" style="169" bestFit="1" customWidth="1"/>
    <col min="9" max="16384" width="9.140625" style="169"/>
  </cols>
  <sheetData>
    <row r="1" spans="1:6" x14ac:dyDescent="0.3">
      <c r="A1" s="3535"/>
      <c r="B1" s="3535"/>
      <c r="C1" s="3535"/>
      <c r="D1" s="3535"/>
      <c r="E1" s="3535"/>
      <c r="F1" s="3535"/>
    </row>
    <row r="2" spans="1:6" x14ac:dyDescent="0.3">
      <c r="A2" s="3517" t="s">
        <v>227</v>
      </c>
      <c r="B2" s="3517"/>
      <c r="C2" s="3517"/>
      <c r="D2" s="3517"/>
      <c r="E2" s="3517"/>
      <c r="F2" s="3517"/>
    </row>
    <row r="3" spans="1:6" x14ac:dyDescent="0.3">
      <c r="A3" s="3518" t="s">
        <v>641</v>
      </c>
      <c r="B3" s="3518"/>
      <c r="C3" s="3518"/>
      <c r="D3" s="3518"/>
      <c r="E3" s="3518"/>
      <c r="F3" s="3518"/>
    </row>
    <row r="4" spans="1:6" ht="19.5" thickBot="1" x14ac:dyDescent="0.35">
      <c r="A4" s="3516" t="s">
        <v>1271</v>
      </c>
      <c r="B4" s="3516"/>
      <c r="C4" s="3516"/>
      <c r="D4" s="3516"/>
      <c r="E4" s="3516"/>
      <c r="F4" s="3516"/>
    </row>
    <row r="5" spans="1:6" s="2549" customFormat="1" ht="57" thickBot="1" x14ac:dyDescent="0.25">
      <c r="A5" s="2548" t="s">
        <v>1</v>
      </c>
      <c r="B5" s="2290" t="s">
        <v>282</v>
      </c>
      <c r="C5" s="2548" t="s">
        <v>3197</v>
      </c>
      <c r="D5" s="2292" t="s">
        <v>1174</v>
      </c>
      <c r="E5" s="2292" t="s">
        <v>1145</v>
      </c>
      <c r="F5" s="2292" t="s">
        <v>3096</v>
      </c>
    </row>
    <row r="6" spans="1:6" x14ac:dyDescent="0.3">
      <c r="A6" s="2550"/>
      <c r="B6" s="2551"/>
      <c r="C6" s="2551"/>
      <c r="D6" s="2552"/>
      <c r="E6" s="2552"/>
      <c r="F6" s="2552"/>
    </row>
    <row r="7" spans="1:6" x14ac:dyDescent="0.3">
      <c r="A7" s="2553">
        <v>32000000</v>
      </c>
      <c r="B7" s="2554" t="s">
        <v>462</v>
      </c>
      <c r="C7" s="2555"/>
      <c r="D7" s="2556"/>
      <c r="E7" s="2556"/>
      <c r="F7" s="2556"/>
    </row>
    <row r="8" spans="1:6" x14ac:dyDescent="0.3">
      <c r="A8" s="170">
        <v>32010000</v>
      </c>
      <c r="B8" s="2557" t="s">
        <v>463</v>
      </c>
      <c r="C8" s="2558"/>
      <c r="D8" s="2559"/>
      <c r="E8" s="2559"/>
      <c r="F8" s="2559"/>
    </row>
    <row r="9" spans="1:6" x14ac:dyDescent="0.3">
      <c r="A9" s="170">
        <v>32010100</v>
      </c>
      <c r="B9" s="2557" t="s">
        <v>471</v>
      </c>
      <c r="C9" s="2558"/>
      <c r="D9" s="2560"/>
      <c r="E9" s="2560"/>
      <c r="F9" s="2560"/>
    </row>
    <row r="10" spans="1:6" x14ac:dyDescent="0.3">
      <c r="A10" s="170">
        <v>32010101</v>
      </c>
      <c r="B10" s="2557" t="s">
        <v>3212</v>
      </c>
      <c r="C10" s="2558"/>
      <c r="D10" s="2561">
        <f>SUM(D11:D12)</f>
        <v>55000000</v>
      </c>
      <c r="E10" s="2561">
        <f>SUM(E11:E12)</f>
        <v>0</v>
      </c>
      <c r="F10" s="2561">
        <f>SUM(F11:F12)</f>
        <v>155000000</v>
      </c>
    </row>
    <row r="11" spans="1:6" x14ac:dyDescent="0.3">
      <c r="A11" s="2562" t="s">
        <v>3369</v>
      </c>
      <c r="B11" s="2563" t="s">
        <v>808</v>
      </c>
      <c r="C11" s="1981" t="s">
        <v>3368</v>
      </c>
      <c r="D11" s="2564">
        <v>5000000</v>
      </c>
      <c r="E11" s="2564"/>
      <c r="F11" s="2564">
        <v>5000000</v>
      </c>
    </row>
    <row r="12" spans="1:6" x14ac:dyDescent="0.3">
      <c r="A12" s="2562" t="s">
        <v>3370</v>
      </c>
      <c r="B12" s="2563" t="s">
        <v>809</v>
      </c>
      <c r="C12" s="1981" t="s">
        <v>3368</v>
      </c>
      <c r="D12" s="2564">
        <v>50000000</v>
      </c>
      <c r="E12" s="2564"/>
      <c r="F12" s="2564">
        <v>150000000</v>
      </c>
    </row>
    <row r="13" spans="1:6" x14ac:dyDescent="0.3">
      <c r="A13" s="170">
        <v>32010102</v>
      </c>
      <c r="B13" s="2565" t="s">
        <v>3213</v>
      </c>
      <c r="C13" s="1981"/>
      <c r="D13" s="2561">
        <f>SUM(D14:D17)</f>
        <v>230000000</v>
      </c>
      <c r="E13" s="2561">
        <f>SUM(E14:E17)</f>
        <v>30778632.940000001</v>
      </c>
      <c r="F13" s="2561">
        <f>SUM(F14:F17)</f>
        <v>230000000</v>
      </c>
    </row>
    <row r="14" spans="1:6" x14ac:dyDescent="0.3">
      <c r="A14" s="2562" t="s">
        <v>3371</v>
      </c>
      <c r="B14" s="2563" t="s">
        <v>1272</v>
      </c>
      <c r="C14" s="1981" t="s">
        <v>3368</v>
      </c>
      <c r="D14" s="2564">
        <v>30000000</v>
      </c>
      <c r="E14" s="2564"/>
      <c r="F14" s="2564">
        <v>30000000</v>
      </c>
    </row>
    <row r="15" spans="1:6" x14ac:dyDescent="0.3">
      <c r="A15" s="2562" t="s">
        <v>3372</v>
      </c>
      <c r="B15" s="2563" t="s">
        <v>1274</v>
      </c>
      <c r="C15" s="1981" t="s">
        <v>3368</v>
      </c>
      <c r="D15" s="2564">
        <v>50000000</v>
      </c>
      <c r="E15" s="2564"/>
      <c r="F15" s="2564">
        <v>50000000</v>
      </c>
    </row>
    <row r="16" spans="1:6" x14ac:dyDescent="0.3">
      <c r="A16" s="2562" t="s">
        <v>3373</v>
      </c>
      <c r="B16" s="2563" t="s">
        <v>2574</v>
      </c>
      <c r="C16" s="1981" t="s">
        <v>3368</v>
      </c>
      <c r="D16" s="2564">
        <v>100000000</v>
      </c>
      <c r="E16" s="2564">
        <v>25780757.920000002</v>
      </c>
      <c r="F16" s="2564">
        <v>100000000</v>
      </c>
    </row>
    <row r="17" spans="1:6" x14ac:dyDescent="0.3">
      <c r="A17" s="2562" t="s">
        <v>3374</v>
      </c>
      <c r="B17" s="2563" t="s">
        <v>1273</v>
      </c>
      <c r="C17" s="1981" t="s">
        <v>3368</v>
      </c>
      <c r="D17" s="2564">
        <v>50000000</v>
      </c>
      <c r="E17" s="2564">
        <v>4997875.0199999996</v>
      </c>
      <c r="F17" s="2564">
        <v>50000000</v>
      </c>
    </row>
    <row r="18" spans="1:6" x14ac:dyDescent="0.3">
      <c r="A18" s="170">
        <v>32030100</v>
      </c>
      <c r="B18" s="2565" t="s">
        <v>472</v>
      </c>
      <c r="C18" s="2566"/>
      <c r="D18" s="2567"/>
      <c r="E18" s="2567"/>
      <c r="F18" s="2568"/>
    </row>
    <row r="19" spans="1:6" x14ac:dyDescent="0.3">
      <c r="A19" s="170">
        <v>32030109</v>
      </c>
      <c r="B19" s="2565" t="s">
        <v>3517</v>
      </c>
      <c r="C19" s="2566"/>
      <c r="D19" s="2569">
        <f>SUM(D20:D21)</f>
        <v>0</v>
      </c>
      <c r="E19" s="2569">
        <f>SUM(E20:E21)</f>
        <v>0</v>
      </c>
      <c r="F19" s="2569">
        <f>SUM(F20:F21)</f>
        <v>1785000000</v>
      </c>
    </row>
    <row r="20" spans="1:6" x14ac:dyDescent="0.3">
      <c r="A20" s="2562" t="s">
        <v>3375</v>
      </c>
      <c r="B20" s="1981" t="s">
        <v>3032</v>
      </c>
      <c r="C20" s="1981" t="s">
        <v>3198</v>
      </c>
      <c r="D20" s="2564"/>
      <c r="E20" s="2564"/>
      <c r="F20" s="2564">
        <v>1785000000</v>
      </c>
    </row>
    <row r="21" spans="1:6" ht="19.5" thickBot="1" x14ac:dyDescent="0.35">
      <c r="A21" s="2562"/>
      <c r="B21" s="2558"/>
      <c r="C21" s="2558"/>
      <c r="D21" s="2570"/>
      <c r="E21" s="2571"/>
      <c r="F21" s="2572"/>
    </row>
    <row r="22" spans="1:6" ht="21" customHeight="1" thickBot="1" x14ac:dyDescent="0.35">
      <c r="A22" s="2562"/>
      <c r="B22" s="2566" t="s">
        <v>2573</v>
      </c>
      <c r="C22" s="2565"/>
      <c r="D22" s="2573">
        <f>SUM(D10,D13,D19)</f>
        <v>285000000</v>
      </c>
      <c r="E22" s="2574">
        <f>SUM(E10,E13,E19)</f>
        <v>30778632.940000001</v>
      </c>
      <c r="F22" s="2575">
        <f>SUM(F10,F13,F19)</f>
        <v>2170000000</v>
      </c>
    </row>
    <row r="23" spans="1:6" x14ac:dyDescent="0.3">
      <c r="A23" s="2576"/>
      <c r="B23" s="2577"/>
      <c r="C23" s="2577"/>
      <c r="D23" s="2578"/>
      <c r="E23" s="2578"/>
      <c r="F23" s="2578"/>
    </row>
    <row r="24" spans="1:6" x14ac:dyDescent="0.3">
      <c r="A24" s="3518" t="s">
        <v>641</v>
      </c>
      <c r="B24" s="3518"/>
      <c r="C24" s="3518"/>
      <c r="D24" s="3518"/>
      <c r="E24" s="3518"/>
      <c r="F24" s="3518"/>
    </row>
    <row r="25" spans="1:6" ht="19.5" thickBot="1" x14ac:dyDescent="0.35">
      <c r="A25" s="3518" t="s">
        <v>699</v>
      </c>
      <c r="B25" s="3518"/>
      <c r="C25" s="3518"/>
      <c r="D25" s="3518"/>
      <c r="E25" s="3518"/>
      <c r="F25" s="3518"/>
    </row>
    <row r="26" spans="1:6" s="2549" customFormat="1" ht="57" thickBot="1" x14ac:dyDescent="0.25">
      <c r="A26" s="2548" t="s">
        <v>1</v>
      </c>
      <c r="B26" s="2290" t="s">
        <v>282</v>
      </c>
      <c r="C26" s="2548" t="s">
        <v>3197</v>
      </c>
      <c r="D26" s="2292" t="s">
        <v>1174</v>
      </c>
      <c r="E26" s="2292" t="s">
        <v>1145</v>
      </c>
      <c r="F26" s="2292" t="s">
        <v>3096</v>
      </c>
    </row>
    <row r="27" spans="1:6" x14ac:dyDescent="0.3">
      <c r="A27" s="2553">
        <v>32000000</v>
      </c>
      <c r="B27" s="2579" t="s">
        <v>462</v>
      </c>
      <c r="C27" s="2579"/>
      <c r="D27" s="2580"/>
      <c r="E27" s="2580"/>
      <c r="F27" s="2580"/>
    </row>
    <row r="28" spans="1:6" x14ac:dyDescent="0.3">
      <c r="A28" s="170">
        <v>32010000</v>
      </c>
      <c r="B28" s="2558" t="s">
        <v>463</v>
      </c>
      <c r="C28" s="2558"/>
      <c r="D28" s="2559"/>
      <c r="E28" s="2559"/>
      <c r="F28" s="2559"/>
    </row>
    <row r="29" spans="1:6" x14ac:dyDescent="0.3">
      <c r="A29" s="170">
        <v>32010400</v>
      </c>
      <c r="B29" s="2558" t="s">
        <v>3411</v>
      </c>
      <c r="C29" s="2581"/>
      <c r="D29" s="2582"/>
      <c r="E29" s="2582"/>
      <c r="F29" s="2582"/>
    </row>
    <row r="30" spans="1:6" x14ac:dyDescent="0.3">
      <c r="A30" s="170">
        <v>32010407</v>
      </c>
      <c r="B30" s="2557" t="s">
        <v>3410</v>
      </c>
      <c r="C30" s="2581"/>
      <c r="D30" s="2560">
        <f>SUM(D31)</f>
        <v>11000000</v>
      </c>
      <c r="E30" s="2560">
        <f>SUM(E31)</f>
        <v>0</v>
      </c>
      <c r="F30" s="2583">
        <f>SUM(F31)</f>
        <v>11000000</v>
      </c>
    </row>
    <row r="31" spans="1:6" ht="37.5" x14ac:dyDescent="0.3">
      <c r="A31" s="2562" t="s">
        <v>3376</v>
      </c>
      <c r="B31" s="2563" t="s">
        <v>797</v>
      </c>
      <c r="C31" s="1981"/>
      <c r="D31" s="2584">
        <v>11000000</v>
      </c>
      <c r="E31" s="2584"/>
      <c r="F31" s="2564">
        <v>11000000</v>
      </c>
    </row>
    <row r="32" spans="1:6" x14ac:dyDescent="0.3">
      <c r="A32" s="170">
        <v>32010500</v>
      </c>
      <c r="B32" s="2565" t="s">
        <v>3413</v>
      </c>
      <c r="C32" s="1981"/>
      <c r="D32" s="2584"/>
      <c r="E32" s="2556"/>
      <c r="F32" s="2584"/>
    </row>
    <row r="33" spans="1:6" x14ac:dyDescent="0.3">
      <c r="A33" s="170">
        <v>32010501</v>
      </c>
      <c r="B33" s="2565" t="s">
        <v>3414</v>
      </c>
      <c r="C33" s="1981"/>
      <c r="D33" s="2585">
        <f>SUM(D34)</f>
        <v>0</v>
      </c>
      <c r="E33" s="2585">
        <f>SUM(E34)</f>
        <v>0</v>
      </c>
      <c r="F33" s="2569">
        <f>SUM(F34)</f>
        <v>12000000</v>
      </c>
    </row>
    <row r="34" spans="1:6" x14ac:dyDescent="0.3">
      <c r="A34" s="2562" t="s">
        <v>3377</v>
      </c>
      <c r="B34" s="1981" t="s">
        <v>3412</v>
      </c>
      <c r="C34" s="1981"/>
      <c r="D34" s="2584"/>
      <c r="E34" s="2584"/>
      <c r="F34" s="2564">
        <v>12000000</v>
      </c>
    </row>
    <row r="35" spans="1:6" x14ac:dyDescent="0.3">
      <c r="A35" s="170">
        <v>32030100</v>
      </c>
      <c r="B35" s="2565" t="s">
        <v>472</v>
      </c>
      <c r="C35" s="2566"/>
      <c r="D35" s="2586"/>
      <c r="E35" s="2586"/>
      <c r="F35" s="2586"/>
    </row>
    <row r="36" spans="1:6" x14ac:dyDescent="0.3">
      <c r="A36" s="170">
        <v>32030109</v>
      </c>
      <c r="B36" s="2565" t="s">
        <v>3517</v>
      </c>
      <c r="C36" s="2566"/>
      <c r="D36" s="2585">
        <f>SUM(D37:D51)</f>
        <v>486135900</v>
      </c>
      <c r="E36" s="2585">
        <f>SUM(E37:E51)</f>
        <v>53942500</v>
      </c>
      <c r="F36" s="2569">
        <f>SUM(F37:F51)</f>
        <v>2008635900</v>
      </c>
    </row>
    <row r="37" spans="1:6" x14ac:dyDescent="0.3">
      <c r="A37" s="2562" t="s">
        <v>3378</v>
      </c>
      <c r="B37" s="1981" t="s">
        <v>793</v>
      </c>
      <c r="C37" s="1981"/>
      <c r="D37" s="2584">
        <v>7000000</v>
      </c>
      <c r="E37" s="2584"/>
      <c r="F37" s="2564">
        <v>7000000</v>
      </c>
    </row>
    <row r="38" spans="1:6" x14ac:dyDescent="0.3">
      <c r="A38" s="2562" t="s">
        <v>3379</v>
      </c>
      <c r="B38" s="1981" t="s">
        <v>477</v>
      </c>
      <c r="C38" s="1981"/>
      <c r="D38" s="2584">
        <v>30000000</v>
      </c>
      <c r="E38" s="2584"/>
      <c r="F38" s="2564">
        <v>30000000</v>
      </c>
    </row>
    <row r="39" spans="1:6" ht="37.5" x14ac:dyDescent="0.3">
      <c r="A39" s="2562" t="s">
        <v>3380</v>
      </c>
      <c r="B39" s="2587" t="s">
        <v>478</v>
      </c>
      <c r="C39" s="2587"/>
      <c r="D39" s="2584">
        <v>14735900</v>
      </c>
      <c r="E39" s="2584"/>
      <c r="F39" s="2564">
        <v>14735900</v>
      </c>
    </row>
    <row r="40" spans="1:6" ht="37.5" x14ac:dyDescent="0.3">
      <c r="A40" s="2562" t="s">
        <v>3381</v>
      </c>
      <c r="B40" s="2588" t="s">
        <v>794</v>
      </c>
      <c r="C40" s="2588"/>
      <c r="D40" s="2584">
        <v>94400000</v>
      </c>
      <c r="E40" s="2584">
        <v>48942500</v>
      </c>
      <c r="F40" s="2564">
        <v>94400000</v>
      </c>
    </row>
    <row r="41" spans="1:6" x14ac:dyDescent="0.3">
      <c r="A41" s="2562" t="s">
        <v>3382</v>
      </c>
      <c r="B41" s="2589" t="s">
        <v>795</v>
      </c>
      <c r="C41" s="2589"/>
      <c r="D41" s="2586">
        <v>0</v>
      </c>
      <c r="E41" s="2584"/>
      <c r="F41" s="2568">
        <v>0</v>
      </c>
    </row>
    <row r="42" spans="1:6" ht="37.5" x14ac:dyDescent="0.3">
      <c r="A42" s="2562" t="s">
        <v>3383</v>
      </c>
      <c r="B42" s="2588" t="s">
        <v>796</v>
      </c>
      <c r="C42" s="2588"/>
      <c r="D42" s="2584">
        <v>100000000</v>
      </c>
      <c r="E42" s="2584"/>
      <c r="F42" s="2564">
        <v>100000000</v>
      </c>
    </row>
    <row r="43" spans="1:6" x14ac:dyDescent="0.3">
      <c r="A43" s="2562" t="s">
        <v>3384</v>
      </c>
      <c r="B43" s="1981" t="s">
        <v>2571</v>
      </c>
      <c r="C43" s="1981"/>
      <c r="D43" s="2584">
        <v>0</v>
      </c>
      <c r="E43" s="2584"/>
      <c r="F43" s="2564">
        <v>1500000000</v>
      </c>
    </row>
    <row r="44" spans="1:6" x14ac:dyDescent="0.3">
      <c r="A44" s="2562" t="s">
        <v>3385</v>
      </c>
      <c r="B44" s="1981" t="s">
        <v>479</v>
      </c>
      <c r="C44" s="1981"/>
      <c r="D44" s="2584">
        <v>10000000</v>
      </c>
      <c r="E44" s="2584"/>
      <c r="F44" s="2564">
        <v>10000000</v>
      </c>
    </row>
    <row r="45" spans="1:6" x14ac:dyDescent="0.3">
      <c r="A45" s="2562" t="s">
        <v>3386</v>
      </c>
      <c r="B45" s="1981" t="s">
        <v>616</v>
      </c>
      <c r="C45" s="1981"/>
      <c r="D45" s="2584"/>
      <c r="E45" s="2584"/>
      <c r="F45" s="2564"/>
    </row>
    <row r="46" spans="1:6" x14ac:dyDescent="0.3">
      <c r="A46" s="2562" t="s">
        <v>3387</v>
      </c>
      <c r="B46" s="1981" t="s">
        <v>480</v>
      </c>
      <c r="C46" s="1981"/>
      <c r="D46" s="2584">
        <v>20000000</v>
      </c>
      <c r="E46" s="2584">
        <v>5000000</v>
      </c>
      <c r="F46" s="2564">
        <v>20000000</v>
      </c>
    </row>
    <row r="47" spans="1:6" x14ac:dyDescent="0.3">
      <c r="A47" s="2562" t="s">
        <v>3388</v>
      </c>
      <c r="B47" s="1981" t="s">
        <v>481</v>
      </c>
      <c r="C47" s="1981"/>
      <c r="D47" s="2584">
        <v>10000000</v>
      </c>
      <c r="E47" s="2584"/>
      <c r="F47" s="2564">
        <v>10000000</v>
      </c>
    </row>
    <row r="48" spans="1:6" ht="37.5" x14ac:dyDescent="0.3">
      <c r="A48" s="2562" t="s">
        <v>3389</v>
      </c>
      <c r="B48" s="2590" t="s">
        <v>798</v>
      </c>
      <c r="C48" s="2590"/>
      <c r="D48" s="2584">
        <v>200000000</v>
      </c>
      <c r="E48" s="2584"/>
      <c r="F48" s="2564">
        <v>200000000</v>
      </c>
    </row>
    <row r="49" spans="1:6" x14ac:dyDescent="0.3">
      <c r="A49" s="2562" t="s">
        <v>3390</v>
      </c>
      <c r="B49" s="1981" t="s">
        <v>1990</v>
      </c>
      <c r="C49" s="2591"/>
      <c r="D49" s="2584"/>
      <c r="E49" s="2556"/>
      <c r="F49" s="2564">
        <v>22500000</v>
      </c>
    </row>
    <row r="50" spans="1:6" x14ac:dyDescent="0.3">
      <c r="A50" s="2562" t="s">
        <v>3391</v>
      </c>
      <c r="B50" s="2563" t="s">
        <v>2979</v>
      </c>
      <c r="C50" s="2563"/>
      <c r="D50" s="2584"/>
      <c r="E50" s="2556"/>
      <c r="F50" s="2564">
        <v>0</v>
      </c>
    </row>
    <row r="51" spans="1:6" x14ac:dyDescent="0.3">
      <c r="A51" s="2562" t="s">
        <v>3392</v>
      </c>
      <c r="B51" s="2563" t="s">
        <v>2980</v>
      </c>
      <c r="C51" s="1981"/>
      <c r="D51" s="2584"/>
      <c r="E51" s="2556"/>
      <c r="F51" s="2564">
        <v>0</v>
      </c>
    </row>
    <row r="52" spans="1:6" ht="19.5" thickBot="1" x14ac:dyDescent="0.35">
      <c r="A52" s="2582"/>
      <c r="B52" s="2446" t="s">
        <v>375</v>
      </c>
      <c r="C52" s="2592"/>
      <c r="D52" s="2593"/>
      <c r="E52" s="2593"/>
      <c r="F52" s="2593"/>
    </row>
    <row r="53" spans="1:6" ht="19.5" thickBot="1" x14ac:dyDescent="0.35">
      <c r="A53" s="2548"/>
      <c r="B53" s="2594" t="s">
        <v>2572</v>
      </c>
      <c r="C53" s="2594"/>
      <c r="D53" s="2595">
        <f>SUM(D36+D30)</f>
        <v>497135900</v>
      </c>
      <c r="E53" s="2595">
        <f>SUM(E36+E30)</f>
        <v>53942500</v>
      </c>
      <c r="F53" s="2595">
        <f>SUM(F30,F33,F36)</f>
        <v>2031635900</v>
      </c>
    </row>
    <row r="54" spans="1:6" x14ac:dyDescent="0.3">
      <c r="A54" s="2596"/>
      <c r="B54" s="2577"/>
      <c r="C54" s="2577"/>
      <c r="D54" s="2578"/>
      <c r="E54" s="2578"/>
      <c r="F54" s="2578"/>
    </row>
    <row r="55" spans="1:6" x14ac:dyDescent="0.3">
      <c r="A55" s="3517" t="s">
        <v>639</v>
      </c>
      <c r="B55" s="3517"/>
      <c r="C55" s="3517"/>
      <c r="D55" s="3517"/>
      <c r="E55" s="3517"/>
      <c r="F55" s="3517"/>
    </row>
    <row r="56" spans="1:6" ht="19.5" thickBot="1" x14ac:dyDescent="0.35">
      <c r="A56" s="3516" t="s">
        <v>2403</v>
      </c>
      <c r="B56" s="3516"/>
      <c r="C56" s="3516"/>
      <c r="D56" s="3516"/>
      <c r="E56" s="3516"/>
      <c r="F56" s="3516"/>
    </row>
    <row r="57" spans="1:6" s="2549" customFormat="1" ht="57" thickBot="1" x14ac:dyDescent="0.25">
      <c r="A57" s="2548" t="s">
        <v>1</v>
      </c>
      <c r="B57" s="2290" t="s">
        <v>282</v>
      </c>
      <c r="C57" s="2548" t="s">
        <v>3197</v>
      </c>
      <c r="D57" s="2292" t="s">
        <v>1174</v>
      </c>
      <c r="E57" s="2292" t="s">
        <v>1145</v>
      </c>
      <c r="F57" s="2292" t="s">
        <v>3096</v>
      </c>
    </row>
    <row r="58" spans="1:6" s="2599" customFormat="1" x14ac:dyDescent="0.3">
      <c r="A58" s="2597">
        <v>32030100</v>
      </c>
      <c r="B58" s="2598" t="s">
        <v>472</v>
      </c>
      <c r="C58" s="2598"/>
    </row>
    <row r="59" spans="1:6" s="2599" customFormat="1" x14ac:dyDescent="0.3">
      <c r="A59" s="170">
        <v>32030109</v>
      </c>
      <c r="B59" s="2566" t="s">
        <v>3517</v>
      </c>
      <c r="C59" s="2566"/>
      <c r="D59" s="2600">
        <f>SUM(D60:D61)</f>
        <v>850000000</v>
      </c>
      <c r="E59" s="2600">
        <f>SUM(E60:E61)</f>
        <v>32758450</v>
      </c>
      <c r="F59" s="2600">
        <f>SUM(F60:F61)</f>
        <v>600000000</v>
      </c>
    </row>
    <row r="60" spans="1:6" x14ac:dyDescent="0.3">
      <c r="A60" s="2562" t="s">
        <v>3393</v>
      </c>
      <c r="B60" s="1981" t="s">
        <v>514</v>
      </c>
      <c r="C60" s="2601"/>
      <c r="D60" s="2584">
        <v>600000000</v>
      </c>
      <c r="E60" s="2584"/>
      <c r="F60" s="2584">
        <v>300000000</v>
      </c>
    </row>
    <row r="61" spans="1:6" x14ac:dyDescent="0.3">
      <c r="A61" s="2562" t="s">
        <v>3394</v>
      </c>
      <c r="B61" s="1981" t="s">
        <v>1768</v>
      </c>
      <c r="C61" s="1981"/>
      <c r="D61" s="2584">
        <v>250000000</v>
      </c>
      <c r="E61" s="2584">
        <v>32758450</v>
      </c>
      <c r="F61" s="2584">
        <v>300000000</v>
      </c>
    </row>
    <row r="62" spans="1:6" x14ac:dyDescent="0.3">
      <c r="A62" s="2602"/>
      <c r="B62" s="2558"/>
      <c r="C62" s="2558"/>
      <c r="D62" s="2584"/>
      <c r="E62" s="2584"/>
      <c r="F62" s="2584"/>
    </row>
    <row r="63" spans="1:6" ht="19.5" thickBot="1" x14ac:dyDescent="0.35">
      <c r="A63" s="2562"/>
      <c r="B63" s="2603" t="s">
        <v>2575</v>
      </c>
      <c r="C63" s="2604"/>
      <c r="D63" s="2605">
        <f>SUM(D60:D61)</f>
        <v>850000000</v>
      </c>
      <c r="E63" s="2605">
        <f>SUM(E60:E61)</f>
        <v>32758450</v>
      </c>
      <c r="F63" s="2605">
        <f>SUM(F60:F61)</f>
        <v>600000000</v>
      </c>
    </row>
    <row r="64" spans="1:6" x14ac:dyDescent="0.3">
      <c r="A64" s="3517"/>
      <c r="B64" s="3517"/>
      <c r="C64" s="3517"/>
      <c r="D64" s="3517"/>
      <c r="E64" s="3517"/>
      <c r="F64" s="3517"/>
    </row>
    <row r="65" spans="1:6" x14ac:dyDescent="0.3">
      <c r="A65" s="2596"/>
      <c r="B65" s="2577"/>
      <c r="C65" s="2577"/>
      <c r="D65" s="2578"/>
      <c r="E65" s="2578"/>
      <c r="F65" s="2578"/>
    </row>
    <row r="66" spans="1:6" x14ac:dyDescent="0.3">
      <c r="A66" s="3517" t="s">
        <v>639</v>
      </c>
      <c r="B66" s="3517"/>
      <c r="C66" s="3517"/>
      <c r="D66" s="3517"/>
      <c r="E66" s="3517"/>
      <c r="F66" s="3517"/>
    </row>
    <row r="67" spans="1:6" ht="19.5" thickBot="1" x14ac:dyDescent="0.35">
      <c r="A67" s="3516" t="s">
        <v>2402</v>
      </c>
      <c r="B67" s="3516"/>
      <c r="C67" s="3516"/>
      <c r="D67" s="3516"/>
      <c r="E67" s="3516"/>
      <c r="F67" s="3516"/>
    </row>
    <row r="68" spans="1:6" s="2549" customFormat="1" ht="57" thickBot="1" x14ac:dyDescent="0.25">
      <c r="A68" s="2548" t="s">
        <v>1</v>
      </c>
      <c r="B68" s="2290" t="s">
        <v>282</v>
      </c>
      <c r="C68" s="2548" t="s">
        <v>3197</v>
      </c>
      <c r="D68" s="2292" t="s">
        <v>1174</v>
      </c>
      <c r="E68" s="2292" t="s">
        <v>1145</v>
      </c>
      <c r="F68" s="2292" t="s">
        <v>3096</v>
      </c>
    </row>
    <row r="69" spans="1:6" s="2599" customFormat="1" x14ac:dyDescent="0.3">
      <c r="A69" s="2606">
        <v>32030100</v>
      </c>
      <c r="B69" s="2607" t="s">
        <v>472</v>
      </c>
      <c r="C69" s="2607"/>
      <c r="F69" s="2608"/>
    </row>
    <row r="70" spans="1:6" s="2599" customFormat="1" x14ac:dyDescent="0.3">
      <c r="A70" s="170">
        <v>32030109</v>
      </c>
      <c r="B70" s="2566" t="s">
        <v>3517</v>
      </c>
      <c r="C70" s="2566"/>
      <c r="D70" s="2600">
        <f>SUM(D71)</f>
        <v>0</v>
      </c>
      <c r="E70" s="2600">
        <f>SUM(E71)</f>
        <v>0</v>
      </c>
      <c r="F70" s="2609">
        <f>SUM(F71)</f>
        <v>100000000</v>
      </c>
    </row>
    <row r="71" spans="1:6" x14ac:dyDescent="0.3">
      <c r="A71" s="2610" t="s">
        <v>3395</v>
      </c>
      <c r="B71" s="1981" t="s">
        <v>2577</v>
      </c>
      <c r="C71" s="1981" t="s">
        <v>3198</v>
      </c>
      <c r="D71" s="2584"/>
      <c r="E71" s="2584"/>
      <c r="F71" s="2584">
        <v>100000000</v>
      </c>
    </row>
    <row r="72" spans="1:6" ht="19.5" thickBot="1" x14ac:dyDescent="0.35">
      <c r="A72" s="2562"/>
      <c r="B72" s="2558"/>
      <c r="C72" s="2611"/>
      <c r="D72" s="2612"/>
      <c r="E72" s="2612"/>
      <c r="F72" s="2612"/>
    </row>
    <row r="73" spans="1:6" ht="19.5" thickBot="1" x14ac:dyDescent="0.35">
      <c r="A73" s="2562"/>
      <c r="B73" s="2566" t="s">
        <v>2576</v>
      </c>
      <c r="C73" s="2594"/>
      <c r="D73" s="2595">
        <f>SUM(D71:D71)</f>
        <v>0</v>
      </c>
      <c r="E73" s="2595">
        <f>SUM(E71:E71)</f>
        <v>0</v>
      </c>
      <c r="F73" s="2595">
        <f>SUM(F70)</f>
        <v>100000000</v>
      </c>
    </row>
    <row r="74" spans="1:6" x14ac:dyDescent="0.3">
      <c r="A74" s="3535"/>
      <c r="B74" s="3535"/>
      <c r="C74" s="3535"/>
      <c r="D74" s="3535"/>
      <c r="E74" s="3535"/>
      <c r="F74" s="3535"/>
    </row>
    <row r="75" spans="1:6" x14ac:dyDescent="0.3">
      <c r="A75" s="3518" t="s">
        <v>641</v>
      </c>
      <c r="B75" s="3518"/>
      <c r="C75" s="3518"/>
      <c r="D75" s="3518"/>
      <c r="E75" s="3518"/>
      <c r="F75" s="3518"/>
    </row>
    <row r="76" spans="1:6" ht="19.5" thickBot="1" x14ac:dyDescent="0.35">
      <c r="A76" s="3516" t="s">
        <v>1270</v>
      </c>
      <c r="B76" s="3516"/>
      <c r="C76" s="3516"/>
      <c r="D76" s="3516"/>
      <c r="E76" s="3516"/>
      <c r="F76" s="3516"/>
    </row>
    <row r="77" spans="1:6" s="2549" customFormat="1" ht="57" thickBot="1" x14ac:dyDescent="0.25">
      <c r="A77" s="2548" t="s">
        <v>1</v>
      </c>
      <c r="B77" s="2290" t="s">
        <v>282</v>
      </c>
      <c r="C77" s="2548" t="s">
        <v>3197</v>
      </c>
      <c r="D77" s="2292" t="s">
        <v>1174</v>
      </c>
      <c r="E77" s="2292" t="s">
        <v>1145</v>
      </c>
      <c r="F77" s="2292" t="s">
        <v>3096</v>
      </c>
    </row>
    <row r="78" spans="1:6" x14ac:dyDescent="0.3">
      <c r="A78" s="2550"/>
      <c r="B78" s="2551"/>
      <c r="C78" s="2551"/>
      <c r="D78" s="2552"/>
      <c r="E78" s="2552"/>
      <c r="F78" s="2552"/>
    </row>
    <row r="79" spans="1:6" x14ac:dyDescent="0.3">
      <c r="A79" s="2553">
        <v>320000</v>
      </c>
      <c r="B79" s="2555" t="s">
        <v>462</v>
      </c>
      <c r="C79" s="2555"/>
      <c r="D79" s="2556"/>
      <c r="E79" s="2556"/>
      <c r="F79" s="2556"/>
    </row>
    <row r="80" spans="1:6" x14ac:dyDescent="0.3">
      <c r="A80" s="170">
        <v>32030100</v>
      </c>
      <c r="B80" s="2566" t="s">
        <v>472</v>
      </c>
      <c r="C80" s="2566"/>
      <c r="D80" s="2582"/>
      <c r="E80" s="2582"/>
      <c r="F80" s="2582"/>
    </row>
    <row r="81" spans="1:6" s="2599" customFormat="1" x14ac:dyDescent="0.3">
      <c r="A81" s="170">
        <v>32030109</v>
      </c>
      <c r="B81" s="2566" t="s">
        <v>3517</v>
      </c>
      <c r="C81" s="2566"/>
      <c r="D81" s="2600">
        <f>SUM(D82:D89)</f>
        <v>1400000000</v>
      </c>
      <c r="E81" s="2600">
        <f>SUM(E82:E89)</f>
        <v>520842855.89999998</v>
      </c>
      <c r="F81" s="2600">
        <f>SUM(F82:F89)</f>
        <v>2300000000</v>
      </c>
    </row>
    <row r="82" spans="1:6" x14ac:dyDescent="0.3">
      <c r="A82" s="2562" t="s">
        <v>3396</v>
      </c>
      <c r="B82" s="1981" t="s">
        <v>804</v>
      </c>
      <c r="C82" s="1981"/>
      <c r="D82" s="2584">
        <v>50000000</v>
      </c>
      <c r="E82" s="2584">
        <v>5530000</v>
      </c>
      <c r="F82" s="2584">
        <v>50000000</v>
      </c>
    </row>
    <row r="83" spans="1:6" x14ac:dyDescent="0.3">
      <c r="A83" s="2562" t="s">
        <v>3397</v>
      </c>
      <c r="B83" s="1981" t="s">
        <v>805</v>
      </c>
      <c r="C83" s="1981"/>
      <c r="D83" s="2584">
        <v>50000000</v>
      </c>
      <c r="E83" s="2584"/>
      <c r="F83" s="2584">
        <v>50000000</v>
      </c>
    </row>
    <row r="84" spans="1:6" x14ac:dyDescent="0.3">
      <c r="A84" s="2562" t="s">
        <v>3398</v>
      </c>
      <c r="B84" s="1981" t="s">
        <v>806</v>
      </c>
      <c r="C84" s="1981"/>
      <c r="D84" s="2584">
        <v>450000000</v>
      </c>
      <c r="E84" s="2584"/>
      <c r="F84" s="2584">
        <v>0</v>
      </c>
    </row>
    <row r="85" spans="1:6" x14ac:dyDescent="0.3">
      <c r="A85" s="2562" t="s">
        <v>3399</v>
      </c>
      <c r="B85" s="1981" t="s">
        <v>1771</v>
      </c>
      <c r="C85" s="1981"/>
      <c r="D85" s="2584">
        <v>100000000</v>
      </c>
      <c r="E85" s="2584"/>
      <c r="F85" s="2584">
        <v>100000000</v>
      </c>
    </row>
    <row r="86" spans="1:6" x14ac:dyDescent="0.3">
      <c r="A86" s="2562" t="s">
        <v>3400</v>
      </c>
      <c r="B86" s="2613" t="s">
        <v>3415</v>
      </c>
      <c r="C86" s="2613"/>
      <c r="D86" s="2586">
        <v>0</v>
      </c>
      <c r="E86" s="2584"/>
      <c r="F86" s="2584">
        <v>1000000000</v>
      </c>
    </row>
    <row r="87" spans="1:6" x14ac:dyDescent="0.3">
      <c r="A87" s="2562" t="s">
        <v>3401</v>
      </c>
      <c r="B87" s="2613" t="s">
        <v>2981</v>
      </c>
      <c r="C87" s="2613"/>
      <c r="D87" s="2586"/>
      <c r="E87" s="2584"/>
      <c r="F87" s="2584">
        <v>500000000</v>
      </c>
    </row>
    <row r="88" spans="1:6" x14ac:dyDescent="0.3">
      <c r="A88" s="2562" t="s">
        <v>3402</v>
      </c>
      <c r="B88" s="2613" t="s">
        <v>1772</v>
      </c>
      <c r="C88" s="2613"/>
      <c r="D88" s="2586">
        <v>600000000</v>
      </c>
      <c r="E88" s="2584">
        <v>365312855.89999998</v>
      </c>
      <c r="F88" s="2584">
        <v>0</v>
      </c>
    </row>
    <row r="89" spans="1:6" x14ac:dyDescent="0.3">
      <c r="A89" s="2562" t="s">
        <v>3403</v>
      </c>
      <c r="B89" s="1981" t="s">
        <v>807</v>
      </c>
      <c r="C89" s="1981"/>
      <c r="D89" s="2584">
        <v>150000000</v>
      </c>
      <c r="E89" s="2584">
        <v>150000000</v>
      </c>
      <c r="F89" s="2584">
        <v>600000000</v>
      </c>
    </row>
    <row r="90" spans="1:6" ht="19.5" thickBot="1" x14ac:dyDescent="0.35">
      <c r="A90" s="2614"/>
      <c r="B90" s="2615"/>
      <c r="C90" s="2615"/>
      <c r="D90" s="2616"/>
      <c r="E90" s="2552"/>
      <c r="F90" s="2616"/>
    </row>
    <row r="91" spans="1:6" ht="19.5" thickBot="1" x14ac:dyDescent="0.35">
      <c r="A91" s="2617"/>
      <c r="B91" s="2594" t="s">
        <v>1518</v>
      </c>
      <c r="C91" s="2594"/>
      <c r="D91" s="2595">
        <f>SUM(D81)</f>
        <v>1400000000</v>
      </c>
      <c r="E91" s="2595">
        <f>SUM(E81)</f>
        <v>520842855.89999998</v>
      </c>
      <c r="F91" s="2595">
        <f>SUM(F81)</f>
        <v>2300000000</v>
      </c>
    </row>
    <row r="92" spans="1:6" x14ac:dyDescent="0.3">
      <c r="A92" s="2576"/>
      <c r="B92" s="2577"/>
      <c r="C92" s="2577"/>
      <c r="D92" s="2578"/>
      <c r="E92" s="2578"/>
      <c r="F92" s="2578"/>
    </row>
    <row r="93" spans="1:6" x14ac:dyDescent="0.3">
      <c r="A93" s="2576"/>
      <c r="B93" s="2577"/>
      <c r="C93" s="2577"/>
      <c r="D93" s="2578"/>
      <c r="E93" s="2578"/>
      <c r="F93" s="2578"/>
    </row>
    <row r="94" spans="1:6" x14ac:dyDescent="0.3">
      <c r="A94" s="3536" t="s">
        <v>641</v>
      </c>
      <c r="B94" s="3536"/>
      <c r="C94" s="3536"/>
      <c r="D94" s="3536"/>
      <c r="E94" s="3536"/>
      <c r="F94" s="3536"/>
    </row>
    <row r="95" spans="1:6" ht="19.5" thickBot="1" x14ac:dyDescent="0.35">
      <c r="A95" s="3516" t="s">
        <v>1179</v>
      </c>
      <c r="B95" s="3516"/>
      <c r="C95" s="3516"/>
      <c r="D95" s="3516"/>
      <c r="E95" s="3516"/>
      <c r="F95" s="3516"/>
    </row>
    <row r="96" spans="1:6" s="2549" customFormat="1" ht="57" thickBot="1" x14ac:dyDescent="0.25">
      <c r="A96" s="2548" t="s">
        <v>1</v>
      </c>
      <c r="B96" s="2290" t="s">
        <v>282</v>
      </c>
      <c r="C96" s="2548" t="s">
        <v>3197</v>
      </c>
      <c r="D96" s="2292" t="s">
        <v>1174</v>
      </c>
      <c r="E96" s="2292" t="s">
        <v>1145</v>
      </c>
      <c r="F96" s="2292" t="s">
        <v>3096</v>
      </c>
    </row>
    <row r="97" spans="1:6" x14ac:dyDescent="0.3">
      <c r="A97" s="2618">
        <v>32010000</v>
      </c>
      <c r="B97" s="2607" t="s">
        <v>463</v>
      </c>
      <c r="C97" s="2607"/>
      <c r="D97" s="2619"/>
      <c r="E97" s="2619"/>
      <c r="F97" s="2619"/>
    </row>
    <row r="98" spans="1:6" x14ac:dyDescent="0.3">
      <c r="A98" s="2620">
        <v>32010100</v>
      </c>
      <c r="B98" s="2566" t="s">
        <v>464</v>
      </c>
      <c r="C98" s="2566"/>
      <c r="D98" s="2600"/>
      <c r="E98" s="2600"/>
      <c r="F98" s="2600"/>
    </row>
    <row r="99" spans="1:6" x14ac:dyDescent="0.3">
      <c r="A99" s="2620">
        <v>32010101</v>
      </c>
      <c r="B99" s="2566" t="s">
        <v>3212</v>
      </c>
      <c r="C99" s="2566"/>
      <c r="D99" s="2600">
        <f>SUM(D100:D102)</f>
        <v>85000000</v>
      </c>
      <c r="E99" s="2600">
        <f>SUM(E100:E102)</f>
        <v>38091215</v>
      </c>
      <c r="F99" s="2600">
        <f>SUM(F100:F102)</f>
        <v>175000000</v>
      </c>
    </row>
    <row r="100" spans="1:6" x14ac:dyDescent="0.3">
      <c r="A100" s="2621" t="s">
        <v>3404</v>
      </c>
      <c r="B100" s="1981" t="s">
        <v>502</v>
      </c>
      <c r="C100" s="1981"/>
      <c r="D100" s="2584">
        <v>25000000</v>
      </c>
      <c r="E100" s="2584"/>
      <c r="F100" s="2584">
        <v>25000000</v>
      </c>
    </row>
    <row r="101" spans="1:6" x14ac:dyDescent="0.3">
      <c r="A101" s="2621" t="s">
        <v>3405</v>
      </c>
      <c r="B101" s="1981" t="s">
        <v>1520</v>
      </c>
      <c r="C101" s="1981"/>
      <c r="D101" s="2584">
        <v>10000000</v>
      </c>
      <c r="E101" s="2584"/>
      <c r="F101" s="2584" t="s">
        <v>179</v>
      </c>
    </row>
    <row r="102" spans="1:6" x14ac:dyDescent="0.3">
      <c r="A102" s="2621" t="s">
        <v>3407</v>
      </c>
      <c r="B102" s="2589" t="s">
        <v>2098</v>
      </c>
      <c r="C102" s="2589"/>
      <c r="D102" s="2584">
        <v>50000000</v>
      </c>
      <c r="E102" s="2622">
        <v>38091215</v>
      </c>
      <c r="F102" s="2584">
        <v>150000000</v>
      </c>
    </row>
    <row r="103" spans="1:6" x14ac:dyDescent="0.3">
      <c r="A103" s="2623">
        <v>32000000</v>
      </c>
      <c r="B103" s="2555" t="s">
        <v>462</v>
      </c>
      <c r="C103" s="2555"/>
      <c r="D103" s="2556"/>
      <c r="E103" s="2556"/>
      <c r="F103" s="2556"/>
    </row>
    <row r="104" spans="1:6" x14ac:dyDescent="0.3">
      <c r="A104" s="2624">
        <v>32030100</v>
      </c>
      <c r="B104" s="2566" t="s">
        <v>472</v>
      </c>
      <c r="C104" s="2566"/>
      <c r="D104" s="2582"/>
      <c r="E104" s="2582"/>
      <c r="F104" s="2582"/>
    </row>
    <row r="105" spans="1:6" s="2599" customFormat="1" x14ac:dyDescent="0.3">
      <c r="A105" s="170">
        <v>32030109</v>
      </c>
      <c r="B105" s="2566" t="s">
        <v>3517</v>
      </c>
      <c r="C105" s="2566"/>
      <c r="D105" s="2600">
        <f>SUM(D106:D106)</f>
        <v>20000000</v>
      </c>
      <c r="E105" s="2600">
        <f>SUM(E106:E106)</f>
        <v>10650000</v>
      </c>
      <c r="F105" s="2600">
        <f>SUM(F106:F106)</f>
        <v>20000000</v>
      </c>
    </row>
    <row r="106" spans="1:6" x14ac:dyDescent="0.3">
      <c r="A106" s="2621" t="s">
        <v>3406</v>
      </c>
      <c r="B106" s="2589" t="s">
        <v>503</v>
      </c>
      <c r="C106" s="2589"/>
      <c r="D106" s="2584">
        <v>20000000</v>
      </c>
      <c r="E106" s="2622">
        <v>10650000</v>
      </c>
      <c r="F106" s="2584">
        <v>20000000</v>
      </c>
    </row>
    <row r="107" spans="1:6" x14ac:dyDescent="0.3">
      <c r="A107" s="2624">
        <v>32010500</v>
      </c>
      <c r="B107" s="2566" t="s">
        <v>468</v>
      </c>
      <c r="C107" s="2566"/>
      <c r="D107" s="2582"/>
      <c r="E107" s="2582"/>
      <c r="F107" s="2582"/>
    </row>
    <row r="108" spans="1:6" x14ac:dyDescent="0.3">
      <c r="A108" s="2624">
        <v>32010510</v>
      </c>
      <c r="B108" s="2566" t="s">
        <v>3417</v>
      </c>
      <c r="C108" s="2566"/>
      <c r="D108" s="2600">
        <f>SUM(D109)</f>
        <v>10000000</v>
      </c>
      <c r="E108" s="2600">
        <f>SUM(E109)</f>
        <v>0</v>
      </c>
      <c r="F108" s="2600">
        <f>SUM(F109)</f>
        <v>10000000</v>
      </c>
    </row>
    <row r="109" spans="1:6" x14ac:dyDescent="0.3">
      <c r="A109" s="2621" t="s">
        <v>3408</v>
      </c>
      <c r="B109" s="2589" t="s">
        <v>3416</v>
      </c>
      <c r="C109" s="2589"/>
      <c r="D109" s="2584">
        <v>10000000</v>
      </c>
      <c r="E109" s="2622"/>
      <c r="F109" s="2584">
        <v>10000000</v>
      </c>
    </row>
    <row r="110" spans="1:6" s="2599" customFormat="1" x14ac:dyDescent="0.3">
      <c r="A110" s="170"/>
      <c r="B110" s="2558"/>
      <c r="C110" s="2558"/>
      <c r="D110" s="2600"/>
      <c r="E110" s="2600"/>
      <c r="F110" s="2600"/>
    </row>
    <row r="111" spans="1:6" ht="19.5" thickBot="1" x14ac:dyDescent="0.35">
      <c r="A111" s="170"/>
      <c r="B111" s="2566" t="s">
        <v>2578</v>
      </c>
      <c r="C111" s="2625"/>
      <c r="D111" s="2626">
        <f>SUM(D99,D105,D108)</f>
        <v>115000000</v>
      </c>
      <c r="E111" s="2626">
        <f>SUM(E99,E105,E108)</f>
        <v>48741215</v>
      </c>
      <c r="F111" s="2626">
        <f>SUM(F99,F105,F108)</f>
        <v>205000000</v>
      </c>
    </row>
    <row r="113" spans="1:6" x14ac:dyDescent="0.3">
      <c r="A113" s="2596"/>
      <c r="B113" s="2577"/>
      <c r="C113" s="2577"/>
      <c r="D113" s="2578"/>
      <c r="E113" s="2578"/>
      <c r="F113" s="2578"/>
    </row>
    <row r="114" spans="1:6" x14ac:dyDescent="0.3">
      <c r="A114" s="3517" t="s">
        <v>641</v>
      </c>
      <c r="B114" s="3517"/>
      <c r="C114" s="3517"/>
      <c r="D114" s="3517"/>
      <c r="E114" s="3517"/>
      <c r="F114" s="3517"/>
    </row>
    <row r="115" spans="1:6" ht="19.5" thickBot="1" x14ac:dyDescent="0.35">
      <c r="A115" s="3516" t="s">
        <v>1528</v>
      </c>
      <c r="B115" s="3516"/>
      <c r="C115" s="3516"/>
      <c r="D115" s="3516"/>
      <c r="E115" s="3516"/>
      <c r="F115" s="3516"/>
    </row>
    <row r="116" spans="1:6" s="2549" customFormat="1" ht="57" thickBot="1" x14ac:dyDescent="0.25">
      <c r="A116" s="2548" t="s">
        <v>1</v>
      </c>
      <c r="B116" s="2290" t="s">
        <v>282</v>
      </c>
      <c r="C116" s="2548" t="s">
        <v>3197</v>
      </c>
      <c r="D116" s="2292" t="s">
        <v>1174</v>
      </c>
      <c r="E116" s="2292" t="s">
        <v>1145</v>
      </c>
      <c r="F116" s="2292" t="s">
        <v>3096</v>
      </c>
    </row>
    <row r="117" spans="1:6" x14ac:dyDescent="0.3">
      <c r="A117" s="170">
        <v>32010000</v>
      </c>
      <c r="B117" s="2558" t="s">
        <v>463</v>
      </c>
      <c r="C117" s="2558"/>
      <c r="D117" s="2559"/>
      <c r="E117" s="2559"/>
      <c r="F117" s="2559"/>
    </row>
    <row r="118" spans="1:6" x14ac:dyDescent="0.3">
      <c r="A118" s="170">
        <v>32010100</v>
      </c>
      <c r="B118" s="2627" t="s">
        <v>471</v>
      </c>
      <c r="C118" s="2558"/>
      <c r="D118" s="2559"/>
      <c r="E118" s="2559"/>
      <c r="F118" s="2559"/>
    </row>
    <row r="119" spans="1:6" x14ac:dyDescent="0.3">
      <c r="A119" s="2620">
        <v>32010101</v>
      </c>
      <c r="B119" s="2566" t="s">
        <v>3212</v>
      </c>
      <c r="C119" s="2566"/>
      <c r="D119" s="2600">
        <f>SUM(D120:D120)</f>
        <v>30000000</v>
      </c>
      <c r="E119" s="2600"/>
      <c r="F119" s="2600">
        <f>SUM(F120:F120)</f>
        <v>30000000</v>
      </c>
    </row>
    <row r="120" spans="1:6" ht="37.5" x14ac:dyDescent="0.3">
      <c r="A120" s="2562" t="s">
        <v>3418</v>
      </c>
      <c r="B120" s="1981" t="s">
        <v>4291</v>
      </c>
      <c r="C120" s="1981"/>
      <c r="D120" s="2584">
        <v>30000000</v>
      </c>
      <c r="E120" s="2584"/>
      <c r="F120" s="2564">
        <v>30000000</v>
      </c>
    </row>
    <row r="121" spans="1:6" x14ac:dyDescent="0.3">
      <c r="A121" s="170">
        <v>32030100</v>
      </c>
      <c r="B121" s="2566" t="s">
        <v>472</v>
      </c>
      <c r="C121" s="2566"/>
      <c r="D121" s="2584"/>
      <c r="E121" s="2556"/>
      <c r="F121" s="2584"/>
    </row>
    <row r="122" spans="1:6" s="2599" customFormat="1" x14ac:dyDescent="0.3">
      <c r="A122" s="170">
        <v>32030109</v>
      </c>
      <c r="B122" s="2566" t="s">
        <v>3517</v>
      </c>
      <c r="C122" s="2566"/>
      <c r="D122" s="2628">
        <f>SUM(D123:D124)</f>
        <v>10000000</v>
      </c>
      <c r="E122" s="2052"/>
      <c r="F122" s="2628">
        <f>SUM(F123:F124)</f>
        <v>35000000</v>
      </c>
    </row>
    <row r="123" spans="1:6" x14ac:dyDescent="0.3">
      <c r="A123" s="2562" t="s">
        <v>3419</v>
      </c>
      <c r="B123" s="2629" t="s">
        <v>3421</v>
      </c>
      <c r="C123" s="2629"/>
      <c r="D123" s="2584">
        <v>10000000</v>
      </c>
      <c r="E123" s="2622"/>
      <c r="F123" s="2564">
        <v>10000000</v>
      </c>
    </row>
    <row r="124" spans="1:6" s="1984" customFormat="1" ht="20.25" x14ac:dyDescent="0.2">
      <c r="A124" s="2562" t="s">
        <v>3420</v>
      </c>
      <c r="B124" s="2629" t="s">
        <v>3067</v>
      </c>
      <c r="C124" s="2629"/>
      <c r="D124" s="2051"/>
      <c r="E124" s="2051"/>
      <c r="F124" s="2051">
        <v>25000000</v>
      </c>
    </row>
    <row r="125" spans="1:6" s="1984" customFormat="1" ht="20.25" x14ac:dyDescent="0.2">
      <c r="A125" s="2562"/>
      <c r="B125" s="2558"/>
      <c r="C125" s="2558"/>
      <c r="D125" s="2052"/>
      <c r="E125" s="2052"/>
      <c r="F125" s="2052"/>
    </row>
    <row r="126" spans="1:6" x14ac:dyDescent="0.3">
      <c r="A126" s="170"/>
      <c r="B126" s="2566" t="s">
        <v>2579</v>
      </c>
      <c r="C126" s="2566"/>
      <c r="D126" s="2600">
        <f>SUM(D119,D122)</f>
        <v>40000000</v>
      </c>
      <c r="E126" s="2600">
        <f>SUM(E119,E122)</f>
        <v>0</v>
      </c>
      <c r="F126" s="2561">
        <f>SUM(F119,F122)</f>
        <v>65000000</v>
      </c>
    </row>
    <row r="128" spans="1:6" x14ac:dyDescent="0.3">
      <c r="A128" s="3518" t="s">
        <v>641</v>
      </c>
      <c r="B128" s="3518"/>
      <c r="C128" s="3518"/>
      <c r="D128" s="3518"/>
      <c r="E128" s="3518"/>
      <c r="F128" s="3518"/>
    </row>
    <row r="129" spans="1:6" ht="19.5" thickBot="1" x14ac:dyDescent="0.35">
      <c r="A129" s="3516" t="s">
        <v>1160</v>
      </c>
      <c r="B129" s="3516"/>
      <c r="C129" s="3516"/>
      <c r="D129" s="3516"/>
      <c r="E129" s="3516"/>
      <c r="F129" s="3516"/>
    </row>
    <row r="130" spans="1:6" s="2549" customFormat="1" ht="57" thickBot="1" x14ac:dyDescent="0.25">
      <c r="A130" s="2548" t="s">
        <v>1</v>
      </c>
      <c r="B130" s="2290" t="s">
        <v>282</v>
      </c>
      <c r="C130" s="2548" t="s">
        <v>3197</v>
      </c>
      <c r="D130" s="2292" t="s">
        <v>1174</v>
      </c>
      <c r="E130" s="2292" t="s">
        <v>1145</v>
      </c>
      <c r="F130" s="2292" t="s">
        <v>3096</v>
      </c>
    </row>
    <row r="131" spans="1:6" s="2599" customFormat="1" x14ac:dyDescent="0.3">
      <c r="A131" s="2630"/>
      <c r="B131" s="2631"/>
      <c r="C131" s="2631"/>
      <c r="D131" s="2632"/>
      <c r="E131" s="2632"/>
      <c r="F131" s="2632"/>
    </row>
    <row r="132" spans="1:6" x14ac:dyDescent="0.3">
      <c r="A132" s="170">
        <v>31090100</v>
      </c>
      <c r="B132" s="2566" t="s">
        <v>3426</v>
      </c>
      <c r="C132" s="2566"/>
      <c r="D132" s="2600"/>
      <c r="E132" s="2600"/>
      <c r="F132" s="2600"/>
    </row>
    <row r="133" spans="1:6" x14ac:dyDescent="0.3">
      <c r="A133" s="170">
        <v>31090101</v>
      </c>
      <c r="B133" s="2566" t="s">
        <v>3427</v>
      </c>
      <c r="C133" s="2566"/>
      <c r="D133" s="2600">
        <f>SUM(D134)</f>
        <v>350000000</v>
      </c>
      <c r="E133" s="2600">
        <f>SUM(E134)</f>
        <v>0</v>
      </c>
      <c r="F133" s="2600">
        <f>SUM(F134)</f>
        <v>350000000</v>
      </c>
    </row>
    <row r="134" spans="1:6" x14ac:dyDescent="0.3">
      <c r="A134" s="2562" t="s">
        <v>3422</v>
      </c>
      <c r="B134" s="1981" t="s">
        <v>3044</v>
      </c>
      <c r="C134" s="1981"/>
      <c r="D134" s="2584">
        <v>350000000</v>
      </c>
      <c r="E134" s="2584"/>
      <c r="F134" s="2584">
        <v>350000000</v>
      </c>
    </row>
    <row r="135" spans="1:6" x14ac:dyDescent="0.3">
      <c r="A135" s="170">
        <v>31090107</v>
      </c>
      <c r="B135" s="2566" t="s">
        <v>3428</v>
      </c>
      <c r="C135" s="2566"/>
      <c r="D135" s="2600">
        <f>SUM(D136)</f>
        <v>0</v>
      </c>
      <c r="E135" s="2600">
        <f>SUM(E136)</f>
        <v>0</v>
      </c>
      <c r="F135" s="2600">
        <f>SUM(F136)</f>
        <v>0</v>
      </c>
    </row>
    <row r="136" spans="1:6" x14ac:dyDescent="0.3">
      <c r="A136" s="2562" t="s">
        <v>3423</v>
      </c>
      <c r="B136" s="2582" t="s">
        <v>802</v>
      </c>
      <c r="C136" s="2582"/>
      <c r="D136" s="2584">
        <v>0</v>
      </c>
      <c r="E136" s="2584"/>
      <c r="F136" s="2584">
        <v>0</v>
      </c>
    </row>
    <row r="137" spans="1:6" x14ac:dyDescent="0.3">
      <c r="A137" s="170">
        <v>32010500</v>
      </c>
      <c r="B137" s="2566" t="s">
        <v>468</v>
      </c>
      <c r="C137" s="2566"/>
      <c r="D137" s="2600">
        <f>SUM(D138)</f>
        <v>10000000</v>
      </c>
      <c r="E137" s="2600">
        <f>SUM(E138)</f>
        <v>0</v>
      </c>
      <c r="F137" s="2600">
        <f>SUM(F138)</f>
        <v>10000000</v>
      </c>
    </row>
    <row r="138" spans="1:6" x14ac:dyDescent="0.3">
      <c r="A138" s="2562" t="s">
        <v>3424</v>
      </c>
      <c r="B138" s="2613" t="s">
        <v>803</v>
      </c>
      <c r="C138" s="2613"/>
      <c r="D138" s="2584">
        <v>10000000</v>
      </c>
      <c r="E138" s="2584"/>
      <c r="F138" s="2584">
        <v>10000000</v>
      </c>
    </row>
    <row r="139" spans="1:6" x14ac:dyDescent="0.3">
      <c r="A139" s="170">
        <v>32030100</v>
      </c>
      <c r="B139" s="2566" t="s">
        <v>472</v>
      </c>
      <c r="C139" s="2566"/>
      <c r="D139" s="2584"/>
      <c r="E139" s="2556"/>
      <c r="F139" s="2584"/>
    </row>
    <row r="140" spans="1:6" s="2599" customFormat="1" x14ac:dyDescent="0.3">
      <c r="A140" s="170">
        <v>32030109</v>
      </c>
      <c r="B140" s="2566" t="s">
        <v>3517</v>
      </c>
      <c r="C140" s="2566"/>
      <c r="D140" s="2600">
        <f>SUM(D141)</f>
        <v>40000000</v>
      </c>
      <c r="E140" s="2600">
        <f>SUM(E141)</f>
        <v>0</v>
      </c>
      <c r="F140" s="2600">
        <f>SUM(F141)</f>
        <v>40000000</v>
      </c>
    </row>
    <row r="141" spans="1:6" x14ac:dyDescent="0.3">
      <c r="A141" s="2562" t="s">
        <v>3425</v>
      </c>
      <c r="B141" s="2582" t="s">
        <v>801</v>
      </c>
      <c r="C141" s="2582"/>
      <c r="D141" s="2584">
        <v>40000000</v>
      </c>
      <c r="E141" s="2584"/>
      <c r="F141" s="2584">
        <v>40000000</v>
      </c>
    </row>
    <row r="142" spans="1:6" ht="19.5" thickBot="1" x14ac:dyDescent="0.35">
      <c r="A142" s="2614"/>
      <c r="B142" s="2615"/>
      <c r="C142" s="2615"/>
      <c r="D142" s="2633"/>
      <c r="E142" s="2634"/>
      <c r="F142" s="2633"/>
    </row>
    <row r="143" spans="1:6" s="2599" customFormat="1" ht="19.5" thickBot="1" x14ac:dyDescent="0.35">
      <c r="A143" s="2548"/>
      <c r="B143" s="2594" t="s">
        <v>2580</v>
      </c>
      <c r="C143" s="2594"/>
      <c r="D143" s="2595">
        <f>SUM(D133,D137,D140)</f>
        <v>400000000</v>
      </c>
      <c r="E143" s="2595">
        <f>SUM(E133,E137,E140)</f>
        <v>0</v>
      </c>
      <c r="F143" s="2595">
        <f>SUM(F133,F137,F140)</f>
        <v>400000000</v>
      </c>
    </row>
    <row r="146" spans="1:6" x14ac:dyDescent="0.3">
      <c r="A146" s="3517"/>
      <c r="B146" s="3517"/>
      <c r="C146" s="3517"/>
      <c r="D146" s="3517"/>
      <c r="E146" s="3517"/>
      <c r="F146" s="3517"/>
    </row>
    <row r="147" spans="1:6" s="2635" customFormat="1" ht="16.5" x14ac:dyDescent="0.25">
      <c r="A147" s="3538" t="s">
        <v>641</v>
      </c>
      <c r="B147" s="3538"/>
      <c r="C147" s="3538"/>
      <c r="D147" s="3538"/>
      <c r="E147" s="3538"/>
      <c r="F147" s="3538"/>
    </row>
    <row r="148" spans="1:6" s="2635" customFormat="1" ht="17.25" thickBot="1" x14ac:dyDescent="0.3">
      <c r="A148" s="3539" t="s">
        <v>537</v>
      </c>
      <c r="B148" s="3539"/>
      <c r="C148" s="3539"/>
      <c r="D148" s="3539"/>
      <c r="E148" s="3539"/>
      <c r="F148" s="3539"/>
    </row>
    <row r="149" spans="1:6" s="2549" customFormat="1" ht="57" thickBot="1" x14ac:dyDescent="0.25">
      <c r="A149" s="2548" t="s">
        <v>1</v>
      </c>
      <c r="B149" s="2290" t="s">
        <v>282</v>
      </c>
      <c r="C149" s="2548" t="s">
        <v>3197</v>
      </c>
      <c r="D149" s="2292" t="s">
        <v>1174</v>
      </c>
      <c r="E149" s="2292" t="s">
        <v>1145</v>
      </c>
      <c r="F149" s="2292" t="s">
        <v>3096</v>
      </c>
    </row>
    <row r="150" spans="1:6" s="2635" customFormat="1" ht="16.5" x14ac:dyDescent="0.25">
      <c r="A150" s="2636">
        <v>32000000</v>
      </c>
      <c r="B150" s="2637" t="s">
        <v>462</v>
      </c>
      <c r="C150" s="2637"/>
      <c r="D150" s="2638"/>
      <c r="E150" s="2638"/>
      <c r="F150" s="2638"/>
    </row>
    <row r="151" spans="1:6" s="2635" customFormat="1" ht="16.5" x14ac:dyDescent="0.25">
      <c r="A151" s="2639">
        <v>32010000</v>
      </c>
      <c r="B151" s="2640" t="s">
        <v>463</v>
      </c>
      <c r="C151" s="2640"/>
      <c r="D151" s="2641"/>
      <c r="E151" s="2641"/>
      <c r="F151" s="2641"/>
    </row>
    <row r="152" spans="1:6" s="2635" customFormat="1" ht="16.5" x14ac:dyDescent="0.25">
      <c r="A152" s="2639">
        <v>32010100</v>
      </c>
      <c r="B152" s="2640" t="s">
        <v>464</v>
      </c>
      <c r="C152" s="2640"/>
      <c r="D152" s="2641"/>
      <c r="E152" s="2641"/>
      <c r="F152" s="2641"/>
    </row>
    <row r="153" spans="1:6" x14ac:dyDescent="0.3">
      <c r="A153" s="2620">
        <v>32010101</v>
      </c>
      <c r="B153" s="2566" t="s">
        <v>3212</v>
      </c>
      <c r="C153" s="2566"/>
      <c r="D153" s="2600">
        <f>SUM(D154:D157)</f>
        <v>380000000</v>
      </c>
      <c r="E153" s="2600">
        <f t="shared" ref="E153:F153" si="0">SUM(E154:E157)</f>
        <v>380000000</v>
      </c>
      <c r="F153" s="2600">
        <f t="shared" si="0"/>
        <v>435000000</v>
      </c>
    </row>
    <row r="154" spans="1:6" s="2635" customFormat="1" ht="16.5" x14ac:dyDescent="0.25">
      <c r="A154" s="2642" t="s">
        <v>3430</v>
      </c>
      <c r="B154" s="2643" t="s">
        <v>810</v>
      </c>
      <c r="C154" s="2643"/>
      <c r="D154" s="2644">
        <v>290000000</v>
      </c>
      <c r="E154" s="2644">
        <v>290000000</v>
      </c>
      <c r="F154" s="2644">
        <v>0</v>
      </c>
    </row>
    <row r="155" spans="1:6" s="2635" customFormat="1" ht="16.5" x14ac:dyDescent="0.25">
      <c r="A155" s="2642" t="s">
        <v>3431</v>
      </c>
      <c r="B155" s="2643" t="s">
        <v>811</v>
      </c>
      <c r="C155" s="2643"/>
      <c r="D155" s="2644">
        <v>90000000</v>
      </c>
      <c r="E155" s="2644">
        <v>90000000</v>
      </c>
      <c r="F155" s="2644">
        <v>190000000</v>
      </c>
    </row>
    <row r="156" spans="1:6" s="2635" customFormat="1" ht="16.5" x14ac:dyDescent="0.25">
      <c r="A156" s="2642" t="s">
        <v>3432</v>
      </c>
      <c r="B156" s="2643" t="s">
        <v>3078</v>
      </c>
      <c r="C156" s="2643"/>
      <c r="D156" s="2644"/>
      <c r="E156" s="2644"/>
      <c r="F156" s="2644">
        <v>175000000</v>
      </c>
    </row>
    <row r="157" spans="1:6" s="2635" customFormat="1" ht="16.5" x14ac:dyDescent="0.25">
      <c r="A157" s="2642" t="s">
        <v>3433</v>
      </c>
      <c r="B157" s="2643" t="s">
        <v>3082</v>
      </c>
      <c r="C157" s="2643"/>
      <c r="D157" s="2644"/>
      <c r="E157" s="2644"/>
      <c r="F157" s="2644">
        <v>70000000</v>
      </c>
    </row>
    <row r="158" spans="1:6" s="2635" customFormat="1" x14ac:dyDescent="0.3">
      <c r="A158" s="2620">
        <v>32010102</v>
      </c>
      <c r="B158" s="2566" t="s">
        <v>3213</v>
      </c>
      <c r="C158" s="2643"/>
      <c r="D158" s="2600">
        <f>SUM(D159:D163)</f>
        <v>297500000</v>
      </c>
      <c r="E158" s="2600">
        <f>SUM(E159:E163)</f>
        <v>297500000</v>
      </c>
      <c r="F158" s="2600">
        <f>SUM(F159:F163)</f>
        <v>470000000</v>
      </c>
    </row>
    <row r="159" spans="1:6" s="2635" customFormat="1" ht="16.5" x14ac:dyDescent="0.25">
      <c r="A159" s="2642" t="s">
        <v>3434</v>
      </c>
      <c r="B159" s="2643" t="s">
        <v>812</v>
      </c>
      <c r="C159" s="2643"/>
      <c r="D159" s="2644">
        <v>170000000</v>
      </c>
      <c r="E159" s="2644">
        <v>170000000</v>
      </c>
      <c r="F159" s="2644"/>
    </row>
    <row r="160" spans="1:6" s="2635" customFormat="1" ht="16.5" x14ac:dyDescent="0.25">
      <c r="A160" s="2642" t="s">
        <v>3435</v>
      </c>
      <c r="B160" s="2643" t="s">
        <v>3079</v>
      </c>
      <c r="C160" s="2643"/>
      <c r="D160" s="2644"/>
      <c r="E160" s="2644"/>
      <c r="F160" s="2644">
        <v>65000000</v>
      </c>
    </row>
    <row r="161" spans="1:6" s="2635" customFormat="1" ht="16.5" x14ac:dyDescent="0.25">
      <c r="A161" s="2642" t="s">
        <v>3436</v>
      </c>
      <c r="B161" s="2643" t="s">
        <v>813</v>
      </c>
      <c r="C161" s="2643"/>
      <c r="D161" s="2644">
        <v>127500000</v>
      </c>
      <c r="E161" s="2644">
        <v>127500000</v>
      </c>
      <c r="F161" s="2644">
        <v>210000000</v>
      </c>
    </row>
    <row r="162" spans="1:6" s="2635" customFormat="1" ht="16.5" x14ac:dyDescent="0.25">
      <c r="A162" s="2642" t="s">
        <v>3437</v>
      </c>
      <c r="B162" s="2643" t="s">
        <v>3080</v>
      </c>
      <c r="C162" s="2643"/>
      <c r="D162" s="2644"/>
      <c r="E162" s="2644"/>
      <c r="F162" s="2644">
        <v>75000000</v>
      </c>
    </row>
    <row r="163" spans="1:6" s="2635" customFormat="1" ht="16.5" x14ac:dyDescent="0.25">
      <c r="A163" s="2642" t="s">
        <v>4187</v>
      </c>
      <c r="B163" s="2643" t="s">
        <v>3081</v>
      </c>
      <c r="C163" s="2643"/>
      <c r="D163" s="2644"/>
      <c r="E163" s="2644"/>
      <c r="F163" s="2644">
        <v>120000000</v>
      </c>
    </row>
    <row r="164" spans="1:6" s="2635" customFormat="1" ht="16.5" x14ac:dyDescent="0.25">
      <c r="A164" s="2639">
        <v>32010300</v>
      </c>
      <c r="B164" s="2645" t="s">
        <v>466</v>
      </c>
      <c r="C164" s="2640"/>
      <c r="D164" s="2644"/>
      <c r="E164" s="2641"/>
      <c r="F164" s="2644"/>
    </row>
    <row r="165" spans="1:6" s="2635" customFormat="1" ht="16.5" x14ac:dyDescent="0.25">
      <c r="A165" s="2639">
        <v>32010305</v>
      </c>
      <c r="B165" s="2645" t="s">
        <v>3206</v>
      </c>
      <c r="C165" s="2640"/>
      <c r="D165" s="2646">
        <f>SUM(D166:D166)</f>
        <v>50000000</v>
      </c>
      <c r="E165" s="2646">
        <f>SUM(E166:E166)</f>
        <v>50000000</v>
      </c>
      <c r="F165" s="2646">
        <f>SUM(F166:F166)</f>
        <v>150000000</v>
      </c>
    </row>
    <row r="166" spans="1:6" s="2635" customFormat="1" ht="16.5" x14ac:dyDescent="0.25">
      <c r="A166" s="2642" t="s">
        <v>4188</v>
      </c>
      <c r="B166" s="2647" t="s">
        <v>518</v>
      </c>
      <c r="C166" s="2643"/>
      <c r="D166" s="2644">
        <v>50000000</v>
      </c>
      <c r="E166" s="2644">
        <v>50000000</v>
      </c>
      <c r="F166" s="2644">
        <v>150000000</v>
      </c>
    </row>
    <row r="167" spans="1:6" s="2635" customFormat="1" ht="16.5" x14ac:dyDescent="0.25">
      <c r="A167" s="2639">
        <v>32010400</v>
      </c>
      <c r="B167" s="2645" t="s">
        <v>3411</v>
      </c>
      <c r="C167" s="2640"/>
      <c r="D167" s="2641"/>
      <c r="E167" s="2641"/>
      <c r="F167" s="2641"/>
    </row>
    <row r="168" spans="1:6" s="2635" customFormat="1" ht="16.5" x14ac:dyDescent="0.25">
      <c r="A168" s="2639">
        <v>32010405</v>
      </c>
      <c r="B168" s="2645" t="s">
        <v>3452</v>
      </c>
      <c r="C168" s="2640"/>
      <c r="D168" s="2648">
        <f>SUM(D169:D169)</f>
        <v>80000000</v>
      </c>
      <c r="E168" s="2648">
        <f>SUM(E169:E169)</f>
        <v>80000000</v>
      </c>
      <c r="F168" s="2648">
        <f>SUM(F169:F170)</f>
        <v>135000000</v>
      </c>
    </row>
    <row r="169" spans="1:6" s="2635" customFormat="1" ht="16.5" x14ac:dyDescent="0.25">
      <c r="A169" s="2642" t="s">
        <v>3438</v>
      </c>
      <c r="B169" s="2647" t="s">
        <v>297</v>
      </c>
      <c r="C169" s="2643"/>
      <c r="D169" s="2644">
        <v>80000000</v>
      </c>
      <c r="E169" s="2644">
        <v>80000000</v>
      </c>
      <c r="F169" s="2644">
        <v>60000000</v>
      </c>
    </row>
    <row r="170" spans="1:6" s="2635" customFormat="1" ht="16.5" x14ac:dyDescent="0.25">
      <c r="A170" s="2642" t="s">
        <v>3439</v>
      </c>
      <c r="B170" s="2647" t="s">
        <v>3087</v>
      </c>
      <c r="C170" s="2643"/>
      <c r="D170" s="2644"/>
      <c r="E170" s="2641"/>
      <c r="F170" s="2644">
        <v>75000000</v>
      </c>
    </row>
    <row r="171" spans="1:6" s="2635" customFormat="1" ht="16.5" x14ac:dyDescent="0.25">
      <c r="A171" s="2649">
        <v>32010500</v>
      </c>
      <c r="B171" s="2650" t="s">
        <v>3413</v>
      </c>
      <c r="C171" s="2643"/>
      <c r="D171" s="2644"/>
      <c r="E171" s="2644"/>
      <c r="F171" s="2644"/>
    </row>
    <row r="172" spans="1:6" s="2635" customFormat="1" ht="16.5" x14ac:dyDescent="0.25">
      <c r="A172" s="2649">
        <v>32010501</v>
      </c>
      <c r="B172" s="2650" t="s">
        <v>3414</v>
      </c>
      <c r="C172" s="2643"/>
      <c r="D172" s="2646">
        <f>SUM(D173:D175)</f>
        <v>0</v>
      </c>
      <c r="E172" s="2646">
        <f>SUM(E173:E175)</f>
        <v>0</v>
      </c>
      <c r="F172" s="2646">
        <f>SUM(F173:F175)</f>
        <v>105000000</v>
      </c>
    </row>
    <row r="173" spans="1:6" s="2635" customFormat="1" ht="16.5" x14ac:dyDescent="0.25">
      <c r="A173" s="2642" t="s">
        <v>3440</v>
      </c>
      <c r="B173" s="2647" t="s">
        <v>3083</v>
      </c>
      <c r="C173" s="2643"/>
      <c r="D173" s="2644">
        <v>0</v>
      </c>
      <c r="E173" s="2644" t="s">
        <v>179</v>
      </c>
      <c r="F173" s="2644">
        <v>30000000</v>
      </c>
    </row>
    <row r="174" spans="1:6" s="2635" customFormat="1" ht="16.5" x14ac:dyDescent="0.25">
      <c r="A174" s="2642" t="s">
        <v>3441</v>
      </c>
      <c r="B174" s="2647" t="s">
        <v>3085</v>
      </c>
      <c r="C174" s="2643"/>
      <c r="D174" s="2644"/>
      <c r="E174" s="2644"/>
      <c r="F174" s="2644">
        <v>60000000</v>
      </c>
    </row>
    <row r="175" spans="1:6" s="2635" customFormat="1" ht="16.5" x14ac:dyDescent="0.25">
      <c r="A175" s="2642" t="s">
        <v>3442</v>
      </c>
      <c r="B175" s="2647" t="s">
        <v>3084</v>
      </c>
      <c r="C175" s="2647"/>
      <c r="D175" s="2644"/>
      <c r="E175" s="2644"/>
      <c r="F175" s="2644">
        <v>15000000</v>
      </c>
    </row>
    <row r="176" spans="1:6" x14ac:dyDescent="0.3">
      <c r="A176" s="2649">
        <v>32010510</v>
      </c>
      <c r="B176" s="2599" t="s">
        <v>3453</v>
      </c>
      <c r="D176" s="2646">
        <f>SUM(D177:D178)</f>
        <v>47500000</v>
      </c>
      <c r="E176" s="2646">
        <f t="shared" ref="E176:F176" si="1">SUM(E177:E178)</f>
        <v>47500000</v>
      </c>
      <c r="F176" s="2646">
        <f t="shared" si="1"/>
        <v>0</v>
      </c>
    </row>
    <row r="177" spans="1:6" s="2635" customFormat="1" ht="16.5" x14ac:dyDescent="0.25">
      <c r="A177" s="2642" t="s">
        <v>3443</v>
      </c>
      <c r="B177" s="2643" t="s">
        <v>815</v>
      </c>
      <c r="C177" s="2651"/>
      <c r="D177" s="2652">
        <v>27500000</v>
      </c>
      <c r="E177" s="2652">
        <v>27500000</v>
      </c>
      <c r="F177" s="2652"/>
    </row>
    <row r="178" spans="1:6" s="2635" customFormat="1" ht="16.5" x14ac:dyDescent="0.25">
      <c r="A178" s="2642" t="s">
        <v>3444</v>
      </c>
      <c r="B178" s="2643" t="s">
        <v>814</v>
      </c>
      <c r="C178" s="2643"/>
      <c r="D178" s="2644">
        <v>20000000</v>
      </c>
      <c r="E178" s="2644">
        <v>20000000</v>
      </c>
      <c r="F178" s="2644"/>
    </row>
    <row r="179" spans="1:6" s="2635" customFormat="1" ht="16.5" x14ac:dyDescent="0.25">
      <c r="A179" s="2639">
        <v>32010600</v>
      </c>
      <c r="B179" s="2653" t="s">
        <v>469</v>
      </c>
      <c r="C179" s="2643"/>
      <c r="D179" s="2644"/>
      <c r="E179" s="2644"/>
      <c r="F179" s="2644"/>
    </row>
    <row r="180" spans="1:6" s="2635" customFormat="1" ht="16.5" x14ac:dyDescent="0.25">
      <c r="A180" s="2639">
        <v>32010601</v>
      </c>
      <c r="B180" s="2653" t="s">
        <v>3429</v>
      </c>
      <c r="C180" s="2653"/>
      <c r="D180" s="2646">
        <f>SUM(D181:D182)</f>
        <v>10000000</v>
      </c>
      <c r="E180" s="2646">
        <f t="shared" ref="E180:F180" si="2">SUM(E181:E182)</f>
        <v>10000000</v>
      </c>
      <c r="F180" s="2646">
        <f t="shared" si="2"/>
        <v>30000000</v>
      </c>
    </row>
    <row r="181" spans="1:6" s="2635" customFormat="1" ht="16.5" x14ac:dyDescent="0.25">
      <c r="A181" s="2642" t="s">
        <v>3445</v>
      </c>
      <c r="B181" s="2647" t="s">
        <v>3086</v>
      </c>
      <c r="C181" s="2643"/>
      <c r="D181" s="2644"/>
      <c r="E181" s="2644"/>
      <c r="F181" s="2644">
        <v>30000000</v>
      </c>
    </row>
    <row r="182" spans="1:6" s="2635" customFormat="1" ht="16.5" x14ac:dyDescent="0.25">
      <c r="A182" s="2642" t="s">
        <v>3446</v>
      </c>
      <c r="B182" s="2643" t="s">
        <v>519</v>
      </c>
      <c r="C182" s="2643"/>
      <c r="D182" s="2644">
        <v>10000000</v>
      </c>
      <c r="E182" s="2644">
        <v>10000000</v>
      </c>
      <c r="F182" s="2644"/>
    </row>
    <row r="183" spans="1:6" s="2635" customFormat="1" ht="16.5" x14ac:dyDescent="0.25">
      <c r="A183" s="2639">
        <v>32030100</v>
      </c>
      <c r="B183" s="2650" t="s">
        <v>472</v>
      </c>
      <c r="C183" s="2653"/>
      <c r="D183" s="2644"/>
      <c r="E183" s="2638"/>
      <c r="F183" s="2644"/>
    </row>
    <row r="184" spans="1:6" s="2654" customFormat="1" ht="16.5" x14ac:dyDescent="0.25">
      <c r="A184" s="2639">
        <v>32030109</v>
      </c>
      <c r="B184" s="2653" t="s">
        <v>3517</v>
      </c>
      <c r="C184" s="2653"/>
      <c r="D184" s="2646">
        <f>SUM(D185:D186)</f>
        <v>0</v>
      </c>
      <c r="E184" s="2646">
        <f>SUM(E185:E186)</f>
        <v>0</v>
      </c>
      <c r="F184" s="2646">
        <f>SUM(F185:F186)</f>
        <v>510000000</v>
      </c>
    </row>
    <row r="185" spans="1:6" s="2635" customFormat="1" ht="16.5" x14ac:dyDescent="0.25">
      <c r="A185" s="2642" t="s">
        <v>3447</v>
      </c>
      <c r="B185" s="2647" t="s">
        <v>240</v>
      </c>
      <c r="C185" s="2643"/>
      <c r="D185" s="2644">
        <v>0</v>
      </c>
      <c r="E185" s="2644">
        <v>0</v>
      </c>
      <c r="F185" s="2644">
        <v>170000000</v>
      </c>
    </row>
    <row r="186" spans="1:6" s="2635" customFormat="1" ht="16.5" x14ac:dyDescent="0.25">
      <c r="A186" s="2642" t="s">
        <v>3448</v>
      </c>
      <c r="B186" s="2647" t="s">
        <v>3090</v>
      </c>
      <c r="C186" s="2643"/>
      <c r="D186" s="2644"/>
      <c r="E186" s="2644"/>
      <c r="F186" s="2644">
        <v>340000000</v>
      </c>
    </row>
    <row r="187" spans="1:6" s="2656" customFormat="1" ht="15.75" x14ac:dyDescent="0.2">
      <c r="A187" s="2273">
        <v>22020300</v>
      </c>
      <c r="B187" s="2274" t="s">
        <v>66</v>
      </c>
      <c r="C187" s="2265"/>
      <c r="D187" s="2265"/>
      <c r="E187" s="2265"/>
      <c r="F187" s="2655"/>
    </row>
    <row r="188" spans="1:6" s="2635" customFormat="1" ht="16.5" x14ac:dyDescent="0.25">
      <c r="A188" s="2273">
        <v>22020302</v>
      </c>
      <c r="B188" s="2650" t="s">
        <v>18</v>
      </c>
      <c r="C188" s="2647"/>
      <c r="D188" s="2646">
        <f>SUM(D189:D191)</f>
        <v>30000000</v>
      </c>
      <c r="E188" s="2646">
        <f>SUM(E189:E191)</f>
        <v>30000000</v>
      </c>
      <c r="F188" s="2646">
        <f>SUM(F189:F191)</f>
        <v>52000000</v>
      </c>
    </row>
    <row r="189" spans="1:6" s="2635" customFormat="1" ht="16.5" x14ac:dyDescent="0.25">
      <c r="A189" s="2642" t="s">
        <v>3449</v>
      </c>
      <c r="B189" s="2647" t="s">
        <v>239</v>
      </c>
      <c r="C189" s="2647"/>
      <c r="D189" s="2644">
        <v>30000000</v>
      </c>
      <c r="E189" s="2644">
        <v>30000000</v>
      </c>
      <c r="F189" s="2644">
        <v>40000000</v>
      </c>
    </row>
    <row r="190" spans="1:6" s="2635" customFormat="1" ht="16.5" x14ac:dyDescent="0.25">
      <c r="A190" s="2642" t="s">
        <v>3450</v>
      </c>
      <c r="B190" s="2647" t="s">
        <v>3089</v>
      </c>
      <c r="C190" s="2643"/>
      <c r="D190" s="2644"/>
      <c r="E190" s="2644"/>
      <c r="F190" s="2644">
        <v>5000000</v>
      </c>
    </row>
    <row r="191" spans="1:6" s="2635" customFormat="1" ht="16.5" x14ac:dyDescent="0.25">
      <c r="A191" s="2642" t="s">
        <v>3451</v>
      </c>
      <c r="B191" s="2647" t="s">
        <v>3088</v>
      </c>
      <c r="C191" s="2647"/>
      <c r="D191" s="2644"/>
      <c r="E191" s="2644"/>
      <c r="F191" s="2644">
        <v>7000000</v>
      </c>
    </row>
    <row r="192" spans="1:6" s="2635" customFormat="1" ht="17.25" thickBot="1" x14ac:dyDescent="0.3">
      <c r="A192" s="2657"/>
      <c r="B192" s="2658"/>
      <c r="C192" s="2659"/>
      <c r="D192" s="2660"/>
      <c r="E192" s="2660"/>
      <c r="F192" s="2660"/>
    </row>
    <row r="193" spans="1:6" s="2654" customFormat="1" ht="17.25" thickBot="1" x14ac:dyDescent="0.3">
      <c r="A193" s="2661"/>
      <c r="B193" s="2662" t="s">
        <v>2581</v>
      </c>
      <c r="C193" s="2662"/>
      <c r="D193" s="2663">
        <f>SUM(D153,D158,D180,D172,D176,D165,D168,D184,D188)</f>
        <v>895000000</v>
      </c>
      <c r="E193" s="2663">
        <f t="shared" ref="E193:F193" si="3">SUM(E153,E158,E180,E172,E176,E165,E168,E184,E188)</f>
        <v>895000000</v>
      </c>
      <c r="F193" s="2663">
        <f t="shared" si="3"/>
        <v>1887000000</v>
      </c>
    </row>
    <row r="194" spans="1:6" s="2599" customFormat="1" x14ac:dyDescent="0.3">
      <c r="A194" s="2596"/>
      <c r="B194" s="2577"/>
      <c r="C194" s="2577"/>
      <c r="D194" s="2578"/>
      <c r="E194" s="2578"/>
      <c r="F194" s="2578"/>
    </row>
    <row r="195" spans="1:6" s="2599" customFormat="1" x14ac:dyDescent="0.3">
      <c r="A195" s="2596"/>
      <c r="B195" s="2577"/>
      <c r="C195" s="2577"/>
      <c r="D195" s="2578"/>
      <c r="E195" s="2578"/>
      <c r="F195" s="2578"/>
    </row>
    <row r="196" spans="1:6" x14ac:dyDescent="0.3">
      <c r="A196" s="3517" t="s">
        <v>641</v>
      </c>
      <c r="B196" s="3517"/>
      <c r="C196" s="3517"/>
      <c r="D196" s="3517"/>
      <c r="E196" s="3517"/>
      <c r="F196" s="3517"/>
    </row>
    <row r="197" spans="1:6" ht="19.5" thickBot="1" x14ac:dyDescent="0.35">
      <c r="A197" s="3516" t="s">
        <v>1257</v>
      </c>
      <c r="B197" s="3516"/>
      <c r="C197" s="3516"/>
      <c r="D197" s="3516"/>
      <c r="E197" s="3516"/>
      <c r="F197" s="3516"/>
    </row>
    <row r="198" spans="1:6" s="2549" customFormat="1" ht="57" thickBot="1" x14ac:dyDescent="0.25">
      <c r="A198" s="2548" t="s">
        <v>1</v>
      </c>
      <c r="B198" s="2290" t="s">
        <v>282</v>
      </c>
      <c r="C198" s="2548" t="s">
        <v>3197</v>
      </c>
      <c r="D198" s="2292" t="s">
        <v>1174</v>
      </c>
      <c r="E198" s="2292" t="s">
        <v>1145</v>
      </c>
      <c r="F198" s="2292" t="s">
        <v>3096</v>
      </c>
    </row>
    <row r="199" spans="1:6" x14ac:dyDescent="0.3">
      <c r="A199" s="2664">
        <v>32000000</v>
      </c>
      <c r="B199" s="2579" t="s">
        <v>462</v>
      </c>
      <c r="C199" s="2579"/>
      <c r="D199" s="2580"/>
      <c r="E199" s="2580"/>
      <c r="F199" s="2580"/>
    </row>
    <row r="200" spans="1:6" x14ac:dyDescent="0.3">
      <c r="A200" s="2553">
        <v>32010000</v>
      </c>
      <c r="B200" s="2555" t="s">
        <v>463</v>
      </c>
      <c r="C200" s="2555"/>
      <c r="D200" s="2556"/>
      <c r="E200" s="2556"/>
      <c r="F200" s="2556"/>
    </row>
    <row r="201" spans="1:6" x14ac:dyDescent="0.3">
      <c r="A201" s="2553">
        <v>32010101</v>
      </c>
      <c r="B201" s="2555" t="s">
        <v>3212</v>
      </c>
      <c r="C201" s="2555"/>
      <c r="D201" s="2665">
        <f>SUM(D202)</f>
        <v>10000000</v>
      </c>
      <c r="E201" s="2665">
        <f>SUM(E202)</f>
        <v>0</v>
      </c>
      <c r="F201" s="2665">
        <f>SUM(F202)</f>
        <v>10000000</v>
      </c>
    </row>
    <row r="202" spans="1:6" x14ac:dyDescent="0.3">
      <c r="A202" s="2562" t="s">
        <v>3454</v>
      </c>
      <c r="B202" s="2588" t="s">
        <v>3474</v>
      </c>
      <c r="C202" s="2588"/>
      <c r="D202" s="2584">
        <v>10000000</v>
      </c>
      <c r="E202" s="2584"/>
      <c r="F202" s="2584">
        <v>10000000</v>
      </c>
    </row>
    <row r="203" spans="1:6" x14ac:dyDescent="0.3">
      <c r="A203" s="2666">
        <v>32010400</v>
      </c>
      <c r="B203" s="2558" t="s">
        <v>467</v>
      </c>
      <c r="C203" s="2558"/>
      <c r="D203" s="2559"/>
      <c r="E203" s="2559"/>
      <c r="F203" s="2559"/>
    </row>
    <row r="204" spans="1:6" x14ac:dyDescent="0.3">
      <c r="A204" s="170">
        <v>32010405</v>
      </c>
      <c r="B204" s="2566" t="s">
        <v>3461</v>
      </c>
      <c r="C204" s="1981"/>
      <c r="D204" s="2665">
        <f>SUM(D205:D207)</f>
        <v>113000000</v>
      </c>
      <c r="E204" s="2665">
        <f>SUM(E205:E207)</f>
        <v>28125500</v>
      </c>
      <c r="F204" s="2665">
        <f>SUM(F205:F207)</f>
        <v>113000000</v>
      </c>
    </row>
    <row r="205" spans="1:6" x14ac:dyDescent="0.3">
      <c r="A205" s="2562" t="s">
        <v>3455</v>
      </c>
      <c r="B205" s="1981" t="s">
        <v>343</v>
      </c>
      <c r="C205" s="1981"/>
      <c r="D205" s="2584">
        <v>0</v>
      </c>
      <c r="E205" s="2584"/>
      <c r="F205" s="2667">
        <v>0</v>
      </c>
    </row>
    <row r="206" spans="1:6" x14ac:dyDescent="0.3">
      <c r="A206" s="2562" t="s">
        <v>3456</v>
      </c>
      <c r="B206" s="1981" t="s">
        <v>501</v>
      </c>
      <c r="C206" s="1981"/>
      <c r="D206" s="2584">
        <v>93000000</v>
      </c>
      <c r="E206" s="2584">
        <v>28125500</v>
      </c>
      <c r="F206" s="2584">
        <v>93000000</v>
      </c>
    </row>
    <row r="207" spans="1:6" x14ac:dyDescent="0.3">
      <c r="A207" s="2562" t="s">
        <v>3457</v>
      </c>
      <c r="B207" s="1981" t="s">
        <v>2582</v>
      </c>
      <c r="C207" s="1981"/>
      <c r="D207" s="2584">
        <v>20000000</v>
      </c>
      <c r="E207" s="2584"/>
      <c r="F207" s="2584">
        <v>20000000</v>
      </c>
    </row>
    <row r="208" spans="1:6" x14ac:dyDescent="0.3">
      <c r="A208" s="170">
        <v>32010500</v>
      </c>
      <c r="B208" s="2558" t="s">
        <v>468</v>
      </c>
      <c r="C208" s="2558"/>
      <c r="D208" s="2584"/>
      <c r="E208" s="2559"/>
      <c r="F208" s="2584"/>
    </row>
    <row r="209" spans="1:6" s="2635" customFormat="1" x14ac:dyDescent="0.3">
      <c r="A209" s="2649">
        <v>32010501</v>
      </c>
      <c r="B209" s="2650" t="s">
        <v>3414</v>
      </c>
      <c r="C209" s="2643"/>
      <c r="D209" s="2665">
        <f>SUM(D210)</f>
        <v>7000000</v>
      </c>
      <c r="E209" s="2665">
        <f>SUM(E210)</f>
        <v>360000</v>
      </c>
      <c r="F209" s="2665">
        <f>SUM(F210)</f>
        <v>5000000</v>
      </c>
    </row>
    <row r="210" spans="1:6" x14ac:dyDescent="0.3">
      <c r="A210" s="2562" t="s">
        <v>3462</v>
      </c>
      <c r="B210" s="1981" t="s">
        <v>820</v>
      </c>
      <c r="C210" s="1981"/>
      <c r="D210" s="2584">
        <v>7000000</v>
      </c>
      <c r="E210" s="2584">
        <v>360000</v>
      </c>
      <c r="F210" s="2584">
        <v>5000000</v>
      </c>
    </row>
    <row r="211" spans="1:6" s="2599" customFormat="1" x14ac:dyDescent="0.3">
      <c r="A211" s="170">
        <v>32010508</v>
      </c>
      <c r="B211" s="2566" t="s">
        <v>3460</v>
      </c>
      <c r="C211" s="2566"/>
      <c r="D211" s="2665">
        <f>SUM(D212)</f>
        <v>2000000</v>
      </c>
      <c r="E211" s="2665">
        <f t="shared" ref="E211:F211" si="4">SUM(E212)</f>
        <v>0</v>
      </c>
      <c r="F211" s="2665">
        <f t="shared" si="4"/>
        <v>2000000</v>
      </c>
    </row>
    <row r="212" spans="1:6" x14ac:dyDescent="0.3">
      <c r="A212" s="2562" t="s">
        <v>3463</v>
      </c>
      <c r="B212" s="1981" t="s">
        <v>3458</v>
      </c>
      <c r="C212" s="1981"/>
      <c r="D212" s="2584">
        <v>2000000</v>
      </c>
      <c r="E212" s="2584"/>
      <c r="F212" s="2584">
        <v>2000000</v>
      </c>
    </row>
    <row r="213" spans="1:6" x14ac:dyDescent="0.3">
      <c r="A213" s="170">
        <v>32010510</v>
      </c>
      <c r="B213" s="2558" t="s">
        <v>3453</v>
      </c>
      <c r="C213" s="2558"/>
      <c r="D213" s="2665">
        <f>SUM(D214:D221)</f>
        <v>24000000</v>
      </c>
      <c r="E213" s="2665">
        <f>SUM(E214:E221)</f>
        <v>0</v>
      </c>
      <c r="F213" s="2665">
        <f>SUM(F214:F221)</f>
        <v>32000000</v>
      </c>
    </row>
    <row r="214" spans="1:6" x14ac:dyDescent="0.3">
      <c r="A214" s="2562" t="s">
        <v>3464</v>
      </c>
      <c r="B214" s="1981" t="s">
        <v>500</v>
      </c>
      <c r="C214" s="1981"/>
      <c r="D214" s="2584">
        <v>0</v>
      </c>
      <c r="E214" s="2584"/>
      <c r="F214" s="2584">
        <v>15000000</v>
      </c>
    </row>
    <row r="215" spans="1:6" x14ac:dyDescent="0.3">
      <c r="A215" s="2562" t="s">
        <v>3465</v>
      </c>
      <c r="B215" s="1981" t="s">
        <v>3459</v>
      </c>
      <c r="C215" s="1981"/>
      <c r="D215" s="2584">
        <v>5000000</v>
      </c>
      <c r="E215" s="2584"/>
      <c r="F215" s="2584">
        <v>5000000</v>
      </c>
    </row>
    <row r="216" spans="1:6" x14ac:dyDescent="0.3">
      <c r="A216" s="2562" t="s">
        <v>3466</v>
      </c>
      <c r="B216" s="1981" t="s">
        <v>818</v>
      </c>
      <c r="C216" s="1981"/>
      <c r="D216" s="2584">
        <v>0</v>
      </c>
      <c r="E216" s="2584"/>
      <c r="F216" s="2667">
        <v>0</v>
      </c>
    </row>
    <row r="217" spans="1:6" x14ac:dyDescent="0.3">
      <c r="A217" s="2562" t="s">
        <v>3467</v>
      </c>
      <c r="B217" s="2588" t="s">
        <v>819</v>
      </c>
      <c r="C217" s="2588"/>
      <c r="D217" s="2584">
        <v>10000000</v>
      </c>
      <c r="E217" s="2584"/>
      <c r="F217" s="2584">
        <v>10000000</v>
      </c>
    </row>
    <row r="218" spans="1:6" x14ac:dyDescent="0.3">
      <c r="A218" s="2562" t="s">
        <v>3468</v>
      </c>
      <c r="B218" s="2668" t="s">
        <v>823</v>
      </c>
      <c r="C218" s="2669"/>
      <c r="D218" s="2559">
        <v>9000000</v>
      </c>
      <c r="E218" s="2559"/>
      <c r="F218" s="2670">
        <v>0</v>
      </c>
    </row>
    <row r="219" spans="1:6" x14ac:dyDescent="0.3">
      <c r="A219" s="2562" t="s">
        <v>3469</v>
      </c>
      <c r="B219" s="2669" t="s">
        <v>822</v>
      </c>
      <c r="C219" s="2669"/>
      <c r="D219" s="2559">
        <v>0</v>
      </c>
      <c r="E219" s="2559"/>
      <c r="F219" s="2670">
        <v>0</v>
      </c>
    </row>
    <row r="220" spans="1:6" x14ac:dyDescent="0.3">
      <c r="A220" s="2562" t="s">
        <v>3470</v>
      </c>
      <c r="B220" s="2669" t="s">
        <v>1467</v>
      </c>
      <c r="C220" s="2669"/>
      <c r="D220" s="2559"/>
      <c r="E220" s="2559"/>
      <c r="F220" s="2559">
        <v>1000000</v>
      </c>
    </row>
    <row r="221" spans="1:6" x14ac:dyDescent="0.3">
      <c r="A221" s="2562" t="s">
        <v>3471</v>
      </c>
      <c r="B221" s="2669" t="s">
        <v>1468</v>
      </c>
      <c r="C221" s="2669"/>
      <c r="D221" s="2559"/>
      <c r="E221" s="2559"/>
      <c r="F221" s="2559">
        <v>1000000</v>
      </c>
    </row>
    <row r="222" spans="1:6" x14ac:dyDescent="0.3">
      <c r="A222" s="170">
        <v>32030100</v>
      </c>
      <c r="B222" s="2607" t="s">
        <v>472</v>
      </c>
      <c r="C222" s="2566"/>
      <c r="D222" s="2586"/>
      <c r="E222" s="2586"/>
      <c r="F222" s="2586"/>
    </row>
    <row r="223" spans="1:6" s="2654" customFormat="1" x14ac:dyDescent="0.3">
      <c r="A223" s="2639">
        <v>32030109</v>
      </c>
      <c r="B223" s="2653" t="s">
        <v>3517</v>
      </c>
      <c r="C223" s="2653"/>
      <c r="D223" s="2671">
        <f>SUM(D224:D225)</f>
        <v>7000000</v>
      </c>
      <c r="E223" s="2671">
        <f>SUM(E224:E225)</f>
        <v>0</v>
      </c>
      <c r="F223" s="2671">
        <f>SUM(F224:F225)</f>
        <v>7000000</v>
      </c>
    </row>
    <row r="224" spans="1:6" x14ac:dyDescent="0.3">
      <c r="A224" s="2562" t="s">
        <v>3472</v>
      </c>
      <c r="B224" s="1981" t="s">
        <v>821</v>
      </c>
      <c r="C224" s="1981"/>
      <c r="D224" s="2584">
        <v>4000000</v>
      </c>
      <c r="E224" s="2584"/>
      <c r="F224" s="2584">
        <v>4000000</v>
      </c>
    </row>
    <row r="225" spans="1:6" ht="21.75" customHeight="1" x14ac:dyDescent="0.3">
      <c r="A225" s="2562" t="s">
        <v>3473</v>
      </c>
      <c r="B225" s="2672" t="s">
        <v>817</v>
      </c>
      <c r="C225" s="2673"/>
      <c r="D225" s="2622">
        <v>3000000</v>
      </c>
      <c r="E225" s="2556"/>
      <c r="F225" s="2622">
        <v>3000000</v>
      </c>
    </row>
    <row r="226" spans="1:6" ht="19.5" thickBot="1" x14ac:dyDescent="0.35">
      <c r="A226" s="2674"/>
      <c r="B226" s="2675"/>
      <c r="C226" s="2675"/>
      <c r="D226" s="2676"/>
      <c r="E226" s="2677"/>
      <c r="F226" s="2676"/>
    </row>
    <row r="227" spans="1:6" s="2599" customFormat="1" ht="19.5" thickBot="1" x14ac:dyDescent="0.35">
      <c r="A227" s="2678"/>
      <c r="B227" s="2679" t="s">
        <v>2583</v>
      </c>
      <c r="C227" s="2679"/>
      <c r="D227" s="2595">
        <f>SUM(D201,D204,D209,D211,D213,D223)</f>
        <v>163000000</v>
      </c>
      <c r="E227" s="2595">
        <f>SUM(E201,E204,E209,E211,E213,E223)</f>
        <v>28485500</v>
      </c>
      <c r="F227" s="2595">
        <f>SUM(F201,F204,F209,F211,F213,F223)</f>
        <v>169000000</v>
      </c>
    </row>
    <row r="228" spans="1:6" x14ac:dyDescent="0.3">
      <c r="A228" s="2576"/>
      <c r="B228" s="2680"/>
      <c r="C228" s="2680"/>
      <c r="D228" s="2578"/>
      <c r="E228" s="2681"/>
      <c r="F228" s="2578"/>
    </row>
    <row r="229" spans="1:6" x14ac:dyDescent="0.3">
      <c r="A229" s="3535"/>
      <c r="B229" s="3535"/>
      <c r="C229" s="3535"/>
      <c r="D229" s="3535"/>
      <c r="E229" s="3535"/>
      <c r="F229" s="3535"/>
    </row>
    <row r="230" spans="1:6" x14ac:dyDescent="0.3">
      <c r="A230" s="3518" t="s">
        <v>641</v>
      </c>
      <c r="B230" s="3518"/>
      <c r="C230" s="3518"/>
      <c r="D230" s="3518"/>
      <c r="E230" s="3518"/>
      <c r="F230" s="3518"/>
    </row>
    <row r="231" spans="1:6" ht="19.5" thickBot="1" x14ac:dyDescent="0.35">
      <c r="A231" s="3517" t="s">
        <v>538</v>
      </c>
      <c r="B231" s="3517"/>
      <c r="C231" s="3517"/>
      <c r="D231" s="3517"/>
      <c r="E231" s="3517"/>
      <c r="F231" s="3517"/>
    </row>
    <row r="232" spans="1:6" s="2549" customFormat="1" ht="57" thickBot="1" x14ac:dyDescent="0.25">
      <c r="A232" s="2548" t="s">
        <v>1</v>
      </c>
      <c r="B232" s="2290" t="s">
        <v>282</v>
      </c>
      <c r="C232" s="2548" t="s">
        <v>3197</v>
      </c>
      <c r="D232" s="2292" t="s">
        <v>1174</v>
      </c>
      <c r="E232" s="2292" t="s">
        <v>1145</v>
      </c>
      <c r="F232" s="2292" t="s">
        <v>3096</v>
      </c>
    </row>
    <row r="233" spans="1:6" s="2684" customFormat="1" x14ac:dyDescent="0.2">
      <c r="A233" s="2664">
        <v>32000000</v>
      </c>
      <c r="B233" s="2682" t="s">
        <v>462</v>
      </c>
      <c r="C233" s="2682"/>
      <c r="D233" s="2683"/>
      <c r="E233" s="2683"/>
      <c r="F233" s="2683"/>
    </row>
    <row r="234" spans="1:6" s="2684" customFormat="1" x14ac:dyDescent="0.2">
      <c r="A234" s="170">
        <v>32010000</v>
      </c>
      <c r="B234" s="2685" t="s">
        <v>463</v>
      </c>
      <c r="C234" s="2685"/>
      <c r="D234" s="2686"/>
      <c r="E234" s="2686"/>
      <c r="F234" s="2686"/>
    </row>
    <row r="235" spans="1:6" s="2684" customFormat="1" x14ac:dyDescent="0.2">
      <c r="A235" s="170">
        <v>32010100</v>
      </c>
      <c r="B235" s="2685" t="s">
        <v>464</v>
      </c>
      <c r="C235" s="2685"/>
      <c r="D235" s="2687"/>
      <c r="E235" s="2686"/>
      <c r="F235" s="2687"/>
    </row>
    <row r="236" spans="1:6" s="2689" customFormat="1" x14ac:dyDescent="0.2">
      <c r="A236" s="170">
        <v>32010101</v>
      </c>
      <c r="B236" s="2685" t="s">
        <v>3212</v>
      </c>
      <c r="C236" s="2685"/>
      <c r="D236" s="2688">
        <f>SUM(D237:D238)</f>
        <v>0</v>
      </c>
      <c r="E236" s="2688">
        <f>SUM(E237:E238)</f>
        <v>0</v>
      </c>
      <c r="F236" s="2688">
        <f>SUM(F237:F238)</f>
        <v>20000000</v>
      </c>
    </row>
    <row r="237" spans="1:6" x14ac:dyDescent="0.3">
      <c r="A237" s="2690" t="s">
        <v>3475</v>
      </c>
      <c r="B237" s="2669" t="s">
        <v>824</v>
      </c>
      <c r="C237" s="2669"/>
      <c r="D237" s="2622">
        <v>0</v>
      </c>
      <c r="E237" s="2556"/>
      <c r="F237" s="2622">
        <v>20000000</v>
      </c>
    </row>
    <row r="238" spans="1:6" x14ac:dyDescent="0.3">
      <c r="A238" s="2690" t="s">
        <v>3476</v>
      </c>
      <c r="B238" s="2669" t="s">
        <v>825</v>
      </c>
      <c r="C238" s="2669"/>
      <c r="D238" s="2622">
        <v>0</v>
      </c>
      <c r="E238" s="2556"/>
      <c r="F238" s="2691">
        <v>0</v>
      </c>
    </row>
    <row r="239" spans="1:6" x14ac:dyDescent="0.3">
      <c r="A239" s="170">
        <v>32010400</v>
      </c>
      <c r="B239" s="2558" t="s">
        <v>467</v>
      </c>
      <c r="C239" s="2558"/>
      <c r="D239" s="2692"/>
      <c r="E239" s="2693"/>
      <c r="F239" s="2692"/>
    </row>
    <row r="240" spans="1:6" s="2599" customFormat="1" x14ac:dyDescent="0.3">
      <c r="A240" s="170">
        <v>32010405</v>
      </c>
      <c r="B240" s="2558" t="s">
        <v>3461</v>
      </c>
      <c r="C240" s="2558"/>
      <c r="D240" s="2694">
        <f>SUM(D241:D242)</f>
        <v>0</v>
      </c>
      <c r="E240" s="2688">
        <f>SUM(E241:E242)</f>
        <v>0</v>
      </c>
      <c r="F240" s="2688">
        <f>SUM(F241:F242)</f>
        <v>0</v>
      </c>
    </row>
    <row r="241" spans="1:6" x14ac:dyDescent="0.3">
      <c r="A241" s="2690" t="s">
        <v>3477</v>
      </c>
      <c r="B241" s="1981" t="s">
        <v>828</v>
      </c>
      <c r="C241" s="1981"/>
      <c r="D241" s="2584">
        <v>0</v>
      </c>
      <c r="E241" s="2695"/>
      <c r="F241" s="2667">
        <v>0</v>
      </c>
    </row>
    <row r="242" spans="1:6" x14ac:dyDescent="0.3">
      <c r="A242" s="170">
        <v>32010500</v>
      </c>
      <c r="B242" s="2558" t="s">
        <v>468</v>
      </c>
      <c r="C242" s="2558"/>
      <c r="D242" s="2584"/>
      <c r="E242" s="2559"/>
      <c r="F242" s="2584"/>
    </row>
    <row r="243" spans="1:6" s="2654" customFormat="1" x14ac:dyDescent="0.25">
      <c r="A243" s="2649">
        <v>32010501</v>
      </c>
      <c r="B243" s="2650" t="s">
        <v>3414</v>
      </c>
      <c r="C243" s="2653"/>
      <c r="D243" s="2694">
        <f>SUM(D244:D245)</f>
        <v>4750000</v>
      </c>
      <c r="E243" s="2694">
        <f>SUM(E244:E245)</f>
        <v>0</v>
      </c>
      <c r="F243" s="2694">
        <f>SUM(F244:F245)</f>
        <v>4750000</v>
      </c>
    </row>
    <row r="244" spans="1:6" x14ac:dyDescent="0.3">
      <c r="A244" s="2690" t="s">
        <v>3478</v>
      </c>
      <c r="B244" s="1981" t="s">
        <v>1745</v>
      </c>
      <c r="C244" s="1981"/>
      <c r="D244" s="2584">
        <v>4750000</v>
      </c>
      <c r="E244" s="2559"/>
      <c r="F244" s="2584">
        <v>4750000</v>
      </c>
    </row>
    <row r="245" spans="1:6" x14ac:dyDescent="0.3">
      <c r="A245" s="2690" t="s">
        <v>4189</v>
      </c>
      <c r="B245" s="1981" t="s">
        <v>1744</v>
      </c>
      <c r="C245" s="1981"/>
      <c r="D245" s="2584">
        <v>0</v>
      </c>
      <c r="E245" s="2559"/>
      <c r="F245" s="2667">
        <v>0</v>
      </c>
    </row>
    <row r="246" spans="1:6" s="2599" customFormat="1" x14ac:dyDescent="0.3">
      <c r="A246" s="170">
        <v>32010510</v>
      </c>
      <c r="B246" s="2558" t="s">
        <v>3453</v>
      </c>
      <c r="C246" s="2558"/>
      <c r="D246" s="2688">
        <f>SUM(D247:D248)</f>
        <v>100000000</v>
      </c>
      <c r="E246" s="2688">
        <f>SUM(E247:E248)</f>
        <v>0</v>
      </c>
      <c r="F246" s="2688">
        <f>SUM(F247:F248)</f>
        <v>100000000</v>
      </c>
    </row>
    <row r="247" spans="1:6" x14ac:dyDescent="0.3">
      <c r="A247" s="2690" t="s">
        <v>4190</v>
      </c>
      <c r="B247" s="2673" t="s">
        <v>826</v>
      </c>
      <c r="C247" s="2673"/>
      <c r="D247" s="2622">
        <v>100000000</v>
      </c>
      <c r="E247" s="2556">
        <v>0</v>
      </c>
      <c r="F247" s="2622">
        <v>100000000</v>
      </c>
    </row>
    <row r="248" spans="1:6" x14ac:dyDescent="0.3">
      <c r="A248" s="2690" t="s">
        <v>4191</v>
      </c>
      <c r="B248" s="2673" t="s">
        <v>827</v>
      </c>
      <c r="C248" s="2673"/>
      <c r="D248" s="2622">
        <v>0</v>
      </c>
      <c r="E248" s="2556"/>
      <c r="F248" s="2691">
        <v>0</v>
      </c>
    </row>
    <row r="249" spans="1:6" x14ac:dyDescent="0.3">
      <c r="A249" s="170">
        <v>32010600</v>
      </c>
      <c r="B249" s="2558" t="s">
        <v>469</v>
      </c>
      <c r="C249" s="2558"/>
      <c r="D249" s="2559"/>
      <c r="E249" s="2559"/>
      <c r="F249" s="2559"/>
    </row>
    <row r="250" spans="1:6" s="2599" customFormat="1" x14ac:dyDescent="0.3">
      <c r="A250" s="170">
        <v>32010601</v>
      </c>
      <c r="B250" s="2558" t="s">
        <v>3479</v>
      </c>
      <c r="C250" s="2558"/>
      <c r="D250" s="2694">
        <f>SUM(D251:D252)</f>
        <v>0</v>
      </c>
      <c r="E250" s="2694">
        <f>SUM(E251:E252)</f>
        <v>0</v>
      </c>
      <c r="F250" s="2694">
        <f>SUM(F251:F252)</f>
        <v>0</v>
      </c>
    </row>
    <row r="251" spans="1:6" x14ac:dyDescent="0.3">
      <c r="A251" s="2690" t="s">
        <v>4192</v>
      </c>
      <c r="B251" s="1981" t="s">
        <v>1746</v>
      </c>
      <c r="C251" s="1981"/>
      <c r="D251" s="2600">
        <v>0</v>
      </c>
      <c r="E251" s="2560">
        <v>0</v>
      </c>
      <c r="F251" s="2667">
        <v>0</v>
      </c>
    </row>
    <row r="252" spans="1:6" x14ac:dyDescent="0.3">
      <c r="A252" s="170">
        <v>32030100</v>
      </c>
      <c r="B252" s="2566" t="s">
        <v>472</v>
      </c>
      <c r="C252" s="2566"/>
      <c r="D252" s="2584"/>
      <c r="E252" s="2556"/>
      <c r="F252" s="2584"/>
    </row>
    <row r="253" spans="1:6" s="2654" customFormat="1" x14ac:dyDescent="0.25">
      <c r="A253" s="2639">
        <v>32030109</v>
      </c>
      <c r="B253" s="2653" t="s">
        <v>3517</v>
      </c>
      <c r="C253" s="2653"/>
      <c r="D253" s="2694">
        <f>SUM(D254)</f>
        <v>40000000</v>
      </c>
      <c r="E253" s="2694">
        <f>SUM(E254)</f>
        <v>0</v>
      </c>
      <c r="F253" s="2694">
        <f>SUM(F254)</f>
        <v>4000000</v>
      </c>
    </row>
    <row r="254" spans="1:6" x14ac:dyDescent="0.3">
      <c r="A254" s="2690" t="s">
        <v>4193</v>
      </c>
      <c r="B254" s="1981" t="s">
        <v>829</v>
      </c>
      <c r="C254" s="1981"/>
      <c r="D254" s="2584">
        <v>40000000</v>
      </c>
      <c r="E254" s="2584"/>
      <c r="F254" s="2584">
        <v>4000000</v>
      </c>
    </row>
    <row r="255" spans="1:6" ht="19.5" thickBot="1" x14ac:dyDescent="0.35">
      <c r="A255" s="2696"/>
      <c r="B255" s="2697"/>
      <c r="C255" s="2697"/>
      <c r="D255" s="2616"/>
      <c r="E255" s="2698"/>
      <c r="F255" s="2616"/>
    </row>
    <row r="256" spans="1:6" ht="19.5" thickBot="1" x14ac:dyDescent="0.35">
      <c r="A256" s="2699"/>
      <c r="B256" s="2679" t="s">
        <v>2584</v>
      </c>
      <c r="C256" s="2679"/>
      <c r="D256" s="2595">
        <f>SUM(D236,D246,D240,D243,D250,D253)</f>
        <v>144750000</v>
      </c>
      <c r="E256" s="2595">
        <f>SUM(E236,E246,E240,E243,E250,E253)</f>
        <v>0</v>
      </c>
      <c r="F256" s="2595">
        <f>SUM(F236,F246,F240,F243,F250,F253)</f>
        <v>128750000</v>
      </c>
    </row>
    <row r="257" spans="1:6" x14ac:dyDescent="0.3">
      <c r="A257" s="3535"/>
      <c r="B257" s="3535"/>
      <c r="C257" s="3535"/>
      <c r="D257" s="3535"/>
      <c r="E257" s="3535"/>
      <c r="F257" s="3535"/>
    </row>
    <row r="258" spans="1:6" x14ac:dyDescent="0.3">
      <c r="A258" s="2700"/>
      <c r="B258" s="2701"/>
      <c r="C258" s="2701"/>
      <c r="D258" s="2702"/>
      <c r="E258" s="2702"/>
      <c r="F258" s="2702"/>
    </row>
    <row r="259" spans="1:6" x14ac:dyDescent="0.3">
      <c r="A259" s="3518" t="s">
        <v>641</v>
      </c>
      <c r="B259" s="3518"/>
      <c r="C259" s="3518"/>
      <c r="D259" s="3518"/>
      <c r="E259" s="3518"/>
      <c r="F259" s="3518"/>
    </row>
    <row r="260" spans="1:6" ht="19.5" thickBot="1" x14ac:dyDescent="0.35">
      <c r="A260" s="3516" t="s">
        <v>539</v>
      </c>
      <c r="B260" s="3516"/>
      <c r="C260" s="3516"/>
      <c r="D260" s="3516"/>
      <c r="E260" s="3516"/>
      <c r="F260" s="3516"/>
    </row>
    <row r="261" spans="1:6" s="2549" customFormat="1" ht="57" thickBot="1" x14ac:dyDescent="0.25">
      <c r="A261" s="2548" t="s">
        <v>1</v>
      </c>
      <c r="B261" s="2290" t="s">
        <v>282</v>
      </c>
      <c r="C261" s="2548" t="s">
        <v>3197</v>
      </c>
      <c r="D261" s="2292" t="s">
        <v>1174</v>
      </c>
      <c r="E261" s="2292" t="s">
        <v>1145</v>
      </c>
      <c r="F261" s="2292" t="s">
        <v>3096</v>
      </c>
    </row>
    <row r="262" spans="1:6" x14ac:dyDescent="0.3">
      <c r="A262" s="2553">
        <v>32000000</v>
      </c>
      <c r="B262" s="2555" t="s">
        <v>462</v>
      </c>
      <c r="C262" s="2555"/>
      <c r="D262" s="2556"/>
      <c r="E262" s="2556"/>
      <c r="F262" s="2556"/>
    </row>
    <row r="263" spans="1:6" x14ac:dyDescent="0.3">
      <c r="A263" s="170">
        <v>32010000</v>
      </c>
      <c r="B263" s="2558" t="s">
        <v>463</v>
      </c>
      <c r="C263" s="2558"/>
      <c r="D263" s="2559"/>
      <c r="E263" s="2559"/>
      <c r="F263" s="2559"/>
    </row>
    <row r="264" spans="1:6" x14ac:dyDescent="0.3">
      <c r="A264" s="170">
        <v>32010100</v>
      </c>
      <c r="B264" s="2703" t="s">
        <v>471</v>
      </c>
      <c r="C264" s="2558"/>
      <c r="D264" s="2559"/>
      <c r="E264" s="2559"/>
      <c r="F264" s="2559"/>
    </row>
    <row r="265" spans="1:6" x14ac:dyDescent="0.3">
      <c r="A265" s="170">
        <v>32010101</v>
      </c>
      <c r="B265" s="2558" t="s">
        <v>3212</v>
      </c>
      <c r="C265" s="2558"/>
      <c r="D265" s="2694">
        <f>SUM(D266)</f>
        <v>50000000</v>
      </c>
      <c r="E265" s="2694">
        <f t="shared" ref="E265:F265" si="5">SUM(E266)</f>
        <v>0</v>
      </c>
      <c r="F265" s="2694">
        <f t="shared" si="5"/>
        <v>50000000</v>
      </c>
    </row>
    <row r="266" spans="1:6" x14ac:dyDescent="0.3">
      <c r="A266" s="2704" t="s">
        <v>3480</v>
      </c>
      <c r="B266" s="1981" t="s">
        <v>570</v>
      </c>
      <c r="C266" s="1981"/>
      <c r="D266" s="2584">
        <v>50000000</v>
      </c>
      <c r="E266" s="2584"/>
      <c r="F266" s="2584">
        <v>50000000</v>
      </c>
    </row>
    <row r="267" spans="1:6" s="2599" customFormat="1" x14ac:dyDescent="0.3">
      <c r="A267" s="2620">
        <v>32010305</v>
      </c>
      <c r="B267" s="2566" t="s">
        <v>3206</v>
      </c>
      <c r="C267" s="2566"/>
      <c r="D267" s="2694">
        <f>SUM(D268:D269)</f>
        <v>63200000</v>
      </c>
      <c r="E267" s="2694">
        <f>SUM(E268:E269)</f>
        <v>0</v>
      </c>
      <c r="F267" s="2694">
        <f>SUM(F268:F269)</f>
        <v>63200000</v>
      </c>
    </row>
    <row r="268" spans="1:6" x14ac:dyDescent="0.3">
      <c r="A268" s="2704" t="s">
        <v>3481</v>
      </c>
      <c r="B268" s="2705" t="s">
        <v>569</v>
      </c>
      <c r="C268" s="1981"/>
      <c r="D268" s="2584">
        <v>43200000</v>
      </c>
      <c r="E268" s="2584"/>
      <c r="F268" s="2584">
        <v>43200000</v>
      </c>
    </row>
    <row r="269" spans="1:6" x14ac:dyDescent="0.3">
      <c r="A269" s="2704" t="s">
        <v>3482</v>
      </c>
      <c r="B269" s="1981" t="s">
        <v>831</v>
      </c>
      <c r="C269" s="1981"/>
      <c r="D269" s="2584">
        <v>20000000</v>
      </c>
      <c r="E269" s="2584"/>
      <c r="F269" s="2584">
        <v>20000000</v>
      </c>
    </row>
    <row r="270" spans="1:6" x14ac:dyDescent="0.3">
      <c r="A270" s="170">
        <v>32010510</v>
      </c>
      <c r="B270" s="2558" t="s">
        <v>3453</v>
      </c>
      <c r="C270" s="2558"/>
      <c r="D270" s="2694">
        <f>SUM(D271:D272)</f>
        <v>650000000</v>
      </c>
      <c r="E270" s="2694">
        <f t="shared" ref="E270:F270" si="6">SUM(E271:E272)</f>
        <v>0</v>
      </c>
      <c r="F270" s="2694">
        <f t="shared" si="6"/>
        <v>650000000</v>
      </c>
    </row>
    <row r="271" spans="1:6" x14ac:dyDescent="0.3">
      <c r="A271" s="2704" t="s">
        <v>3483</v>
      </c>
      <c r="B271" s="1981" t="s">
        <v>568</v>
      </c>
      <c r="C271" s="1981"/>
      <c r="D271" s="2584">
        <v>150000000</v>
      </c>
      <c r="E271" s="2584"/>
      <c r="F271" s="2584">
        <v>150000000</v>
      </c>
    </row>
    <row r="272" spans="1:6" x14ac:dyDescent="0.3">
      <c r="A272" s="2704" t="s">
        <v>3484</v>
      </c>
      <c r="B272" s="1981" t="s">
        <v>830</v>
      </c>
      <c r="C272" s="1981"/>
      <c r="D272" s="2584">
        <v>500000000</v>
      </c>
      <c r="E272" s="2584"/>
      <c r="F272" s="2584">
        <v>500000000</v>
      </c>
    </row>
    <row r="273" spans="1:6" x14ac:dyDescent="0.3">
      <c r="A273" s="170">
        <v>32030100</v>
      </c>
      <c r="B273" s="2566" t="s">
        <v>472</v>
      </c>
      <c r="C273" s="2566"/>
      <c r="D273" s="2584"/>
      <c r="E273" s="2556"/>
      <c r="F273" s="2584"/>
    </row>
    <row r="274" spans="1:6" s="2654" customFormat="1" x14ac:dyDescent="0.25">
      <c r="A274" s="2639">
        <v>32030109</v>
      </c>
      <c r="B274" s="2653" t="s">
        <v>3517</v>
      </c>
      <c r="C274" s="2653"/>
      <c r="D274" s="2694">
        <f>SUM(D275)</f>
        <v>8000000</v>
      </c>
      <c r="E274" s="2694">
        <f t="shared" ref="E274:F274" si="7">SUM(E275)</f>
        <v>0</v>
      </c>
      <c r="F274" s="2694">
        <f t="shared" si="7"/>
        <v>2000000</v>
      </c>
    </row>
    <row r="275" spans="1:6" x14ac:dyDescent="0.3">
      <c r="A275" s="2704" t="s">
        <v>3485</v>
      </c>
      <c r="B275" s="1981" t="s">
        <v>571</v>
      </c>
      <c r="C275" s="1981"/>
      <c r="D275" s="2584">
        <v>8000000</v>
      </c>
      <c r="E275" s="2584"/>
      <c r="F275" s="2584">
        <v>2000000</v>
      </c>
    </row>
    <row r="276" spans="1:6" ht="19.5" thickBot="1" x14ac:dyDescent="0.35">
      <c r="A276" s="2696"/>
      <c r="B276" s="2706"/>
      <c r="C276" s="2707"/>
      <c r="D276" s="2616"/>
      <c r="E276" s="2708"/>
      <c r="F276" s="2616"/>
    </row>
    <row r="277" spans="1:6" ht="19.5" thickBot="1" x14ac:dyDescent="0.35">
      <c r="A277" s="2548"/>
      <c r="B277" s="2709" t="s">
        <v>2504</v>
      </c>
      <c r="C277" s="2709"/>
      <c r="D277" s="2595">
        <f>SUM(D265,D274,D267,D270)</f>
        <v>771200000</v>
      </c>
      <c r="E277" s="2595">
        <f>SUM(E265,E274,E267,E270)</f>
        <v>0</v>
      </c>
      <c r="F277" s="2595">
        <f>SUM(F265,F274,F267,F270)</f>
        <v>765200000</v>
      </c>
    </row>
    <row r="280" spans="1:6" x14ac:dyDescent="0.3">
      <c r="A280" s="3518" t="s">
        <v>641</v>
      </c>
      <c r="B280" s="3518"/>
      <c r="C280" s="3518"/>
      <c r="D280" s="3518"/>
      <c r="E280" s="3518"/>
      <c r="F280" s="3518"/>
    </row>
    <row r="281" spans="1:6" ht="19.5" thickBot="1" x14ac:dyDescent="0.35">
      <c r="A281" s="3516" t="s">
        <v>1453</v>
      </c>
      <c r="B281" s="3516"/>
      <c r="C281" s="3516"/>
      <c r="D281" s="3516"/>
      <c r="E281" s="3516"/>
      <c r="F281" s="3516"/>
    </row>
    <row r="282" spans="1:6" s="2549" customFormat="1" ht="57" thickBot="1" x14ac:dyDescent="0.25">
      <c r="A282" s="2548" t="s">
        <v>1</v>
      </c>
      <c r="B282" s="2290" t="s">
        <v>282</v>
      </c>
      <c r="C282" s="2548" t="s">
        <v>3197</v>
      </c>
      <c r="D282" s="2292" t="s">
        <v>1174</v>
      </c>
      <c r="E282" s="2292" t="s">
        <v>1145</v>
      </c>
      <c r="F282" s="2292" t="s">
        <v>3096</v>
      </c>
    </row>
    <row r="283" spans="1:6" s="2599" customFormat="1" x14ac:dyDescent="0.3">
      <c r="A283" s="2664">
        <v>32000000</v>
      </c>
      <c r="B283" s="2579" t="s">
        <v>462</v>
      </c>
      <c r="C283" s="2579"/>
      <c r="D283" s="2580"/>
      <c r="E283" s="2580"/>
      <c r="F283" s="2580"/>
    </row>
    <row r="284" spans="1:6" x14ac:dyDescent="0.3">
      <c r="A284" s="170">
        <v>32010000</v>
      </c>
      <c r="B284" s="2558" t="s">
        <v>463</v>
      </c>
      <c r="C284" s="2558"/>
      <c r="D284" s="2559"/>
      <c r="E284" s="2559"/>
      <c r="F284" s="2559"/>
    </row>
    <row r="285" spans="1:6" x14ac:dyDescent="0.3">
      <c r="A285" s="170">
        <v>32010500</v>
      </c>
      <c r="B285" s="2565" t="s">
        <v>468</v>
      </c>
      <c r="C285" s="2566"/>
      <c r="D285" s="2600"/>
      <c r="E285" s="2600"/>
      <c r="F285" s="2600"/>
    </row>
    <row r="286" spans="1:6" s="2599" customFormat="1" x14ac:dyDescent="0.3">
      <c r="A286" s="2620">
        <v>32010509</v>
      </c>
      <c r="B286" s="2565" t="s">
        <v>3486</v>
      </c>
      <c r="C286" s="2566"/>
      <c r="D286" s="2600">
        <f>SUM(D287:D288)</f>
        <v>21200000</v>
      </c>
      <c r="E286" s="2600">
        <f>SUM(E287:E288)</f>
        <v>0</v>
      </c>
      <c r="F286" s="2600">
        <f>SUM(F287:F288)</f>
        <v>21200000</v>
      </c>
    </row>
    <row r="287" spans="1:6" x14ac:dyDescent="0.3">
      <c r="A287" s="2704" t="s">
        <v>3487</v>
      </c>
      <c r="B287" s="2563" t="s">
        <v>573</v>
      </c>
      <c r="C287" s="1981"/>
      <c r="D287" s="2584">
        <v>8200000</v>
      </c>
      <c r="E287" s="2600"/>
      <c r="F287" s="2710">
        <v>8200000</v>
      </c>
    </row>
    <row r="288" spans="1:6" x14ac:dyDescent="0.3">
      <c r="A288" s="2704" t="s">
        <v>3488</v>
      </c>
      <c r="B288" s="2563" t="s">
        <v>572</v>
      </c>
      <c r="C288" s="1981"/>
      <c r="D288" s="2584">
        <v>13000000</v>
      </c>
      <c r="E288" s="2600"/>
      <c r="F288" s="2710">
        <v>13000000</v>
      </c>
    </row>
    <row r="289" spans="1:6" x14ac:dyDescent="0.3">
      <c r="A289" s="170">
        <v>32010510</v>
      </c>
      <c r="B289" s="2558" t="s">
        <v>3453</v>
      </c>
      <c r="C289" s="2558"/>
      <c r="D289" s="2600">
        <f>SUM(D290:D292)</f>
        <v>32800000</v>
      </c>
      <c r="E289" s="2600">
        <f>SUM(E290:E292)</f>
        <v>0</v>
      </c>
      <c r="F289" s="2600">
        <f>SUM(F290:F292)</f>
        <v>38800000</v>
      </c>
    </row>
    <row r="290" spans="1:6" x14ac:dyDescent="0.3">
      <c r="A290" s="2704" t="s">
        <v>3489</v>
      </c>
      <c r="B290" s="2563" t="s">
        <v>832</v>
      </c>
      <c r="C290" s="1981"/>
      <c r="D290" s="2584">
        <v>21500000</v>
      </c>
      <c r="E290" s="2600"/>
      <c r="F290" s="2710">
        <v>21500000</v>
      </c>
    </row>
    <row r="291" spans="1:6" x14ac:dyDescent="0.3">
      <c r="A291" s="2704" t="s">
        <v>3490</v>
      </c>
      <c r="B291" s="2563" t="s">
        <v>833</v>
      </c>
      <c r="C291" s="1981"/>
      <c r="D291" s="2584">
        <v>10000000</v>
      </c>
      <c r="E291" s="2600"/>
      <c r="F291" s="2710">
        <v>10000000</v>
      </c>
    </row>
    <row r="292" spans="1:6" x14ac:dyDescent="0.3">
      <c r="A292" s="2704" t="s">
        <v>3491</v>
      </c>
      <c r="B292" s="2563" t="s">
        <v>574</v>
      </c>
      <c r="C292" s="1981"/>
      <c r="D292" s="2584">
        <v>1300000</v>
      </c>
      <c r="E292" s="2600"/>
      <c r="F292" s="2710">
        <v>7300000</v>
      </c>
    </row>
    <row r="293" spans="1:6" ht="19.5" thickBot="1" x14ac:dyDescent="0.35">
      <c r="A293" s="2696"/>
      <c r="B293" s="2706"/>
      <c r="C293" s="2707"/>
      <c r="D293" s="2616"/>
      <c r="E293" s="2698"/>
      <c r="F293" s="2616"/>
    </row>
    <row r="294" spans="1:6" ht="19.5" thickBot="1" x14ac:dyDescent="0.35">
      <c r="A294" s="2548"/>
      <c r="B294" s="2594" t="s">
        <v>2509</v>
      </c>
      <c r="C294" s="2594"/>
      <c r="D294" s="2595">
        <f>SUM(D286,D289)</f>
        <v>54000000</v>
      </c>
      <c r="E294" s="2595">
        <f>SUM(E286,E289)</f>
        <v>0</v>
      </c>
      <c r="F294" s="2595">
        <f>SUM(F286,F289)</f>
        <v>60000000</v>
      </c>
    </row>
    <row r="295" spans="1:6" x14ac:dyDescent="0.3">
      <c r="A295" s="3535"/>
      <c r="B295" s="3535"/>
      <c r="C295" s="3535"/>
      <c r="D295" s="3535"/>
      <c r="E295" s="3535"/>
      <c r="F295" s="3535"/>
    </row>
    <row r="296" spans="1:6" x14ac:dyDescent="0.3">
      <c r="A296" s="2700"/>
      <c r="B296" s="2701"/>
      <c r="C296" s="2701"/>
      <c r="D296" s="2702"/>
      <c r="E296" s="2702"/>
      <c r="F296" s="2702"/>
    </row>
    <row r="297" spans="1:6" x14ac:dyDescent="0.3">
      <c r="A297" s="3518" t="s">
        <v>641</v>
      </c>
      <c r="B297" s="3518"/>
      <c r="C297" s="3518"/>
      <c r="D297" s="3518"/>
      <c r="E297" s="3518"/>
      <c r="F297" s="3518"/>
    </row>
    <row r="298" spans="1:6" ht="19.5" thickBot="1" x14ac:dyDescent="0.35">
      <c r="A298" s="3513" t="s">
        <v>1247</v>
      </c>
      <c r="B298" s="3513"/>
      <c r="C298" s="3513"/>
      <c r="D298" s="3513"/>
      <c r="E298" s="3513"/>
      <c r="F298" s="3513"/>
    </row>
    <row r="299" spans="1:6" s="2549" customFormat="1" ht="57" thickBot="1" x14ac:dyDescent="0.25">
      <c r="A299" s="2548" t="s">
        <v>1</v>
      </c>
      <c r="B299" s="2290" t="s">
        <v>282</v>
      </c>
      <c r="C299" s="2548" t="s">
        <v>3197</v>
      </c>
      <c r="D299" s="2292" t="s">
        <v>1174</v>
      </c>
      <c r="E299" s="2292" t="s">
        <v>1145</v>
      </c>
      <c r="F299" s="2292" t="s">
        <v>3096</v>
      </c>
    </row>
    <row r="300" spans="1:6" x14ac:dyDescent="0.3">
      <c r="A300" s="2711">
        <v>320000</v>
      </c>
      <c r="B300" s="2555" t="s">
        <v>462</v>
      </c>
      <c r="C300" s="2555"/>
      <c r="D300" s="2556"/>
      <c r="E300" s="2556"/>
      <c r="F300" s="2556"/>
    </row>
    <row r="301" spans="1:6" x14ac:dyDescent="0.3">
      <c r="A301" s="2712">
        <v>32010100</v>
      </c>
      <c r="B301" s="2558" t="s">
        <v>471</v>
      </c>
      <c r="C301" s="2558"/>
      <c r="D301" s="2559"/>
      <c r="E301" s="2559"/>
      <c r="F301" s="2559"/>
    </row>
    <row r="302" spans="1:6" x14ac:dyDescent="0.3">
      <c r="A302" s="2712">
        <v>32010101</v>
      </c>
      <c r="B302" s="2558" t="s">
        <v>3212</v>
      </c>
      <c r="C302" s="2558"/>
      <c r="D302" s="2560">
        <f>SUM(D303:D304)</f>
        <v>25000000</v>
      </c>
      <c r="E302" s="2560">
        <f>SUM(E303:E304)</f>
        <v>0</v>
      </c>
      <c r="F302" s="2560">
        <f>SUM(F303:F304)</f>
        <v>31000000</v>
      </c>
    </row>
    <row r="303" spans="1:6" x14ac:dyDescent="0.3">
      <c r="A303" s="2704" t="s">
        <v>3492</v>
      </c>
      <c r="B303" s="1981" t="s">
        <v>575</v>
      </c>
      <c r="C303" s="1981"/>
      <c r="D303" s="2584">
        <v>0</v>
      </c>
      <c r="E303" s="2584" t="s">
        <v>179</v>
      </c>
      <c r="F303" s="2584">
        <v>25000000</v>
      </c>
    </row>
    <row r="304" spans="1:6" x14ac:dyDescent="0.3">
      <c r="A304" s="2704" t="s">
        <v>3493</v>
      </c>
      <c r="B304" s="1981" t="s">
        <v>884</v>
      </c>
      <c r="C304" s="1981"/>
      <c r="D304" s="2584">
        <v>25000000</v>
      </c>
      <c r="E304" s="2584"/>
      <c r="F304" s="2584">
        <v>6000000</v>
      </c>
    </row>
    <row r="305" spans="1:6" x14ac:dyDescent="0.3">
      <c r="A305" s="2620">
        <v>32010200</v>
      </c>
      <c r="B305" s="2713" t="s">
        <v>3497</v>
      </c>
      <c r="C305" s="1981"/>
      <c r="D305" s="2584"/>
      <c r="E305" s="2584"/>
      <c r="F305" s="2584"/>
    </row>
    <row r="306" spans="1:6" x14ac:dyDescent="0.3">
      <c r="A306" s="2620">
        <v>32010213</v>
      </c>
      <c r="B306" s="2713" t="s">
        <v>3495</v>
      </c>
      <c r="C306" s="1981"/>
      <c r="D306" s="2560">
        <f>SUM(D307:D308)</f>
        <v>6000000</v>
      </c>
      <c r="E306" s="2560">
        <f t="shared" ref="E306:F306" si="8">SUM(E307:E308)</f>
        <v>0</v>
      </c>
      <c r="F306" s="2560">
        <f t="shared" si="8"/>
        <v>15225000</v>
      </c>
    </row>
    <row r="307" spans="1:6" x14ac:dyDescent="0.3">
      <c r="A307" s="2704" t="s">
        <v>3494</v>
      </c>
      <c r="B307" s="2591" t="s">
        <v>885</v>
      </c>
      <c r="C307" s="1981"/>
      <c r="D307" s="2584">
        <v>6000000</v>
      </c>
      <c r="E307" s="2584"/>
      <c r="F307" s="2584">
        <v>15225000</v>
      </c>
    </row>
    <row r="308" spans="1:6" x14ac:dyDescent="0.3">
      <c r="A308" s="2704" t="s">
        <v>3496</v>
      </c>
      <c r="B308" s="1981" t="s">
        <v>886</v>
      </c>
      <c r="C308" s="1981"/>
      <c r="D308" s="2584">
        <v>0</v>
      </c>
      <c r="E308" s="2584"/>
      <c r="F308" s="2667">
        <v>0</v>
      </c>
    </row>
    <row r="309" spans="1:6" x14ac:dyDescent="0.3">
      <c r="A309" s="2712">
        <v>32030100</v>
      </c>
      <c r="B309" s="2607" t="s">
        <v>472</v>
      </c>
      <c r="C309" s="2566"/>
      <c r="D309" s="2584"/>
      <c r="E309" s="2556"/>
      <c r="F309" s="2584"/>
    </row>
    <row r="310" spans="1:6" x14ac:dyDescent="0.3">
      <c r="A310" s="2712">
        <v>32030109</v>
      </c>
      <c r="B310" s="2714" t="s">
        <v>3517</v>
      </c>
      <c r="C310" s="2566"/>
      <c r="D310" s="2560">
        <f>SUM(D311:D314)</f>
        <v>100225000</v>
      </c>
      <c r="E310" s="2560">
        <f>SUM(E311:E314)</f>
        <v>16001000</v>
      </c>
      <c r="F310" s="2560">
        <f>SUM(F311:F314)</f>
        <v>150225000</v>
      </c>
    </row>
    <row r="311" spans="1:6" x14ac:dyDescent="0.3">
      <c r="A311" s="2704" t="s">
        <v>3498</v>
      </c>
      <c r="B311" s="2591" t="s">
        <v>887</v>
      </c>
      <c r="C311" s="1981"/>
      <c r="D311" s="2584">
        <v>25000000</v>
      </c>
      <c r="E311" s="2584"/>
      <c r="F311" s="2584">
        <v>25000000</v>
      </c>
    </row>
    <row r="312" spans="1:6" x14ac:dyDescent="0.3">
      <c r="A312" s="2704" t="s">
        <v>3499</v>
      </c>
      <c r="B312" s="2587" t="s">
        <v>888</v>
      </c>
      <c r="C312" s="1981"/>
      <c r="D312" s="2584">
        <v>15225000</v>
      </c>
      <c r="E312" s="2584"/>
      <c r="F312" s="2584">
        <v>50000000</v>
      </c>
    </row>
    <row r="313" spans="1:6" x14ac:dyDescent="0.3">
      <c r="A313" s="2704" t="s">
        <v>3500</v>
      </c>
      <c r="B313" s="1981" t="s">
        <v>576</v>
      </c>
      <c r="C313" s="1981"/>
      <c r="D313" s="2584">
        <v>50000000</v>
      </c>
      <c r="E313" s="2584">
        <v>16001000</v>
      </c>
      <c r="F313" s="2584">
        <v>65225000</v>
      </c>
    </row>
    <row r="314" spans="1:6" x14ac:dyDescent="0.3">
      <c r="A314" s="2704" t="s">
        <v>4194</v>
      </c>
      <c r="B314" s="2591" t="s">
        <v>883</v>
      </c>
      <c r="C314" s="1981"/>
      <c r="D314" s="2584">
        <v>10000000</v>
      </c>
      <c r="E314" s="2584" t="s">
        <v>179</v>
      </c>
      <c r="F314" s="2584">
        <v>10000000</v>
      </c>
    </row>
    <row r="315" spans="1:6" ht="19.5" thickBot="1" x14ac:dyDescent="0.35">
      <c r="A315" s="2715"/>
      <c r="B315" s="1981"/>
      <c r="C315" s="2705"/>
      <c r="D315" s="2716"/>
      <c r="E315" s="2717"/>
      <c r="F315" s="2716"/>
    </row>
    <row r="316" spans="1:6" ht="19.5" thickBot="1" x14ac:dyDescent="0.35">
      <c r="A316" s="2718"/>
      <c r="B316" s="2604" t="s">
        <v>2510</v>
      </c>
      <c r="C316" s="2604"/>
      <c r="D316" s="2595">
        <f>SUM(D302,D306,D310)</f>
        <v>131225000</v>
      </c>
      <c r="E316" s="2595">
        <f>SUM(E302,E306,E310)</f>
        <v>16001000</v>
      </c>
      <c r="F316" s="2595">
        <f>SUM(F302,F306,F310)</f>
        <v>196450000</v>
      </c>
    </row>
    <row r="317" spans="1:6" x14ac:dyDescent="0.3">
      <c r="A317" s="2700"/>
      <c r="B317" s="2701"/>
      <c r="C317" s="2701"/>
      <c r="D317" s="2702"/>
      <c r="E317" s="2702"/>
      <c r="F317" s="2702"/>
    </row>
    <row r="318" spans="1:6" x14ac:dyDescent="0.3">
      <c r="A318" s="3518" t="s">
        <v>641</v>
      </c>
      <c r="B318" s="3518"/>
      <c r="C318" s="3518"/>
      <c r="D318" s="3518"/>
      <c r="E318" s="3518"/>
      <c r="F318" s="3518"/>
    </row>
    <row r="319" spans="1:6" ht="19.5" thickBot="1" x14ac:dyDescent="0.35">
      <c r="A319" s="3516" t="s">
        <v>1454</v>
      </c>
      <c r="B319" s="3516"/>
      <c r="C319" s="3516"/>
      <c r="D319" s="3516"/>
      <c r="E319" s="3516"/>
      <c r="F319" s="3516"/>
    </row>
    <row r="320" spans="1:6" s="2549" customFormat="1" ht="57" thickBot="1" x14ac:dyDescent="0.25">
      <c r="A320" s="2548" t="s">
        <v>1</v>
      </c>
      <c r="B320" s="2290" t="s">
        <v>282</v>
      </c>
      <c r="C320" s="2548" t="s">
        <v>3197</v>
      </c>
      <c r="D320" s="2292" t="s">
        <v>1174</v>
      </c>
      <c r="E320" s="2292" t="s">
        <v>1145</v>
      </c>
      <c r="F320" s="2292" t="s">
        <v>3096</v>
      </c>
    </row>
    <row r="321" spans="1:6" s="2599" customFormat="1" x14ac:dyDescent="0.3">
      <c r="A321" s="2719"/>
      <c r="B321" s="2720"/>
      <c r="C321" s="2720"/>
      <c r="D321" s="2556"/>
      <c r="E321" s="2556"/>
      <c r="F321" s="2556"/>
    </row>
    <row r="322" spans="1:6" x14ac:dyDescent="0.3">
      <c r="A322" s="2553">
        <v>32000000</v>
      </c>
      <c r="B322" s="2555" t="s">
        <v>462</v>
      </c>
      <c r="C322" s="2555"/>
      <c r="D322" s="2556"/>
      <c r="E322" s="2556"/>
      <c r="F322" s="2556"/>
    </row>
    <row r="323" spans="1:6" x14ac:dyDescent="0.3">
      <c r="A323" s="2553">
        <v>32010000</v>
      </c>
      <c r="B323" s="2555" t="s">
        <v>463</v>
      </c>
      <c r="C323" s="2555"/>
      <c r="D323" s="2556"/>
      <c r="E323" s="2556"/>
      <c r="F323" s="2556"/>
    </row>
    <row r="324" spans="1:6" x14ac:dyDescent="0.3">
      <c r="A324" s="2553">
        <v>32010100</v>
      </c>
      <c r="B324" s="2555" t="s">
        <v>464</v>
      </c>
      <c r="C324" s="2555"/>
      <c r="D324" s="2556"/>
      <c r="E324" s="2556"/>
      <c r="F324" s="2556"/>
    </row>
    <row r="325" spans="1:6" x14ac:dyDescent="0.3">
      <c r="A325" s="2553">
        <v>32010101</v>
      </c>
      <c r="B325" s="2555" t="s">
        <v>3212</v>
      </c>
      <c r="C325" s="2555"/>
      <c r="D325" s="2560">
        <f>SUM(D326:D326)</f>
        <v>650000000</v>
      </c>
      <c r="E325" s="2560">
        <f>SUM(E326:E326)</f>
        <v>373517346.44</v>
      </c>
      <c r="F325" s="2560">
        <f>SUM(F326:F326)</f>
        <v>0</v>
      </c>
    </row>
    <row r="326" spans="1:6" x14ac:dyDescent="0.3">
      <c r="A326" s="2719" t="s">
        <v>3501</v>
      </c>
      <c r="B326" s="2673" t="s">
        <v>4195</v>
      </c>
      <c r="C326" s="2673"/>
      <c r="D326" s="2622">
        <v>650000000</v>
      </c>
      <c r="E326" s="2721">
        <v>373517346.44</v>
      </c>
      <c r="F326" s="2622">
        <v>0</v>
      </c>
    </row>
    <row r="327" spans="1:6" x14ac:dyDescent="0.3">
      <c r="A327" s="170">
        <v>32010400</v>
      </c>
      <c r="B327" s="2558" t="s">
        <v>467</v>
      </c>
      <c r="C327" s="2558"/>
      <c r="D327" s="2559"/>
      <c r="E327" s="2559"/>
      <c r="F327" s="2559"/>
    </row>
    <row r="328" spans="1:6" x14ac:dyDescent="0.3">
      <c r="A328" s="170">
        <v>32010405</v>
      </c>
      <c r="B328" s="2558" t="s">
        <v>3503</v>
      </c>
      <c r="C328" s="2558"/>
      <c r="D328" s="2560">
        <f>SUM(D329)</f>
        <v>400000000</v>
      </c>
      <c r="E328" s="2560">
        <f t="shared" ref="E328:F328" si="9">SUM(E329)</f>
        <v>484737110</v>
      </c>
      <c r="F328" s="2560">
        <f t="shared" si="9"/>
        <v>900000000</v>
      </c>
    </row>
    <row r="329" spans="1:6" x14ac:dyDescent="0.3">
      <c r="A329" s="2719" t="s">
        <v>3502</v>
      </c>
      <c r="B329" s="1981" t="s">
        <v>1776</v>
      </c>
      <c r="C329" s="1981"/>
      <c r="D329" s="2584">
        <v>400000000</v>
      </c>
      <c r="E329" s="2584">
        <v>484737110</v>
      </c>
      <c r="F329" s="2584">
        <v>900000000</v>
      </c>
    </row>
    <row r="330" spans="1:6" x14ac:dyDescent="0.3">
      <c r="A330" s="170">
        <v>32010500</v>
      </c>
      <c r="B330" s="2558" t="s">
        <v>468</v>
      </c>
      <c r="C330" s="2558"/>
      <c r="D330" s="2559"/>
      <c r="E330" s="2559"/>
      <c r="F330" s="2559"/>
    </row>
    <row r="331" spans="1:6" x14ac:dyDescent="0.3">
      <c r="A331" s="170">
        <v>32010510</v>
      </c>
      <c r="B331" s="2558" t="s">
        <v>3453</v>
      </c>
      <c r="C331" s="2558"/>
      <c r="D331" s="2560">
        <f>SUM(D332)</f>
        <v>100000000</v>
      </c>
      <c r="E331" s="2560">
        <f t="shared" ref="E331:F331" si="10">SUM(E332)</f>
        <v>0</v>
      </c>
      <c r="F331" s="2560">
        <f t="shared" si="10"/>
        <v>100000000</v>
      </c>
    </row>
    <row r="332" spans="1:6" x14ac:dyDescent="0.3">
      <c r="A332" s="2719" t="s">
        <v>4196</v>
      </c>
      <c r="B332" s="1981" t="s">
        <v>237</v>
      </c>
      <c r="C332" s="1981"/>
      <c r="D332" s="2584">
        <v>100000000</v>
      </c>
      <c r="E332" s="2584"/>
      <c r="F332" s="2584">
        <v>100000000</v>
      </c>
    </row>
    <row r="333" spans="1:6" x14ac:dyDescent="0.3">
      <c r="A333" s="170">
        <v>32010600</v>
      </c>
      <c r="B333" s="2558" t="s">
        <v>469</v>
      </c>
      <c r="C333" s="2558"/>
      <c r="D333" s="2559"/>
      <c r="E333" s="2559"/>
      <c r="F333" s="2559"/>
    </row>
    <row r="334" spans="1:6" x14ac:dyDescent="0.3">
      <c r="A334" s="170">
        <v>32010601</v>
      </c>
      <c r="B334" s="2558" t="s">
        <v>3504</v>
      </c>
      <c r="C334" s="2558"/>
      <c r="D334" s="2560">
        <f>SUM(D335)</f>
        <v>100000000</v>
      </c>
      <c r="E334" s="2560">
        <f t="shared" ref="E334:F334" si="11">SUM(E335)</f>
        <v>133849180</v>
      </c>
      <c r="F334" s="2560">
        <f t="shared" si="11"/>
        <v>500000000</v>
      </c>
    </row>
    <row r="335" spans="1:6" x14ac:dyDescent="0.3">
      <c r="A335" s="2719" t="s">
        <v>4197</v>
      </c>
      <c r="B335" s="1981" t="s">
        <v>236</v>
      </c>
      <c r="C335" s="1981"/>
      <c r="D335" s="2584">
        <v>100000000</v>
      </c>
      <c r="E335" s="2584">
        <v>133849180</v>
      </c>
      <c r="F335" s="2584">
        <v>500000000</v>
      </c>
    </row>
    <row r="336" spans="1:6" x14ac:dyDescent="0.3">
      <c r="A336" s="2712">
        <v>32030100</v>
      </c>
      <c r="B336" s="2566" t="s">
        <v>472</v>
      </c>
      <c r="C336" s="2566"/>
      <c r="D336" s="2584"/>
      <c r="E336" s="2556"/>
      <c r="F336" s="2584"/>
    </row>
    <row r="337" spans="1:6" x14ac:dyDescent="0.3">
      <c r="A337" s="2712">
        <v>32030109</v>
      </c>
      <c r="B337" s="2714" t="s">
        <v>3517</v>
      </c>
      <c r="C337" s="2566"/>
      <c r="D337" s="2600">
        <f>SUM(D338)</f>
        <v>0</v>
      </c>
      <c r="E337" s="2600">
        <f>SUM(E338)</f>
        <v>0</v>
      </c>
      <c r="F337" s="2600">
        <f>SUM(F338)</f>
        <v>100000000</v>
      </c>
    </row>
    <row r="338" spans="1:6" x14ac:dyDescent="0.3">
      <c r="A338" s="2719" t="s">
        <v>4198</v>
      </c>
      <c r="B338" s="2673" t="s">
        <v>2451</v>
      </c>
      <c r="C338" s="2673"/>
      <c r="D338" s="2622"/>
      <c r="E338" s="2721"/>
      <c r="F338" s="2622">
        <v>100000000</v>
      </c>
    </row>
    <row r="339" spans="1:6" ht="19.5" thickBot="1" x14ac:dyDescent="0.35">
      <c r="A339" s="2562"/>
      <c r="B339" s="1981"/>
      <c r="C339" s="1981"/>
      <c r="D339" s="2612"/>
      <c r="E339" s="2677"/>
      <c r="F339" s="2612"/>
    </row>
    <row r="340" spans="1:6" ht="19.5" thickBot="1" x14ac:dyDescent="0.35">
      <c r="A340" s="2722"/>
      <c r="B340" s="2603" t="s">
        <v>2585</v>
      </c>
      <c r="C340" s="2603"/>
      <c r="D340" s="2595">
        <f>SUM(D325,D328,D331,D334)</f>
        <v>1250000000</v>
      </c>
      <c r="E340" s="2595">
        <f>SUM(E325,E328,E331,E334)</f>
        <v>992103636.44000006</v>
      </c>
      <c r="F340" s="2595">
        <f>SUM(F325,F328,F331,F334,F337)</f>
        <v>1600000000</v>
      </c>
    </row>
    <row r="341" spans="1:6" x14ac:dyDescent="0.3">
      <c r="A341" s="3517"/>
      <c r="B341" s="3517"/>
      <c r="C341" s="3517"/>
      <c r="D341" s="3517"/>
      <c r="E341" s="3517"/>
      <c r="F341" s="3517"/>
    </row>
    <row r="342" spans="1:6" x14ac:dyDescent="0.3">
      <c r="A342" s="2723"/>
      <c r="B342" s="2724"/>
      <c r="C342" s="2724"/>
      <c r="D342" s="2725"/>
      <c r="E342" s="2725"/>
      <c r="F342" s="2725"/>
    </row>
    <row r="343" spans="1:6" x14ac:dyDescent="0.3">
      <c r="A343" s="3518" t="s">
        <v>641</v>
      </c>
      <c r="B343" s="3518"/>
      <c r="C343" s="3518"/>
      <c r="D343" s="3518"/>
      <c r="E343" s="3518"/>
      <c r="F343" s="3518"/>
    </row>
    <row r="344" spans="1:6" ht="19.5" thickBot="1" x14ac:dyDescent="0.35">
      <c r="A344" s="3516" t="s">
        <v>1199</v>
      </c>
      <c r="B344" s="3516"/>
      <c r="C344" s="3516"/>
      <c r="D344" s="3516"/>
      <c r="E344" s="3516"/>
      <c r="F344" s="3516"/>
    </row>
    <row r="345" spans="1:6" s="2549" customFormat="1" ht="57" thickBot="1" x14ac:dyDescent="0.25">
      <c r="A345" s="2548" t="s">
        <v>1</v>
      </c>
      <c r="B345" s="2290" t="s">
        <v>282</v>
      </c>
      <c r="C345" s="2548" t="s">
        <v>3197</v>
      </c>
      <c r="D345" s="2292" t="s">
        <v>1174</v>
      </c>
      <c r="E345" s="2292" t="s">
        <v>1145</v>
      </c>
      <c r="F345" s="2292" t="s">
        <v>3096</v>
      </c>
    </row>
    <row r="346" spans="1:6" s="2599" customFormat="1" x14ac:dyDescent="0.3">
      <c r="A346" s="2630">
        <v>32000000</v>
      </c>
      <c r="B346" s="2726" t="s">
        <v>462</v>
      </c>
      <c r="C346" s="2726"/>
      <c r="D346" s="2552"/>
      <c r="E346" s="2698"/>
      <c r="F346" s="2552"/>
    </row>
    <row r="347" spans="1:6" x14ac:dyDescent="0.3">
      <c r="A347" s="2666">
        <v>32010000</v>
      </c>
      <c r="B347" s="2557" t="s">
        <v>463</v>
      </c>
      <c r="C347" s="2558"/>
      <c r="D347" s="2559"/>
      <c r="E347" s="2559"/>
      <c r="F347" s="2559"/>
    </row>
    <row r="348" spans="1:6" x14ac:dyDescent="0.3">
      <c r="A348" s="2666">
        <v>32010100</v>
      </c>
      <c r="B348" s="2557" t="s">
        <v>464</v>
      </c>
      <c r="C348" s="2558"/>
      <c r="D348" s="2559"/>
      <c r="E348" s="2559"/>
      <c r="F348" s="2559"/>
    </row>
    <row r="349" spans="1:6" x14ac:dyDescent="0.3">
      <c r="A349" s="170">
        <v>32010101</v>
      </c>
      <c r="B349" s="2565" t="s">
        <v>3212</v>
      </c>
      <c r="C349" s="2566"/>
      <c r="D349" s="2600">
        <f>SUM(D350:D357)</f>
        <v>254317035</v>
      </c>
      <c r="E349" s="2600">
        <f>SUM(E350:E357)</f>
        <v>28798915.210000001</v>
      </c>
      <c r="F349" s="2600">
        <f>SUM(F350:F357)</f>
        <v>299317035</v>
      </c>
    </row>
    <row r="350" spans="1:6" x14ac:dyDescent="0.3">
      <c r="A350" s="2562" t="s">
        <v>3505</v>
      </c>
      <c r="B350" s="2563" t="s">
        <v>834</v>
      </c>
      <c r="C350" s="1981"/>
      <c r="D350" s="2584">
        <v>20000000</v>
      </c>
      <c r="E350" s="2584">
        <v>16293015.210000001</v>
      </c>
      <c r="F350" s="2584">
        <v>20000000</v>
      </c>
    </row>
    <row r="351" spans="1:6" x14ac:dyDescent="0.3">
      <c r="A351" s="2562" t="s">
        <v>3506</v>
      </c>
      <c r="B351" s="2563" t="s">
        <v>233</v>
      </c>
      <c r="C351" s="1981"/>
      <c r="D351" s="2584">
        <v>11544335</v>
      </c>
      <c r="E351" s="2584" t="s">
        <v>179</v>
      </c>
      <c r="F351" s="2584">
        <v>11544335</v>
      </c>
    </row>
    <row r="352" spans="1:6" x14ac:dyDescent="0.3">
      <c r="A352" s="2562" t="s">
        <v>3507</v>
      </c>
      <c r="B352" s="2563" t="s">
        <v>836</v>
      </c>
      <c r="C352" s="1981"/>
      <c r="D352" s="2584">
        <v>10120000</v>
      </c>
      <c r="E352" s="2584" t="s">
        <v>179</v>
      </c>
      <c r="F352" s="2584">
        <v>10120000</v>
      </c>
    </row>
    <row r="353" spans="1:6" x14ac:dyDescent="0.3">
      <c r="A353" s="2562" t="s">
        <v>3508</v>
      </c>
      <c r="B353" s="2563" t="s">
        <v>837</v>
      </c>
      <c r="C353" s="1981"/>
      <c r="D353" s="2584">
        <v>147652700</v>
      </c>
      <c r="E353" s="2584" t="s">
        <v>179</v>
      </c>
      <c r="F353" s="2584">
        <v>147652700</v>
      </c>
    </row>
    <row r="354" spans="1:6" x14ac:dyDescent="0.3">
      <c r="A354" s="2562" t="s">
        <v>3509</v>
      </c>
      <c r="B354" s="2563" t="s">
        <v>838</v>
      </c>
      <c r="C354" s="1981"/>
      <c r="D354" s="2584">
        <v>25000000</v>
      </c>
      <c r="E354" s="2584">
        <v>12505900</v>
      </c>
      <c r="F354" s="2584">
        <v>25000000</v>
      </c>
    </row>
    <row r="355" spans="1:6" x14ac:dyDescent="0.3">
      <c r="A355" s="2562" t="s">
        <v>3510</v>
      </c>
      <c r="B355" s="2563" t="s">
        <v>234</v>
      </c>
      <c r="C355" s="1981"/>
      <c r="D355" s="2584">
        <v>20000000</v>
      </c>
      <c r="E355" s="2584" t="s">
        <v>179</v>
      </c>
      <c r="F355" s="2584">
        <v>20000000</v>
      </c>
    </row>
    <row r="356" spans="1:6" x14ac:dyDescent="0.3">
      <c r="A356" s="2562" t="s">
        <v>3511</v>
      </c>
      <c r="B356" s="2563" t="s">
        <v>235</v>
      </c>
      <c r="C356" s="1981"/>
      <c r="D356" s="2584">
        <v>20000000</v>
      </c>
      <c r="E356" s="2584" t="s">
        <v>179</v>
      </c>
      <c r="F356" s="2584">
        <v>20000000</v>
      </c>
    </row>
    <row r="357" spans="1:6" x14ac:dyDescent="0.3">
      <c r="A357" s="2562" t="s">
        <v>3512</v>
      </c>
      <c r="B357" s="2563" t="s">
        <v>3031</v>
      </c>
      <c r="C357" s="1981"/>
      <c r="D357" s="2584"/>
      <c r="E357" s="2584"/>
      <c r="F357" s="2584">
        <v>45000000</v>
      </c>
    </row>
    <row r="358" spans="1:6" x14ac:dyDescent="0.3">
      <c r="A358" s="170">
        <v>32010102</v>
      </c>
      <c r="B358" s="2565" t="s">
        <v>3213</v>
      </c>
      <c r="C358" s="1981"/>
      <c r="D358" s="2600">
        <f>SUM(D359)</f>
        <v>40000000</v>
      </c>
      <c r="E358" s="2600">
        <f>SUM(E359)</f>
        <v>0</v>
      </c>
      <c r="F358" s="2600">
        <f>SUM(F359)</f>
        <v>40000000</v>
      </c>
    </row>
    <row r="359" spans="1:6" x14ac:dyDescent="0.3">
      <c r="A359" s="2562" t="s">
        <v>3513</v>
      </c>
      <c r="B359" s="2563" t="s">
        <v>835</v>
      </c>
      <c r="C359" s="1981"/>
      <c r="D359" s="2584">
        <v>40000000</v>
      </c>
      <c r="E359" s="2584" t="s">
        <v>179</v>
      </c>
      <c r="F359" s="2584">
        <v>40000000</v>
      </c>
    </row>
    <row r="360" spans="1:6" x14ac:dyDescent="0.3">
      <c r="A360" s="170">
        <v>32010400</v>
      </c>
      <c r="B360" s="2557" t="s">
        <v>467</v>
      </c>
      <c r="C360" s="2558"/>
      <c r="D360" s="2559"/>
      <c r="E360" s="2559"/>
      <c r="F360" s="2559"/>
    </row>
    <row r="361" spans="1:6" x14ac:dyDescent="0.3">
      <c r="A361" s="170">
        <v>32010405</v>
      </c>
      <c r="B361" s="2557" t="s">
        <v>3461</v>
      </c>
      <c r="C361" s="2558"/>
      <c r="D361" s="2600">
        <f>SUM(D362)</f>
        <v>734216000</v>
      </c>
      <c r="E361" s="2600">
        <f>SUM(E362)</f>
        <v>0</v>
      </c>
      <c r="F361" s="2600">
        <f>SUM(F362)</f>
        <v>0</v>
      </c>
    </row>
    <row r="362" spans="1:6" x14ac:dyDescent="0.3">
      <c r="A362" s="2562" t="s">
        <v>3514</v>
      </c>
      <c r="B362" s="2563" t="s">
        <v>2528</v>
      </c>
      <c r="C362" s="1981"/>
      <c r="D362" s="2584">
        <v>734216000</v>
      </c>
      <c r="E362" s="2584"/>
      <c r="F362" s="2584">
        <v>0</v>
      </c>
    </row>
    <row r="363" spans="1:6" x14ac:dyDescent="0.3">
      <c r="A363" s="170">
        <v>32010510</v>
      </c>
      <c r="B363" s="2557" t="s">
        <v>3453</v>
      </c>
      <c r="C363" s="2558"/>
      <c r="D363" s="2600">
        <f>SUM(D364)</f>
        <v>3720000</v>
      </c>
      <c r="E363" s="2600">
        <f>SUM(E364)</f>
        <v>0</v>
      </c>
      <c r="F363" s="2600">
        <f>SUM(F364)</f>
        <v>3720000</v>
      </c>
    </row>
    <row r="364" spans="1:6" x14ac:dyDescent="0.3">
      <c r="A364" s="2562" t="s">
        <v>3515</v>
      </c>
      <c r="B364" s="2563" t="s">
        <v>839</v>
      </c>
      <c r="C364" s="1981"/>
      <c r="D364" s="2584">
        <v>3720000</v>
      </c>
      <c r="E364" s="2584" t="s">
        <v>179</v>
      </c>
      <c r="F364" s="2584">
        <v>3720000</v>
      </c>
    </row>
    <row r="365" spans="1:6" x14ac:dyDescent="0.3">
      <c r="A365" s="2712">
        <v>32030100</v>
      </c>
      <c r="B365" s="2727" t="s">
        <v>472</v>
      </c>
      <c r="C365" s="2566"/>
      <c r="D365" s="2584"/>
      <c r="E365" s="2556"/>
      <c r="F365" s="2584"/>
    </row>
    <row r="366" spans="1:6" x14ac:dyDescent="0.3">
      <c r="A366" s="2712">
        <v>32030109</v>
      </c>
      <c r="B366" s="2714" t="s">
        <v>3517</v>
      </c>
      <c r="C366" s="2566"/>
      <c r="D366" s="2600">
        <f>SUM(D367)</f>
        <v>50000000</v>
      </c>
      <c r="E366" s="2600">
        <f>SUM(E367)</f>
        <v>0</v>
      </c>
      <c r="F366" s="2600">
        <f>SUM(F367)</f>
        <v>50000000</v>
      </c>
    </row>
    <row r="367" spans="1:6" x14ac:dyDescent="0.3">
      <c r="A367" s="2562" t="s">
        <v>3516</v>
      </c>
      <c r="B367" s="2728" t="s">
        <v>2527</v>
      </c>
      <c r="C367" s="1981"/>
      <c r="D367" s="2584">
        <v>50000000</v>
      </c>
      <c r="E367" s="2584"/>
      <c r="F367" s="2584">
        <v>50000000</v>
      </c>
    </row>
    <row r="368" spans="1:6" ht="19.5" thickBot="1" x14ac:dyDescent="0.35">
      <c r="A368" s="2704"/>
      <c r="B368" s="2680"/>
      <c r="C368" s="2680"/>
      <c r="D368" s="2681"/>
      <c r="E368" s="2681"/>
      <c r="F368" s="2633"/>
    </row>
    <row r="369" spans="1:6" ht="19.5" thickBot="1" x14ac:dyDescent="0.35">
      <c r="A369" s="170"/>
      <c r="B369" s="2594" t="s">
        <v>2501</v>
      </c>
      <c r="C369" s="2594"/>
      <c r="D369" s="2595">
        <f>SUM(D349,D358,D361,D363,D366)</f>
        <v>1082253035</v>
      </c>
      <c r="E369" s="2595">
        <f>SUM(E349,E358,E361,E363,E366)</f>
        <v>28798915.210000001</v>
      </c>
      <c r="F369" s="2595">
        <f>SUM(F349,F358,F361,F363,F366)</f>
        <v>393037035</v>
      </c>
    </row>
    <row r="370" spans="1:6" x14ac:dyDescent="0.3">
      <c r="A370" s="3535"/>
      <c r="B370" s="3535"/>
      <c r="C370" s="3535"/>
      <c r="D370" s="3535"/>
      <c r="E370" s="3535"/>
      <c r="F370" s="3535"/>
    </row>
    <row r="371" spans="1:6" s="1984" customFormat="1" ht="20.25" x14ac:dyDescent="0.2">
      <c r="A371" s="3477"/>
      <c r="B371" s="3477"/>
      <c r="C371" s="3477"/>
      <c r="D371" s="3477"/>
      <c r="E371" s="3477"/>
      <c r="F371" s="3477"/>
    </row>
    <row r="372" spans="1:6" s="1984" customFormat="1" ht="20.25" x14ac:dyDescent="0.2">
      <c r="A372" s="3477" t="s">
        <v>703</v>
      </c>
      <c r="B372" s="3477"/>
      <c r="C372" s="3477"/>
      <c r="D372" s="3477"/>
      <c r="E372" s="3477"/>
      <c r="F372" s="3477"/>
    </row>
    <row r="373" spans="1:6" s="1984" customFormat="1" ht="21" thickBot="1" x14ac:dyDescent="0.25">
      <c r="A373" s="3476" t="s">
        <v>1164</v>
      </c>
      <c r="B373" s="3476"/>
      <c r="C373" s="3476"/>
      <c r="D373" s="3476"/>
      <c r="E373" s="3476"/>
      <c r="F373" s="3476"/>
    </row>
    <row r="374" spans="1:6" s="2549" customFormat="1" ht="57" thickBot="1" x14ac:dyDescent="0.25">
      <c r="A374" s="2548" t="s">
        <v>1</v>
      </c>
      <c r="B374" s="2290" t="s">
        <v>282</v>
      </c>
      <c r="C374" s="2548" t="s">
        <v>3197</v>
      </c>
      <c r="D374" s="2292" t="s">
        <v>1174</v>
      </c>
      <c r="E374" s="2292" t="s">
        <v>1145</v>
      </c>
      <c r="F374" s="2292" t="s">
        <v>3096</v>
      </c>
    </row>
    <row r="375" spans="1:6" s="2549" customFormat="1" x14ac:dyDescent="0.2">
      <c r="A375" s="2596"/>
      <c r="B375" s="2674"/>
      <c r="C375" s="2596"/>
      <c r="D375" s="2729"/>
      <c r="E375" s="2729"/>
      <c r="F375" s="2729"/>
    </row>
    <row r="376" spans="1:6" s="2599" customFormat="1" x14ac:dyDescent="0.3">
      <c r="A376" s="170">
        <v>32030100</v>
      </c>
      <c r="B376" s="2566" t="s">
        <v>472</v>
      </c>
      <c r="C376" s="2565"/>
      <c r="D376" s="2446"/>
      <c r="E376" s="2446"/>
      <c r="F376" s="2446"/>
    </row>
    <row r="377" spans="1:6" x14ac:dyDescent="0.3">
      <c r="A377" s="2712">
        <v>32030109</v>
      </c>
      <c r="B377" s="2714" t="s">
        <v>3517</v>
      </c>
      <c r="C377" s="2565"/>
      <c r="D377" s="2600">
        <f>SUM(D378)</f>
        <v>0</v>
      </c>
      <c r="E377" s="2600">
        <f>SUM(E378)</f>
        <v>0</v>
      </c>
      <c r="F377" s="2600">
        <f>SUM(F378)</f>
        <v>25000000</v>
      </c>
    </row>
    <row r="378" spans="1:6" x14ac:dyDescent="0.3">
      <c r="A378" s="2562" t="s">
        <v>3518</v>
      </c>
      <c r="B378" s="2730" t="s">
        <v>3035</v>
      </c>
      <c r="C378" s="2730"/>
      <c r="D378" s="2665"/>
      <c r="E378" s="2665"/>
      <c r="F378" s="2556">
        <v>25000000</v>
      </c>
    </row>
    <row r="379" spans="1:6" ht="19.5" thickBot="1" x14ac:dyDescent="0.35">
      <c r="A379" s="2562"/>
      <c r="B379" s="2731"/>
      <c r="C379" s="2730"/>
      <c r="D379" s="2732"/>
      <c r="E379" s="2732"/>
      <c r="F379" s="2677"/>
    </row>
    <row r="380" spans="1:6" ht="19.5" thickBot="1" x14ac:dyDescent="0.35">
      <c r="A380" s="2733"/>
      <c r="B380" s="2557" t="s">
        <v>3367</v>
      </c>
      <c r="C380" s="2558"/>
      <c r="D380" s="2734">
        <f>SUM(D374:D378)</f>
        <v>0</v>
      </c>
      <c r="E380" s="2734">
        <f>SUM(E374:E378)</f>
        <v>0</v>
      </c>
      <c r="F380" s="2735">
        <f>SUM(F377)</f>
        <v>25000000</v>
      </c>
    </row>
    <row r="381" spans="1:6" x14ac:dyDescent="0.3">
      <c r="A381" s="2700"/>
      <c r="B381" s="2701"/>
      <c r="C381" s="2701"/>
      <c r="D381" s="2702"/>
      <c r="E381" s="2702"/>
      <c r="F381" s="2702"/>
    </row>
    <row r="382" spans="1:6" x14ac:dyDescent="0.3">
      <c r="A382" s="2700"/>
      <c r="B382" s="2701"/>
      <c r="C382" s="2701"/>
      <c r="D382" s="2702"/>
      <c r="E382" s="2702"/>
      <c r="F382" s="2702"/>
    </row>
    <row r="383" spans="1:6" x14ac:dyDescent="0.3">
      <c r="A383" s="3518" t="s">
        <v>641</v>
      </c>
      <c r="B383" s="3518"/>
      <c r="C383" s="3518"/>
      <c r="D383" s="3518"/>
      <c r="E383" s="3518"/>
      <c r="F383" s="3518"/>
    </row>
    <row r="384" spans="1:6" ht="19.5" thickBot="1" x14ac:dyDescent="0.35">
      <c r="A384" s="3516" t="s">
        <v>1455</v>
      </c>
      <c r="B384" s="3516"/>
      <c r="C384" s="3516"/>
      <c r="D384" s="3516"/>
      <c r="E384" s="3516"/>
      <c r="F384" s="3516"/>
    </row>
    <row r="385" spans="1:6" s="2549" customFormat="1" ht="57" thickBot="1" x14ac:dyDescent="0.25">
      <c r="A385" s="2548" t="s">
        <v>1</v>
      </c>
      <c r="B385" s="2290" t="s">
        <v>282</v>
      </c>
      <c r="C385" s="2548" t="s">
        <v>3197</v>
      </c>
      <c r="D385" s="2292" t="s">
        <v>1174</v>
      </c>
      <c r="E385" s="2292" t="s">
        <v>1145</v>
      </c>
      <c r="F385" s="2292" t="s">
        <v>3096</v>
      </c>
    </row>
    <row r="386" spans="1:6" s="2599" customFormat="1" x14ac:dyDescent="0.3">
      <c r="A386" s="2553">
        <v>32000000</v>
      </c>
      <c r="B386" s="2555" t="s">
        <v>462</v>
      </c>
      <c r="C386" s="2555"/>
      <c r="D386" s="2556"/>
      <c r="E386" s="2556"/>
      <c r="F386" s="2556"/>
    </row>
    <row r="387" spans="1:6" x14ac:dyDescent="0.3">
      <c r="A387" s="170">
        <v>32010000</v>
      </c>
      <c r="B387" s="2557" t="s">
        <v>463</v>
      </c>
      <c r="C387" s="2558"/>
      <c r="D387" s="2559"/>
      <c r="E387" s="2559"/>
      <c r="F387" s="2559"/>
    </row>
    <row r="388" spans="1:6" x14ac:dyDescent="0.3">
      <c r="A388" s="170">
        <v>32010100</v>
      </c>
      <c r="B388" s="2736" t="s">
        <v>471</v>
      </c>
      <c r="C388" s="2737"/>
      <c r="D388" s="2559"/>
      <c r="E388" s="2559"/>
      <c r="F388" s="2559"/>
    </row>
    <row r="389" spans="1:6" x14ac:dyDescent="0.3">
      <c r="A389" s="170">
        <v>32010101</v>
      </c>
      <c r="B389" s="2736" t="s">
        <v>3212</v>
      </c>
      <c r="C389" s="2737"/>
      <c r="D389" s="2560">
        <f>SUM(D390)</f>
        <v>10000000</v>
      </c>
      <c r="E389" s="2560">
        <f t="shared" ref="E389:F389" si="12">SUM(E390)</f>
        <v>0</v>
      </c>
      <c r="F389" s="2560">
        <f t="shared" si="12"/>
        <v>9700000</v>
      </c>
    </row>
    <row r="390" spans="1:6" x14ac:dyDescent="0.3">
      <c r="A390" s="2690" t="s">
        <v>4199</v>
      </c>
      <c r="B390" s="2563" t="s">
        <v>598</v>
      </c>
      <c r="C390" s="1981"/>
      <c r="D390" s="2584">
        <v>10000000</v>
      </c>
      <c r="E390" s="2584"/>
      <c r="F390" s="2584">
        <v>9700000</v>
      </c>
    </row>
    <row r="391" spans="1:6" x14ac:dyDescent="0.3">
      <c r="A391" s="170">
        <v>32010200</v>
      </c>
      <c r="B391" s="2557" t="s">
        <v>465</v>
      </c>
      <c r="C391" s="2558"/>
      <c r="D391" s="2560">
        <f>SUM(D392)</f>
        <v>180000000</v>
      </c>
      <c r="E391" s="2560">
        <f t="shared" ref="E391" si="13">SUM(E392)</f>
        <v>61894000</v>
      </c>
      <c r="F391" s="2560">
        <f t="shared" ref="F391" si="14">SUM(F392)</f>
        <v>43809732.259999998</v>
      </c>
    </row>
    <row r="392" spans="1:6" x14ac:dyDescent="0.3">
      <c r="A392" s="2690" t="s">
        <v>4200</v>
      </c>
      <c r="B392" s="2563" t="s">
        <v>599</v>
      </c>
      <c r="C392" s="1981"/>
      <c r="D392" s="2584">
        <v>180000000</v>
      </c>
      <c r="E392" s="2584">
        <v>61894000</v>
      </c>
      <c r="F392" s="2584">
        <v>43809732.259999998</v>
      </c>
    </row>
    <row r="393" spans="1:6" x14ac:dyDescent="0.3">
      <c r="A393" s="170">
        <v>32010600</v>
      </c>
      <c r="B393" s="2557" t="s">
        <v>469</v>
      </c>
      <c r="C393" s="2558"/>
      <c r="D393" s="2560">
        <f>SUM(D394)</f>
        <v>15000000</v>
      </c>
      <c r="E393" s="2560">
        <f t="shared" ref="E393" si="15">SUM(E394)</f>
        <v>15000000</v>
      </c>
      <c r="F393" s="2560">
        <f t="shared" ref="F393" si="16">SUM(F394)</f>
        <v>5000000</v>
      </c>
    </row>
    <row r="394" spans="1:6" x14ac:dyDescent="0.3">
      <c r="A394" s="2690" t="s">
        <v>4201</v>
      </c>
      <c r="B394" s="2563" t="s">
        <v>3151</v>
      </c>
      <c r="C394" s="1981"/>
      <c r="D394" s="2584">
        <v>15000000</v>
      </c>
      <c r="E394" s="2584">
        <v>15000000</v>
      </c>
      <c r="F394" s="2584">
        <v>5000000</v>
      </c>
    </row>
    <row r="395" spans="1:6" s="2599" customFormat="1" x14ac:dyDescent="0.3">
      <c r="A395" s="170">
        <v>32030100</v>
      </c>
      <c r="B395" s="2565" t="s">
        <v>472</v>
      </c>
      <c r="C395" s="2566"/>
      <c r="D395" s="2584"/>
      <c r="E395" s="2622"/>
      <c r="F395" s="2584"/>
    </row>
    <row r="396" spans="1:6" x14ac:dyDescent="0.3">
      <c r="A396" s="2712">
        <v>32030109</v>
      </c>
      <c r="B396" s="2714" t="s">
        <v>3517</v>
      </c>
      <c r="C396" s="2566"/>
      <c r="D396" s="2560">
        <f>SUM(D397)</f>
        <v>0</v>
      </c>
      <c r="E396" s="2560">
        <f t="shared" ref="E396" si="17">SUM(E397)</f>
        <v>0</v>
      </c>
      <c r="F396" s="2560">
        <f t="shared" ref="F396" si="18">SUM(F397)</f>
        <v>46190267.740000002</v>
      </c>
    </row>
    <row r="397" spans="1:6" x14ac:dyDescent="0.3">
      <c r="A397" s="2690" t="s">
        <v>4202</v>
      </c>
      <c r="B397" s="2731" t="s">
        <v>3150</v>
      </c>
      <c r="C397" s="2730"/>
      <c r="D397" s="2665"/>
      <c r="E397" s="2665"/>
      <c r="F397" s="2556">
        <v>46190267.740000002</v>
      </c>
    </row>
    <row r="398" spans="1:6" ht="19.5" thickBot="1" x14ac:dyDescent="0.35">
      <c r="A398" s="2562"/>
      <c r="B398" s="2557"/>
      <c r="C398" s="2558"/>
      <c r="D398" s="2738"/>
      <c r="E398" s="2738"/>
      <c r="F398" s="2738"/>
    </row>
    <row r="399" spans="1:6" ht="25.5" customHeight="1" thickBot="1" x14ac:dyDescent="0.35">
      <c r="A399" s="170"/>
      <c r="B399" s="2566" t="s">
        <v>2586</v>
      </c>
      <c r="C399" s="2727"/>
      <c r="D399" s="2595">
        <f>SUM(D389,D391,D393,D396)</f>
        <v>205000000</v>
      </c>
      <c r="E399" s="2739">
        <f>SUM(E389,E391,E393,E396)</f>
        <v>76894000</v>
      </c>
      <c r="F399" s="2739">
        <f>SUM(F389,F391,F393,F396)</f>
        <v>104700000</v>
      </c>
    </row>
    <row r="400" spans="1:6" x14ac:dyDescent="0.3">
      <c r="A400" s="3517"/>
      <c r="B400" s="3517"/>
      <c r="C400" s="3517"/>
      <c r="D400" s="3517"/>
      <c r="E400" s="3517"/>
      <c r="F400" s="3517"/>
    </row>
    <row r="401" spans="1:6" x14ac:dyDescent="0.3">
      <c r="A401" s="3517"/>
      <c r="B401" s="3517"/>
      <c r="C401" s="3517"/>
      <c r="D401" s="3517"/>
      <c r="E401" s="3517"/>
      <c r="F401" s="3517"/>
    </row>
    <row r="402" spans="1:6" x14ac:dyDescent="0.3">
      <c r="A402" s="3517" t="s">
        <v>639</v>
      </c>
      <c r="B402" s="3517"/>
      <c r="C402" s="3517"/>
      <c r="D402" s="3517"/>
      <c r="E402" s="3517"/>
      <c r="F402" s="3517"/>
    </row>
    <row r="403" spans="1:6" ht="19.5" thickBot="1" x14ac:dyDescent="0.35">
      <c r="A403" s="3516" t="s">
        <v>1268</v>
      </c>
      <c r="B403" s="3516"/>
      <c r="C403" s="3516"/>
      <c r="D403" s="3516"/>
      <c r="E403" s="3516"/>
      <c r="F403" s="3516"/>
    </row>
    <row r="404" spans="1:6" s="2549" customFormat="1" ht="57" thickBot="1" x14ac:dyDescent="0.25">
      <c r="A404" s="2548" t="s">
        <v>1</v>
      </c>
      <c r="B404" s="2290" t="s">
        <v>282</v>
      </c>
      <c r="C404" s="2548" t="s">
        <v>3197</v>
      </c>
      <c r="D404" s="2292" t="s">
        <v>1174</v>
      </c>
      <c r="E404" s="2292" t="s">
        <v>1145</v>
      </c>
      <c r="F404" s="2292" t="s">
        <v>3096</v>
      </c>
    </row>
    <row r="405" spans="1:6" x14ac:dyDescent="0.3">
      <c r="A405" s="170">
        <v>32010100</v>
      </c>
      <c r="B405" s="2558" t="s">
        <v>464</v>
      </c>
      <c r="C405" s="2558"/>
      <c r="D405" s="2559"/>
      <c r="E405" s="2559"/>
      <c r="F405" s="2559"/>
    </row>
    <row r="406" spans="1:6" x14ac:dyDescent="0.3">
      <c r="A406" s="170">
        <v>32010101</v>
      </c>
      <c r="B406" s="2558" t="s">
        <v>3212</v>
      </c>
      <c r="C406" s="2558"/>
      <c r="D406" s="2560">
        <f>SUM(D407)</f>
        <v>0</v>
      </c>
      <c r="E406" s="2560">
        <f t="shared" ref="E406:F406" si="19">SUM(E407)</f>
        <v>0</v>
      </c>
      <c r="F406" s="2560">
        <f t="shared" si="19"/>
        <v>10000000</v>
      </c>
    </row>
    <row r="407" spans="1:6" x14ac:dyDescent="0.3">
      <c r="A407" s="2562" t="s">
        <v>3519</v>
      </c>
      <c r="B407" s="1981" t="s">
        <v>1975</v>
      </c>
      <c r="C407" s="1981"/>
      <c r="D407" s="2584"/>
      <c r="E407" s="2584"/>
      <c r="F407" s="2584">
        <v>10000000</v>
      </c>
    </row>
    <row r="408" spans="1:6" s="2599" customFormat="1" x14ac:dyDescent="0.3">
      <c r="A408" s="170">
        <v>32030100</v>
      </c>
      <c r="B408" s="2566" t="s">
        <v>472</v>
      </c>
      <c r="C408" s="2566"/>
      <c r="D408" s="2584"/>
      <c r="E408" s="2556"/>
      <c r="F408" s="2584"/>
    </row>
    <row r="409" spans="1:6" x14ac:dyDescent="0.3">
      <c r="A409" s="2712">
        <v>32030109</v>
      </c>
      <c r="B409" s="2714" t="s">
        <v>3517</v>
      </c>
      <c r="C409" s="2566"/>
      <c r="D409" s="2560">
        <f>SUM(D410:D411)</f>
        <v>39488265</v>
      </c>
      <c r="E409" s="2560">
        <f t="shared" ref="E409:F409" si="20">SUM(E410:E411)</f>
        <v>0</v>
      </c>
      <c r="F409" s="2560">
        <f t="shared" si="20"/>
        <v>73488265</v>
      </c>
    </row>
    <row r="410" spans="1:6" x14ac:dyDescent="0.3">
      <c r="A410" s="2562" t="s">
        <v>3520</v>
      </c>
      <c r="B410" s="2613" t="s">
        <v>3522</v>
      </c>
      <c r="C410" s="2613"/>
      <c r="D410" s="2584">
        <v>39488265</v>
      </c>
      <c r="E410" s="2622">
        <v>0</v>
      </c>
      <c r="F410" s="2584">
        <v>39488265</v>
      </c>
    </row>
    <row r="411" spans="1:6" x14ac:dyDescent="0.3">
      <c r="A411" s="2562" t="s">
        <v>3521</v>
      </c>
      <c r="B411" s="2613" t="s">
        <v>3010</v>
      </c>
      <c r="C411" s="2613"/>
      <c r="D411" s="2584"/>
      <c r="E411" s="2622"/>
      <c r="F411" s="2584">
        <v>34000000</v>
      </c>
    </row>
    <row r="412" spans="1:6" ht="19.5" thickBot="1" x14ac:dyDescent="0.35">
      <c r="A412" s="2602"/>
      <c r="B412" s="2740"/>
      <c r="C412" s="2740"/>
      <c r="D412" s="2741"/>
      <c r="E412" s="2741"/>
      <c r="F412" s="2741"/>
    </row>
    <row r="413" spans="1:6" ht="24.75" customHeight="1" thickBot="1" x14ac:dyDescent="0.35">
      <c r="A413" s="2617"/>
      <c r="B413" s="2594" t="s">
        <v>2587</v>
      </c>
      <c r="C413" s="2594"/>
      <c r="D413" s="2595">
        <f>SUM(D406,D410)</f>
        <v>39488265</v>
      </c>
      <c r="E413" s="2595">
        <f>SUM(E406,E410)</f>
        <v>0</v>
      </c>
      <c r="F413" s="2595">
        <f>SUM(F406,F409)</f>
        <v>83488265</v>
      </c>
    </row>
    <row r="414" spans="1:6" x14ac:dyDescent="0.3">
      <c r="A414" s="3517"/>
      <c r="B414" s="3517"/>
      <c r="C414" s="3517"/>
      <c r="D414" s="3517"/>
      <c r="E414" s="3517"/>
      <c r="F414" s="3517"/>
    </row>
    <row r="415" spans="1:6" s="1984" customFormat="1" ht="20.25" x14ac:dyDescent="0.2">
      <c r="A415" s="3477"/>
      <c r="B415" s="3477"/>
      <c r="C415" s="3477"/>
      <c r="D415" s="3477"/>
      <c r="E415" s="3477"/>
      <c r="F415" s="3477"/>
    </row>
    <row r="416" spans="1:6" s="1984" customFormat="1" ht="20.25" x14ac:dyDescent="0.2">
      <c r="A416" s="3477" t="s">
        <v>641</v>
      </c>
      <c r="B416" s="3477"/>
      <c r="C416" s="3477"/>
      <c r="D416" s="3477"/>
      <c r="E416" s="3477"/>
      <c r="F416" s="3477"/>
    </row>
    <row r="417" spans="1:6" s="1984" customFormat="1" ht="21" thickBot="1" x14ac:dyDescent="0.25">
      <c r="A417" s="3476" t="s">
        <v>150</v>
      </c>
      <c r="B417" s="3476"/>
      <c r="C417" s="3476"/>
      <c r="D417" s="3476"/>
      <c r="E417" s="3476"/>
      <c r="F417" s="3476"/>
    </row>
    <row r="418" spans="1:6" s="2549" customFormat="1" ht="57" thickBot="1" x14ac:dyDescent="0.25">
      <c r="A418" s="2548" t="s">
        <v>1</v>
      </c>
      <c r="B418" s="2290" t="s">
        <v>282</v>
      </c>
      <c r="C418" s="2548" t="s">
        <v>3197</v>
      </c>
      <c r="D418" s="2292" t="s">
        <v>1174</v>
      </c>
      <c r="E418" s="2292" t="s">
        <v>1145</v>
      </c>
      <c r="F418" s="2292" t="s">
        <v>3096</v>
      </c>
    </row>
    <row r="419" spans="1:6" x14ac:dyDescent="0.3">
      <c r="A419" s="170">
        <v>32010100</v>
      </c>
      <c r="B419" s="2558" t="s">
        <v>464</v>
      </c>
      <c r="C419" s="2558"/>
      <c r="D419" s="2559"/>
      <c r="E419" s="2559"/>
      <c r="F419" s="2559"/>
    </row>
    <row r="420" spans="1:6" x14ac:dyDescent="0.3">
      <c r="A420" s="170">
        <v>32010101</v>
      </c>
      <c r="B420" s="2558" t="s">
        <v>3212</v>
      </c>
      <c r="C420" s="2558"/>
      <c r="D420" s="2600">
        <f>SUM(D421)</f>
        <v>0</v>
      </c>
      <c r="E420" s="2600">
        <f>SUM(E421)</f>
        <v>0</v>
      </c>
      <c r="F420" s="2600">
        <f>SUM(F421)</f>
        <v>50000000</v>
      </c>
    </row>
    <row r="421" spans="1:6" x14ac:dyDescent="0.3">
      <c r="A421" s="2562" t="s">
        <v>3523</v>
      </c>
      <c r="B421" s="1981" t="s">
        <v>2971</v>
      </c>
      <c r="C421" s="1981"/>
      <c r="D421" s="2584"/>
      <c r="E421" s="2584"/>
      <c r="F421" s="2584">
        <v>50000000</v>
      </c>
    </row>
    <row r="422" spans="1:6" s="2599" customFormat="1" x14ac:dyDescent="0.3">
      <c r="A422" s="170">
        <v>32030100</v>
      </c>
      <c r="B422" s="2566" t="s">
        <v>472</v>
      </c>
      <c r="C422" s="2566"/>
      <c r="D422" s="2584"/>
      <c r="E422" s="2556"/>
      <c r="F422" s="2584"/>
    </row>
    <row r="423" spans="1:6" x14ac:dyDescent="0.3">
      <c r="A423" s="2712">
        <v>32030109</v>
      </c>
      <c r="B423" s="2714" t="s">
        <v>3517</v>
      </c>
      <c r="C423" s="2566"/>
      <c r="D423" s="2560">
        <f>SUM(D424)</f>
        <v>0</v>
      </c>
      <c r="E423" s="2560">
        <f t="shared" ref="E423:F423" si="21">SUM(E424)</f>
        <v>0</v>
      </c>
      <c r="F423" s="2560">
        <f t="shared" si="21"/>
        <v>20000000</v>
      </c>
    </row>
    <row r="424" spans="1:6" x14ac:dyDescent="0.3">
      <c r="A424" s="2562" t="s">
        <v>3524</v>
      </c>
      <c r="B424" s="2613" t="s">
        <v>2972</v>
      </c>
      <c r="C424" s="2613"/>
      <c r="D424" s="2584"/>
      <c r="E424" s="2622"/>
      <c r="F424" s="2584">
        <v>20000000</v>
      </c>
    </row>
    <row r="425" spans="1:6" ht="19.5" thickBot="1" x14ac:dyDescent="0.35">
      <c r="A425" s="2562"/>
      <c r="B425" s="2558"/>
      <c r="C425" s="2558"/>
      <c r="D425" s="2738"/>
      <c r="E425" s="2738"/>
      <c r="F425" s="2738"/>
    </row>
    <row r="426" spans="1:6" ht="19.5" thickBot="1" x14ac:dyDescent="0.35">
      <c r="A426" s="2562"/>
      <c r="B426" s="2558" t="s">
        <v>2674</v>
      </c>
      <c r="C426" s="2557"/>
      <c r="D426" s="2742">
        <f>SUM(D420,D423)</f>
        <v>0</v>
      </c>
      <c r="E426" s="2743">
        <f>SUM(E420,E423)</f>
        <v>0</v>
      </c>
      <c r="F426" s="2734">
        <f>SUM(F420,F423)</f>
        <v>70000000</v>
      </c>
    </row>
    <row r="427" spans="1:6" x14ac:dyDescent="0.3">
      <c r="A427" s="2576"/>
      <c r="B427" s="2577"/>
      <c r="C427" s="2577"/>
      <c r="D427" s="2578"/>
      <c r="E427" s="2681"/>
      <c r="F427" s="2578"/>
    </row>
    <row r="428" spans="1:6" x14ac:dyDescent="0.3">
      <c r="A428" s="3517" t="s">
        <v>641</v>
      </c>
      <c r="B428" s="3517"/>
      <c r="C428" s="3517"/>
      <c r="D428" s="3517"/>
      <c r="E428" s="3517"/>
      <c r="F428" s="3517"/>
    </row>
    <row r="429" spans="1:6" ht="19.5" thickBot="1" x14ac:dyDescent="0.35">
      <c r="A429" s="3518" t="s">
        <v>540</v>
      </c>
      <c r="B429" s="3518"/>
      <c r="C429" s="3518"/>
      <c r="D429" s="3518"/>
      <c r="E429" s="3518"/>
      <c r="F429" s="3518"/>
    </row>
    <row r="430" spans="1:6" s="2549" customFormat="1" ht="57" thickBot="1" x14ac:dyDescent="0.25">
      <c r="A430" s="2548" t="s">
        <v>1</v>
      </c>
      <c r="B430" s="2290" t="s">
        <v>282</v>
      </c>
      <c r="C430" s="2548" t="s">
        <v>3197</v>
      </c>
      <c r="D430" s="2292" t="s">
        <v>1174</v>
      </c>
      <c r="E430" s="2292" t="s">
        <v>1145</v>
      </c>
      <c r="F430" s="2292" t="s">
        <v>3096</v>
      </c>
    </row>
    <row r="431" spans="1:6" s="2599" customFormat="1" x14ac:dyDescent="0.3">
      <c r="A431" s="2664">
        <v>32000000</v>
      </c>
      <c r="B431" s="2579" t="s">
        <v>462</v>
      </c>
      <c r="C431" s="2579"/>
      <c r="D431" s="2580"/>
      <c r="E431" s="2580"/>
      <c r="F431" s="2580"/>
    </row>
    <row r="432" spans="1:6" x14ac:dyDescent="0.3">
      <c r="A432" s="170">
        <v>32030100</v>
      </c>
      <c r="B432" s="2566" t="s">
        <v>472</v>
      </c>
      <c r="C432" s="2566"/>
      <c r="D432" s="2600">
        <f>SUM(D434:D434)</f>
        <v>276417855</v>
      </c>
      <c r="E432" s="2600">
        <f>SUM(E434:E434)</f>
        <v>207313391.25</v>
      </c>
      <c r="F432" s="2600">
        <f>SUM(F434:F434)</f>
        <v>276417855</v>
      </c>
    </row>
    <row r="433" spans="1:6" x14ac:dyDescent="0.3">
      <c r="A433" s="2712">
        <v>32030109</v>
      </c>
      <c r="B433" s="2714" t="s">
        <v>3517</v>
      </c>
      <c r="C433" s="2566"/>
      <c r="D433" s="2584"/>
      <c r="E433" s="2556"/>
      <c r="F433" s="2584"/>
    </row>
    <row r="434" spans="1:6" x14ac:dyDescent="0.3">
      <c r="A434" s="2562" t="s">
        <v>3525</v>
      </c>
      <c r="B434" s="1981" t="s">
        <v>1269</v>
      </c>
      <c r="C434" s="1981"/>
      <c r="D434" s="2584">
        <v>276417855</v>
      </c>
      <c r="E434" s="2584">
        <v>207313391.25</v>
      </c>
      <c r="F434" s="2584">
        <v>276417855</v>
      </c>
    </row>
    <row r="435" spans="1:6" ht="19.5" thickBot="1" x14ac:dyDescent="0.35">
      <c r="A435" s="2614"/>
      <c r="B435" s="2680"/>
      <c r="C435" s="2680"/>
      <c r="D435" s="2616"/>
      <c r="E435" s="2698"/>
      <c r="F435" s="2616"/>
    </row>
    <row r="436" spans="1:6" s="2599" customFormat="1" ht="19.5" thickBot="1" x14ac:dyDescent="0.35">
      <c r="A436" s="2548"/>
      <c r="B436" s="2594" t="s">
        <v>2588</v>
      </c>
      <c r="C436" s="2594"/>
      <c r="D436" s="2595">
        <f>SUM(D432)</f>
        <v>276417855</v>
      </c>
      <c r="E436" s="2595">
        <f>SUM(E432)</f>
        <v>207313391.25</v>
      </c>
      <c r="F436" s="2595">
        <f>SUM(F432)</f>
        <v>276417855</v>
      </c>
    </row>
    <row r="437" spans="1:6" s="2599" customFormat="1" x14ac:dyDescent="0.3">
      <c r="A437" s="2596"/>
      <c r="B437" s="2577"/>
      <c r="C437" s="2577"/>
      <c r="D437" s="2578"/>
      <c r="E437" s="2578"/>
      <c r="F437" s="2578"/>
    </row>
    <row r="438" spans="1:6" s="2599" customFormat="1" x14ac:dyDescent="0.3">
      <c r="A438" s="2596"/>
      <c r="B438" s="2577"/>
      <c r="C438" s="2577"/>
      <c r="D438" s="2578"/>
      <c r="E438" s="2578"/>
      <c r="F438" s="2578"/>
    </row>
    <row r="439" spans="1:6" s="2599" customFormat="1" x14ac:dyDescent="0.3">
      <c r="A439" s="2596"/>
      <c r="B439" s="2577"/>
      <c r="C439" s="2577"/>
      <c r="D439" s="2578"/>
      <c r="E439" s="2578"/>
      <c r="F439" s="2578"/>
    </row>
    <row r="440" spans="1:6" x14ac:dyDescent="0.3">
      <c r="A440" s="3517" t="s">
        <v>641</v>
      </c>
      <c r="B440" s="3517"/>
      <c r="C440" s="3517"/>
      <c r="D440" s="3517"/>
      <c r="E440" s="3517"/>
      <c r="F440" s="3517"/>
    </row>
    <row r="441" spans="1:6" ht="19.5" thickBot="1" x14ac:dyDescent="0.35">
      <c r="A441" s="3516" t="s">
        <v>1545</v>
      </c>
      <c r="B441" s="3516"/>
      <c r="C441" s="3516"/>
      <c r="D441" s="3516"/>
      <c r="E441" s="3516"/>
      <c r="F441" s="3516"/>
    </row>
    <row r="442" spans="1:6" s="2549" customFormat="1" ht="57" thickBot="1" x14ac:dyDescent="0.25">
      <c r="A442" s="2548" t="s">
        <v>1</v>
      </c>
      <c r="B442" s="2290" t="s">
        <v>282</v>
      </c>
      <c r="C442" s="2548" t="s">
        <v>3197</v>
      </c>
      <c r="D442" s="2292" t="s">
        <v>1174</v>
      </c>
      <c r="E442" s="2292" t="s">
        <v>1145</v>
      </c>
      <c r="F442" s="2292" t="s">
        <v>3096</v>
      </c>
    </row>
    <row r="443" spans="1:6" s="2599" customFormat="1" x14ac:dyDescent="0.3">
      <c r="A443" s="2744">
        <v>32000000</v>
      </c>
      <c r="B443" s="2745" t="s">
        <v>462</v>
      </c>
      <c r="C443" s="2745"/>
      <c r="D443" s="2552"/>
      <c r="E443" s="2634"/>
      <c r="F443" s="2552"/>
    </row>
    <row r="444" spans="1:6" x14ac:dyDescent="0.3">
      <c r="A444" s="2666">
        <v>32010000</v>
      </c>
      <c r="B444" s="2558" t="s">
        <v>463</v>
      </c>
      <c r="C444" s="2558"/>
      <c r="D444" s="2559"/>
      <c r="E444" s="2559"/>
      <c r="F444" s="2559"/>
    </row>
    <row r="445" spans="1:6" x14ac:dyDescent="0.3">
      <c r="A445" s="2666">
        <v>32010100</v>
      </c>
      <c r="B445" s="2558" t="s">
        <v>464</v>
      </c>
      <c r="C445" s="2558"/>
      <c r="D445" s="2560">
        <f>SUM(D447)</f>
        <v>20000000</v>
      </c>
      <c r="E445" s="2560">
        <f t="shared" ref="E445:F445" si="22">SUM(E447)</f>
        <v>0</v>
      </c>
      <c r="F445" s="2560">
        <f t="shared" si="22"/>
        <v>0</v>
      </c>
    </row>
    <row r="446" spans="1:6" x14ac:dyDescent="0.3">
      <c r="A446" s="2624">
        <v>32010101</v>
      </c>
      <c r="B446" s="2558" t="s">
        <v>3212</v>
      </c>
      <c r="C446" s="2746"/>
      <c r="D446" s="2560"/>
      <c r="E446" s="2560"/>
      <c r="F446" s="2560"/>
    </row>
    <row r="447" spans="1:6" x14ac:dyDescent="0.3">
      <c r="A447" s="2690" t="s">
        <v>3526</v>
      </c>
      <c r="B447" s="2311" t="s">
        <v>3070</v>
      </c>
      <c r="C447" s="2747"/>
      <c r="D447" s="2710">
        <v>20000000</v>
      </c>
      <c r="E447" s="2710"/>
      <c r="F447" s="2748">
        <v>0</v>
      </c>
    </row>
    <row r="448" spans="1:6" ht="19.5" thickBot="1" x14ac:dyDescent="0.35">
      <c r="A448" s="2576"/>
      <c r="B448" s="2311"/>
      <c r="C448" s="2747"/>
      <c r="D448" s="2710"/>
      <c r="E448" s="2710"/>
      <c r="F448" s="2748"/>
    </row>
    <row r="449" spans="1:6" ht="19.5" thickBot="1" x14ac:dyDescent="0.35">
      <c r="A449" s="2699"/>
      <c r="B449" s="2566" t="s">
        <v>1547</v>
      </c>
      <c r="C449" s="2603"/>
      <c r="D449" s="2605">
        <f>SUM(D447)</f>
        <v>20000000</v>
      </c>
      <c r="E449" s="2749">
        <f>SUM(E447)</f>
        <v>0</v>
      </c>
      <c r="F449" s="2750">
        <f>SUM(F447)</f>
        <v>0</v>
      </c>
    </row>
    <row r="450" spans="1:6" x14ac:dyDescent="0.3">
      <c r="A450" s="2576"/>
      <c r="B450" s="2577"/>
      <c r="C450" s="2577"/>
      <c r="D450" s="2578"/>
      <c r="E450" s="2681"/>
      <c r="F450" s="2578"/>
    </row>
    <row r="451" spans="1:6" s="2599" customFormat="1" x14ac:dyDescent="0.3">
      <c r="A451" s="2596"/>
      <c r="B451" s="2577"/>
      <c r="C451" s="2577"/>
      <c r="D451" s="2578"/>
      <c r="E451" s="2578"/>
      <c r="F451" s="2578"/>
    </row>
    <row r="452" spans="1:6" x14ac:dyDescent="0.3">
      <c r="A452" s="3518" t="s">
        <v>641</v>
      </c>
      <c r="B452" s="3518"/>
      <c r="C452" s="3518"/>
      <c r="D452" s="3518"/>
      <c r="E452" s="3518"/>
      <c r="F452" s="3518"/>
    </row>
    <row r="453" spans="1:6" ht="19.5" thickBot="1" x14ac:dyDescent="0.35">
      <c r="A453" s="3516" t="s">
        <v>151</v>
      </c>
      <c r="B453" s="3516"/>
      <c r="C453" s="3516"/>
      <c r="D453" s="3516"/>
      <c r="E453" s="3516"/>
      <c r="F453" s="3516"/>
    </row>
    <row r="454" spans="1:6" s="2549" customFormat="1" ht="57" thickBot="1" x14ac:dyDescent="0.25">
      <c r="A454" s="2548" t="s">
        <v>1</v>
      </c>
      <c r="B454" s="2290" t="s">
        <v>282</v>
      </c>
      <c r="C454" s="2548" t="s">
        <v>3197</v>
      </c>
      <c r="D454" s="2292" t="s">
        <v>1174</v>
      </c>
      <c r="E454" s="2292" t="s">
        <v>1145</v>
      </c>
      <c r="F454" s="2292" t="s">
        <v>3096</v>
      </c>
    </row>
    <row r="455" spans="1:6" s="2599" customFormat="1" x14ac:dyDescent="0.3">
      <c r="A455" s="2553">
        <v>32000000</v>
      </c>
      <c r="B455" s="2555" t="s">
        <v>462</v>
      </c>
      <c r="C455" s="2631"/>
      <c r="D455" s="2552"/>
      <c r="E455" s="2751"/>
      <c r="F455" s="2552"/>
    </row>
    <row r="456" spans="1:6" x14ac:dyDescent="0.3">
      <c r="A456" s="170">
        <v>32010000</v>
      </c>
      <c r="B456" s="2558" t="s">
        <v>463</v>
      </c>
      <c r="C456" s="2558"/>
      <c r="D456" s="2559"/>
      <c r="E456" s="2559"/>
      <c r="F456" s="2559"/>
    </row>
    <row r="457" spans="1:6" x14ac:dyDescent="0.3">
      <c r="A457" s="170">
        <v>32010100</v>
      </c>
      <c r="B457" s="2752" t="s">
        <v>464</v>
      </c>
      <c r="C457" s="2558"/>
      <c r="D457" s="2559"/>
      <c r="E457" s="2559"/>
      <c r="F457" s="2559"/>
    </row>
    <row r="458" spans="1:6" x14ac:dyDescent="0.3">
      <c r="A458" s="170">
        <v>32010101</v>
      </c>
      <c r="B458" s="2558" t="s">
        <v>3212</v>
      </c>
      <c r="C458" s="2558"/>
      <c r="D458" s="2560">
        <f>SUM(D459)</f>
        <v>0</v>
      </c>
      <c r="E458" s="2560">
        <f t="shared" ref="E458:F458" si="23">SUM(E459)</f>
        <v>0</v>
      </c>
      <c r="F458" s="2560">
        <f t="shared" si="23"/>
        <v>0</v>
      </c>
    </row>
    <row r="459" spans="1:6" x14ac:dyDescent="0.3">
      <c r="A459" s="2562" t="s">
        <v>3527</v>
      </c>
      <c r="B459" s="1981" t="s">
        <v>840</v>
      </c>
      <c r="C459" s="1981"/>
      <c r="D459" s="2584">
        <v>0</v>
      </c>
      <c r="E459" s="2584"/>
      <c r="F459" s="2667">
        <v>0</v>
      </c>
    </row>
    <row r="460" spans="1:6" x14ac:dyDescent="0.3">
      <c r="A460" s="170">
        <v>32010300</v>
      </c>
      <c r="B460" s="2558" t="s">
        <v>3529</v>
      </c>
      <c r="C460" s="2558"/>
      <c r="D460" s="2600">
        <f>SUM(D461)</f>
        <v>20000000</v>
      </c>
      <c r="E460" s="2600">
        <f t="shared" ref="E460:F460" si="24">SUM(E461)</f>
        <v>0</v>
      </c>
      <c r="F460" s="2600">
        <f t="shared" si="24"/>
        <v>20000000</v>
      </c>
    </row>
    <row r="461" spans="1:6" x14ac:dyDescent="0.3">
      <c r="A461" s="2562" t="s">
        <v>3528</v>
      </c>
      <c r="B461" s="1981" t="s">
        <v>1542</v>
      </c>
      <c r="C461" s="1981"/>
      <c r="D461" s="2584">
        <v>20000000</v>
      </c>
      <c r="E461" s="2584"/>
      <c r="F461" s="2584">
        <v>20000000</v>
      </c>
    </row>
    <row r="462" spans="1:6" x14ac:dyDescent="0.3">
      <c r="A462" s="170">
        <v>32010600</v>
      </c>
      <c r="B462" s="2558" t="s">
        <v>469</v>
      </c>
      <c r="C462" s="2558"/>
      <c r="D462" s="2584"/>
      <c r="E462" s="2556"/>
      <c r="F462" s="2584"/>
    </row>
    <row r="463" spans="1:6" x14ac:dyDescent="0.3">
      <c r="A463" s="170">
        <v>32010601</v>
      </c>
      <c r="B463" s="2558" t="s">
        <v>3479</v>
      </c>
      <c r="C463" s="2558"/>
      <c r="D463" s="2600">
        <f>SUM(D464)</f>
        <v>20000000</v>
      </c>
      <c r="E463" s="2600">
        <f t="shared" ref="E463:F463" si="25">SUM(E464)</f>
        <v>0</v>
      </c>
      <c r="F463" s="2600">
        <f t="shared" si="25"/>
        <v>0</v>
      </c>
    </row>
    <row r="464" spans="1:6" x14ac:dyDescent="0.3">
      <c r="A464" s="2562" t="s">
        <v>3530</v>
      </c>
      <c r="B464" s="2669" t="s">
        <v>841</v>
      </c>
      <c r="C464" s="2669"/>
      <c r="D464" s="2584">
        <v>20000000</v>
      </c>
      <c r="E464" s="2584"/>
      <c r="F464" s="2667">
        <v>0</v>
      </c>
    </row>
    <row r="465" spans="1:6" x14ac:dyDescent="0.3">
      <c r="A465" s="170">
        <v>32030100</v>
      </c>
      <c r="B465" s="2566" t="s">
        <v>472</v>
      </c>
      <c r="C465" s="2566"/>
      <c r="D465" s="2622"/>
      <c r="E465" s="2556"/>
      <c r="F465" s="2622"/>
    </row>
    <row r="466" spans="1:6" x14ac:dyDescent="0.3">
      <c r="A466" s="2712">
        <v>32030109</v>
      </c>
      <c r="B466" s="2714" t="s">
        <v>3517</v>
      </c>
      <c r="C466" s="2566"/>
      <c r="D466" s="2600">
        <f>SUM(D467)</f>
        <v>0</v>
      </c>
      <c r="E466" s="2600">
        <f t="shared" ref="E466:F466" si="26">SUM(E467)</f>
        <v>0</v>
      </c>
      <c r="F466" s="2600">
        <f t="shared" si="26"/>
        <v>800000000</v>
      </c>
    </row>
    <row r="467" spans="1:6" x14ac:dyDescent="0.3">
      <c r="A467" s="2562" t="s">
        <v>3531</v>
      </c>
      <c r="B467" s="1981" t="s">
        <v>232</v>
      </c>
      <c r="C467" s="1981"/>
      <c r="D467" s="2622"/>
      <c r="E467" s="2556"/>
      <c r="F467" s="2622">
        <v>800000000</v>
      </c>
    </row>
    <row r="468" spans="1:6" ht="19.5" thickBot="1" x14ac:dyDescent="0.35">
      <c r="A468" s="2696"/>
      <c r="B468" s="2615"/>
      <c r="C468" s="2615"/>
      <c r="D468" s="2616"/>
      <c r="E468" s="2751"/>
      <c r="F468" s="2616"/>
    </row>
    <row r="469" spans="1:6" ht="19.5" thickBot="1" x14ac:dyDescent="0.35">
      <c r="A469" s="2548"/>
      <c r="B469" s="2594" t="s">
        <v>2589</v>
      </c>
      <c r="C469" s="2594"/>
      <c r="D469" s="2595">
        <f>SUM(D458,D460,D463,D466)</f>
        <v>40000000</v>
      </c>
      <c r="E469" s="2595">
        <f>SUM(E458,E460,E463,E466)</f>
        <v>0</v>
      </c>
      <c r="F469" s="2595">
        <f>SUM(F458,F460,F463,F466)</f>
        <v>820000000</v>
      </c>
    </row>
    <row r="470" spans="1:6" s="2599" customFormat="1" x14ac:dyDescent="0.3">
      <c r="A470" s="2753"/>
      <c r="B470" s="169"/>
      <c r="C470" s="169"/>
      <c r="D470" s="2754"/>
      <c r="E470" s="2754"/>
      <c r="F470" s="2754"/>
    </row>
    <row r="471" spans="1:6" x14ac:dyDescent="0.3">
      <c r="A471" s="3535"/>
      <c r="B471" s="3535"/>
      <c r="C471" s="3535"/>
      <c r="D471" s="3535"/>
      <c r="E471" s="3535"/>
      <c r="F471" s="3535"/>
    </row>
    <row r="472" spans="1:6" x14ac:dyDescent="0.3">
      <c r="A472" s="3514" t="s">
        <v>80</v>
      </c>
      <c r="B472" s="3514"/>
      <c r="C472" s="3514"/>
      <c r="D472" s="3514"/>
      <c r="E472" s="3514"/>
      <c r="F472" s="3514"/>
    </row>
    <row r="473" spans="1:6" ht="19.5" thickBot="1" x14ac:dyDescent="0.35">
      <c r="A473" s="3513" t="s">
        <v>4293</v>
      </c>
      <c r="B473" s="3513"/>
      <c r="C473" s="3513"/>
      <c r="D473" s="3513"/>
      <c r="E473" s="3513"/>
      <c r="F473" s="3513"/>
    </row>
    <row r="474" spans="1:6" s="3068" customFormat="1" ht="20.25" thickBot="1" x14ac:dyDescent="0.4">
      <c r="A474" s="3541" t="s">
        <v>4294</v>
      </c>
      <c r="B474" s="3541"/>
      <c r="C474" s="3541"/>
      <c r="D474" s="3541"/>
      <c r="E474" s="3541"/>
      <c r="F474" s="3541"/>
    </row>
    <row r="475" spans="1:6" s="2549" customFormat="1" ht="41.25" customHeight="1" thickBot="1" x14ac:dyDescent="0.25">
      <c r="A475" s="2548" t="s">
        <v>1</v>
      </c>
      <c r="B475" s="2290" t="s">
        <v>282</v>
      </c>
      <c r="C475" s="2548" t="s">
        <v>3197</v>
      </c>
      <c r="D475" s="2292" t="s">
        <v>1174</v>
      </c>
      <c r="E475" s="2292" t="s">
        <v>1145</v>
      </c>
      <c r="F475" s="2292" t="s">
        <v>3096</v>
      </c>
    </row>
    <row r="476" spans="1:6" x14ac:dyDescent="0.3">
      <c r="A476" s="170">
        <v>32030100</v>
      </c>
      <c r="B476" s="2566" t="s">
        <v>472</v>
      </c>
      <c r="C476" s="2566"/>
      <c r="D476" s="2755"/>
      <c r="E476" s="2556"/>
      <c r="F476" s="2584"/>
    </row>
    <row r="477" spans="1:6" x14ac:dyDescent="0.3">
      <c r="A477" s="2712">
        <v>32030109</v>
      </c>
      <c r="B477" s="2714" t="s">
        <v>3517</v>
      </c>
      <c r="C477" s="2566"/>
      <c r="D477" s="2584"/>
      <c r="E477" s="2556"/>
      <c r="F477" s="2584"/>
    </row>
    <row r="478" spans="1:6" x14ac:dyDescent="0.3">
      <c r="A478" s="2712">
        <v>32030109</v>
      </c>
      <c r="B478" s="2566" t="s">
        <v>842</v>
      </c>
      <c r="C478" s="2566"/>
      <c r="D478" s="2600">
        <f>SUM(D479:D483)</f>
        <v>1726982768</v>
      </c>
      <c r="E478" s="2600">
        <f>SUM(E479:E483)</f>
        <v>182896880</v>
      </c>
      <c r="F478" s="2600">
        <f>SUM(F479:F483)</f>
        <v>1581166953</v>
      </c>
    </row>
    <row r="479" spans="1:6" x14ac:dyDescent="0.3">
      <c r="A479" s="2562" t="s">
        <v>3535</v>
      </c>
      <c r="B479" s="1981" t="s">
        <v>1998</v>
      </c>
      <c r="C479" s="1981"/>
      <c r="D479" s="2755">
        <v>1204670268</v>
      </c>
      <c r="E479" s="2584">
        <v>182896880</v>
      </c>
      <c r="F479" s="2584">
        <v>1204670268</v>
      </c>
    </row>
    <row r="480" spans="1:6" x14ac:dyDescent="0.3">
      <c r="A480" s="2562" t="s">
        <v>3536</v>
      </c>
      <c r="B480" s="1981" t="s">
        <v>3532</v>
      </c>
      <c r="C480" s="1981"/>
      <c r="D480" s="2755">
        <v>217312500</v>
      </c>
      <c r="E480" s="2584"/>
      <c r="F480" s="2584">
        <v>26496685</v>
      </c>
    </row>
    <row r="481" spans="1:6" x14ac:dyDescent="0.3">
      <c r="A481" s="2562" t="s">
        <v>3537</v>
      </c>
      <c r="B481" s="1981" t="s">
        <v>843</v>
      </c>
      <c r="C481" s="1981"/>
      <c r="D481" s="2755">
        <v>300000000</v>
      </c>
      <c r="E481" s="2584"/>
      <c r="F481" s="2584">
        <v>200000000</v>
      </c>
    </row>
    <row r="482" spans="1:6" x14ac:dyDescent="0.3">
      <c r="A482" s="2562" t="s">
        <v>3538</v>
      </c>
      <c r="B482" s="1981" t="s">
        <v>2843</v>
      </c>
      <c r="C482" s="1981"/>
      <c r="D482" s="2755">
        <v>5000000</v>
      </c>
      <c r="E482" s="2584"/>
      <c r="F482" s="2584">
        <v>0</v>
      </c>
    </row>
    <row r="483" spans="1:6" x14ac:dyDescent="0.3">
      <c r="A483" s="2562" t="s">
        <v>3539</v>
      </c>
      <c r="B483" s="1981" t="s">
        <v>2982</v>
      </c>
      <c r="C483" s="1981"/>
      <c r="D483" s="2755"/>
      <c r="E483" s="2584"/>
      <c r="F483" s="2584">
        <v>150000000</v>
      </c>
    </row>
    <row r="484" spans="1:6" x14ac:dyDescent="0.3">
      <c r="A484" s="170">
        <v>32010300</v>
      </c>
      <c r="B484" s="2558" t="s">
        <v>3534</v>
      </c>
      <c r="C484" s="2558"/>
      <c r="D484" s="2755"/>
      <c r="E484" s="2584"/>
      <c r="F484" s="2584"/>
    </row>
    <row r="485" spans="1:6" x14ac:dyDescent="0.3">
      <c r="A485" s="170">
        <v>32010301</v>
      </c>
      <c r="B485" s="2558" t="s">
        <v>3533</v>
      </c>
      <c r="C485" s="2558"/>
      <c r="D485" s="2756">
        <f>SUM(D486)</f>
        <v>195000000</v>
      </c>
      <c r="E485" s="2600">
        <f>SUM(E486)</f>
        <v>173971115</v>
      </c>
      <c r="F485" s="2600">
        <f>SUM(F486)</f>
        <v>0</v>
      </c>
    </row>
    <row r="486" spans="1:6" x14ac:dyDescent="0.3">
      <c r="A486" s="2562" t="s">
        <v>3538</v>
      </c>
      <c r="B486" s="1981" t="s">
        <v>2844</v>
      </c>
      <c r="C486" s="1981"/>
      <c r="D486" s="2757">
        <v>195000000</v>
      </c>
      <c r="E486" s="2584">
        <v>173971115</v>
      </c>
      <c r="F486" s="2667">
        <v>0</v>
      </c>
    </row>
    <row r="487" spans="1:6" ht="19.5" thickBot="1" x14ac:dyDescent="0.35">
      <c r="A487" s="2562"/>
      <c r="B487" s="1981"/>
      <c r="C487" s="1981"/>
      <c r="D487" s="2758"/>
      <c r="E487" s="2751"/>
      <c r="F487" s="2616"/>
    </row>
    <row r="488" spans="1:6" ht="19.5" thickBot="1" x14ac:dyDescent="0.35">
      <c r="A488" s="170"/>
      <c r="B488" s="2566" t="s">
        <v>2</v>
      </c>
      <c r="C488" s="2566"/>
      <c r="D488" s="2739">
        <f>SUM(D478,D485)</f>
        <v>1921982768</v>
      </c>
      <c r="E488" s="2595">
        <f>SUM(E478,E485)</f>
        <v>356867995</v>
      </c>
      <c r="F488" s="2595">
        <f>SUM(F478,F485)</f>
        <v>1581166953</v>
      </c>
    </row>
    <row r="489" spans="1:6" s="2759" customFormat="1" ht="19.5" thickBot="1" x14ac:dyDescent="0.35">
      <c r="A489" s="3542" t="s">
        <v>2593</v>
      </c>
      <c r="B489" s="3542"/>
      <c r="C489" s="3542"/>
      <c r="D489" s="3542"/>
      <c r="E489" s="3542"/>
      <c r="F489" s="3542"/>
    </row>
    <row r="490" spans="1:6" s="2549" customFormat="1" ht="57" thickBot="1" x14ac:dyDescent="0.25">
      <c r="A490" s="2548" t="s">
        <v>1</v>
      </c>
      <c r="B490" s="2290" t="s">
        <v>282</v>
      </c>
      <c r="C490" s="2548" t="s">
        <v>3197</v>
      </c>
      <c r="D490" s="2292" t="s">
        <v>1174</v>
      </c>
      <c r="E490" s="2292" t="s">
        <v>1145</v>
      </c>
      <c r="F490" s="2292" t="s">
        <v>3096</v>
      </c>
    </row>
    <row r="491" spans="1:6" s="2599" customFormat="1" x14ac:dyDescent="0.3">
      <c r="A491" s="2760">
        <v>32000000</v>
      </c>
      <c r="B491" s="2761" t="s">
        <v>462</v>
      </c>
      <c r="C491" s="2761"/>
      <c r="D491" s="2762"/>
      <c r="E491" s="2763"/>
      <c r="F491" s="2763"/>
    </row>
    <row r="492" spans="1:6" x14ac:dyDescent="0.3">
      <c r="A492" s="2624">
        <v>32010000</v>
      </c>
      <c r="B492" s="2558" t="s">
        <v>463</v>
      </c>
      <c r="C492" s="2558"/>
      <c r="D492" s="2764"/>
      <c r="E492" s="2559"/>
      <c r="F492" s="2559"/>
    </row>
    <row r="493" spans="1:6" x14ac:dyDescent="0.3">
      <c r="A493" s="2624">
        <v>32010100</v>
      </c>
      <c r="B493" s="2558" t="s">
        <v>464</v>
      </c>
      <c r="C493" s="2558"/>
      <c r="D493" s="2764"/>
      <c r="E493" s="2559"/>
      <c r="F493" s="2559"/>
    </row>
    <row r="494" spans="1:6" x14ac:dyDescent="0.3">
      <c r="A494" s="2624">
        <v>32010101</v>
      </c>
      <c r="B494" s="2558" t="s">
        <v>3212</v>
      </c>
      <c r="C494" s="2558"/>
      <c r="D494" s="2765">
        <f>SUM(D495)</f>
        <v>0</v>
      </c>
      <c r="E494" s="2765">
        <f t="shared" ref="E494:F494" si="27">SUM(E495)</f>
        <v>0</v>
      </c>
      <c r="F494" s="2765">
        <f t="shared" si="27"/>
        <v>70000000</v>
      </c>
    </row>
    <row r="495" spans="1:6" x14ac:dyDescent="0.3">
      <c r="A495" s="2766" t="s">
        <v>3545</v>
      </c>
      <c r="B495" s="1981" t="s">
        <v>2845</v>
      </c>
      <c r="C495" s="1981"/>
      <c r="D495" s="2767">
        <v>0</v>
      </c>
      <c r="E495" s="2584"/>
      <c r="F495" s="2584">
        <v>70000000</v>
      </c>
    </row>
    <row r="496" spans="1:6" x14ac:dyDescent="0.3">
      <c r="A496" s="2624">
        <v>32020103</v>
      </c>
      <c r="B496" s="2558" t="s">
        <v>3540</v>
      </c>
      <c r="C496" s="2558"/>
      <c r="D496" s="2765">
        <f>SUM(D497)</f>
        <v>150000000</v>
      </c>
      <c r="E496" s="2765">
        <f t="shared" ref="E496" si="28">SUM(E497)</f>
        <v>0</v>
      </c>
      <c r="F496" s="2765">
        <f t="shared" ref="F496" si="29">SUM(F497)</f>
        <v>80000000</v>
      </c>
    </row>
    <row r="497" spans="1:6" x14ac:dyDescent="0.3">
      <c r="A497" s="2766" t="s">
        <v>3541</v>
      </c>
      <c r="B497" s="1981" t="s">
        <v>850</v>
      </c>
      <c r="C497" s="1981"/>
      <c r="D497" s="2584">
        <v>150000000</v>
      </c>
      <c r="E497" s="2584"/>
      <c r="F497" s="2584">
        <v>80000000</v>
      </c>
    </row>
    <row r="498" spans="1:6" s="2599" customFormat="1" x14ac:dyDescent="0.3">
      <c r="A498" s="2624">
        <v>31050107</v>
      </c>
      <c r="B498" s="2566" t="s">
        <v>3546</v>
      </c>
      <c r="C498" s="2566"/>
      <c r="D498" s="2765">
        <f>SUM(D499)</f>
        <v>500000000</v>
      </c>
      <c r="E498" s="2765">
        <f t="shared" ref="E498" si="30">SUM(E499)</f>
        <v>38834370</v>
      </c>
      <c r="F498" s="2765">
        <f t="shared" ref="F498" si="31">SUM(F499)</f>
        <v>250000000</v>
      </c>
    </row>
    <row r="499" spans="1:6" x14ac:dyDescent="0.3">
      <c r="A499" s="2766" t="s">
        <v>3542</v>
      </c>
      <c r="B499" s="2768" t="s">
        <v>601</v>
      </c>
      <c r="C499" s="2768"/>
      <c r="D499" s="2755">
        <v>500000000</v>
      </c>
      <c r="E499" s="2584">
        <v>38834370</v>
      </c>
      <c r="F499" s="2755">
        <v>250000000</v>
      </c>
    </row>
    <row r="500" spans="1:6" x14ac:dyDescent="0.3">
      <c r="A500" s="2666">
        <v>32030100</v>
      </c>
      <c r="B500" s="2446" t="s">
        <v>472</v>
      </c>
      <c r="C500" s="2446"/>
      <c r="D500" s="2582"/>
      <c r="E500" s="2586"/>
      <c r="F500" s="2586"/>
    </row>
    <row r="501" spans="1:6" x14ac:dyDescent="0.3">
      <c r="A501" s="2712">
        <v>32030109</v>
      </c>
      <c r="B501" s="2714" t="s">
        <v>3517</v>
      </c>
      <c r="C501" s="2566"/>
      <c r="D501" s="2692">
        <f>SUM(D502)</f>
        <v>35000000</v>
      </c>
      <c r="E501" s="2692">
        <f>SUM(22060946)</f>
        <v>22060946</v>
      </c>
      <c r="F501" s="2692">
        <f>SUM(F502:F503)</f>
        <v>135000000</v>
      </c>
    </row>
    <row r="502" spans="1:6" x14ac:dyDescent="0.3">
      <c r="A502" s="2766" t="s">
        <v>3543</v>
      </c>
      <c r="B502" s="1981" t="s">
        <v>851</v>
      </c>
      <c r="C502" s="1981"/>
      <c r="D502" s="2769">
        <v>35000000</v>
      </c>
      <c r="E502" s="2584">
        <v>22060946</v>
      </c>
      <c r="F502" s="2769">
        <v>35000000</v>
      </c>
    </row>
    <row r="503" spans="1:6" x14ac:dyDescent="0.3">
      <c r="A503" s="2562" t="s">
        <v>3544</v>
      </c>
      <c r="B503" s="1981" t="s">
        <v>852</v>
      </c>
      <c r="C503" s="1981"/>
      <c r="D503" s="2770">
        <v>0</v>
      </c>
      <c r="E503" s="2695"/>
      <c r="F503" s="2559">
        <v>100000000</v>
      </c>
    </row>
    <row r="504" spans="1:6" ht="19.5" thickBot="1" x14ac:dyDescent="0.35">
      <c r="A504" s="170"/>
      <c r="B504" s="2566"/>
      <c r="C504" s="2566"/>
      <c r="D504" s="2771"/>
      <c r="E504" s="2772"/>
      <c r="F504" s="2772"/>
    </row>
    <row r="505" spans="1:6" ht="19.5" thickBot="1" x14ac:dyDescent="0.35">
      <c r="A505" s="170"/>
      <c r="B505" s="2566" t="s">
        <v>2590</v>
      </c>
      <c r="C505" s="2566"/>
      <c r="D505" s="2739">
        <f>SUM(D494,D496,D498,D501)</f>
        <v>685000000</v>
      </c>
      <c r="E505" s="2595">
        <f>SUM(E494,E496,E498,E501)</f>
        <v>60895316</v>
      </c>
      <c r="F505" s="2595">
        <f>SUM(F494,F496,F498,F501)</f>
        <v>535000000</v>
      </c>
    </row>
    <row r="506" spans="1:6" ht="20.25" thickBot="1" x14ac:dyDescent="0.4">
      <c r="A506" s="3540" t="s">
        <v>2594</v>
      </c>
      <c r="B506" s="3540"/>
      <c r="C506" s="3540"/>
      <c r="D506" s="3540"/>
      <c r="E506" s="3540"/>
      <c r="F506" s="3540"/>
    </row>
    <row r="507" spans="1:6" s="2549" customFormat="1" ht="45" customHeight="1" thickBot="1" x14ac:dyDescent="0.25">
      <c r="A507" s="2548" t="s">
        <v>1</v>
      </c>
      <c r="B507" s="2290" t="s">
        <v>282</v>
      </c>
      <c r="C507" s="2548" t="s">
        <v>3197</v>
      </c>
      <c r="D507" s="2292" t="s">
        <v>1174</v>
      </c>
      <c r="E507" s="2292" t="s">
        <v>1145</v>
      </c>
      <c r="F507" s="2292" t="s">
        <v>3096</v>
      </c>
    </row>
    <row r="508" spans="1:6" x14ac:dyDescent="0.3">
      <c r="A508" s="2624">
        <v>32010100</v>
      </c>
      <c r="B508" s="2558" t="s">
        <v>464</v>
      </c>
      <c r="C508" s="2558"/>
      <c r="D508" s="2764"/>
      <c r="E508" s="2559"/>
      <c r="F508" s="2559"/>
    </row>
    <row r="509" spans="1:6" x14ac:dyDescent="0.3">
      <c r="A509" s="2624">
        <v>32010101</v>
      </c>
      <c r="B509" s="2558" t="s">
        <v>3212</v>
      </c>
      <c r="C509" s="2558"/>
      <c r="D509" s="2560">
        <f>SUM(D510:D512)</f>
        <v>175000000</v>
      </c>
      <c r="E509" s="2560">
        <f t="shared" ref="E509" si="32">SUM(E510:E512)</f>
        <v>126838979</v>
      </c>
      <c r="F509" s="2560">
        <f>SUM(F510:F512)</f>
        <v>155000000</v>
      </c>
    </row>
    <row r="510" spans="1:6" x14ac:dyDescent="0.3">
      <c r="A510" s="2766" t="s">
        <v>3547</v>
      </c>
      <c r="B510" s="1981" t="s">
        <v>856</v>
      </c>
      <c r="C510" s="1981"/>
      <c r="D510" s="2755">
        <v>25000000</v>
      </c>
      <c r="E510" s="2556"/>
      <c r="F510" s="2755">
        <v>25000000</v>
      </c>
    </row>
    <row r="511" spans="1:6" x14ac:dyDescent="0.3">
      <c r="A511" s="2766" t="s">
        <v>3548</v>
      </c>
      <c r="B511" s="1981" t="s">
        <v>1999</v>
      </c>
      <c r="C511" s="1981"/>
      <c r="D511" s="2755">
        <v>150000000</v>
      </c>
      <c r="E511" s="2584">
        <v>126838979</v>
      </c>
      <c r="F511" s="2584">
        <v>100000000</v>
      </c>
    </row>
    <row r="512" spans="1:6" x14ac:dyDescent="0.3">
      <c r="A512" s="2766" t="s">
        <v>3549</v>
      </c>
      <c r="B512" s="2774" t="s">
        <v>602</v>
      </c>
      <c r="C512" s="2774"/>
      <c r="D512" s="2755">
        <v>0</v>
      </c>
      <c r="E512" s="2584"/>
      <c r="F512" s="2584">
        <v>30000000</v>
      </c>
    </row>
    <row r="513" spans="1:6" x14ac:dyDescent="0.3">
      <c r="A513" s="2624">
        <v>32010200</v>
      </c>
      <c r="B513" s="2558" t="s">
        <v>465</v>
      </c>
      <c r="C513" s="2558"/>
      <c r="D513" s="2764"/>
      <c r="E513" s="2559"/>
      <c r="F513" s="2559"/>
    </row>
    <row r="514" spans="1:6" x14ac:dyDescent="0.3">
      <c r="A514" s="2624">
        <v>32010210</v>
      </c>
      <c r="B514" s="2558" t="s">
        <v>3551</v>
      </c>
      <c r="C514" s="2558"/>
      <c r="D514" s="2560">
        <f>SUM(D515:D520)</f>
        <v>1275000000</v>
      </c>
      <c r="E514" s="2560">
        <f>SUM(E515:E520)</f>
        <v>0</v>
      </c>
      <c r="F514" s="2560">
        <f>SUM(F515:F520)</f>
        <v>2110000000</v>
      </c>
    </row>
    <row r="515" spans="1:6" x14ac:dyDescent="0.3">
      <c r="A515" s="2766" t="s">
        <v>3550</v>
      </c>
      <c r="B515" s="1981" t="s">
        <v>2000</v>
      </c>
      <c r="C515" s="1981"/>
      <c r="D515" s="2755">
        <v>1000000000</v>
      </c>
      <c r="E515" s="2584"/>
      <c r="F515" s="2584">
        <v>1300000000</v>
      </c>
    </row>
    <row r="516" spans="1:6" x14ac:dyDescent="0.3">
      <c r="A516" s="2766" t="s">
        <v>3552</v>
      </c>
      <c r="B516" s="2582" t="s">
        <v>230</v>
      </c>
      <c r="C516" s="2582"/>
      <c r="D516" s="2755">
        <v>75000000</v>
      </c>
      <c r="E516" s="2559"/>
      <c r="F516" s="2667">
        <v>0</v>
      </c>
    </row>
    <row r="517" spans="1:6" x14ac:dyDescent="0.3">
      <c r="A517" s="2766" t="s">
        <v>3553</v>
      </c>
      <c r="B517" s="2582" t="s">
        <v>3074</v>
      </c>
      <c r="C517" s="2582"/>
      <c r="D517" s="2755"/>
      <c r="E517" s="2559"/>
      <c r="F517" s="2584">
        <v>190000000</v>
      </c>
    </row>
    <row r="518" spans="1:6" x14ac:dyDescent="0.3">
      <c r="A518" s="2766" t="s">
        <v>3554</v>
      </c>
      <c r="B518" s="1981" t="s">
        <v>2001</v>
      </c>
      <c r="C518" s="1981"/>
      <c r="D518" s="2755">
        <v>200000000</v>
      </c>
      <c r="E518" s="2559"/>
      <c r="F518" s="2755">
        <v>120000000</v>
      </c>
    </row>
    <row r="519" spans="1:6" x14ac:dyDescent="0.3">
      <c r="A519" s="2766" t="s">
        <v>3555</v>
      </c>
      <c r="B519" s="2669" t="s">
        <v>2002</v>
      </c>
      <c r="C519" s="2669"/>
      <c r="D519" s="2584" t="s">
        <v>179</v>
      </c>
      <c r="E519" s="2584" t="s">
        <v>179</v>
      </c>
      <c r="F519" s="2584">
        <v>200000000</v>
      </c>
    </row>
    <row r="520" spans="1:6" x14ac:dyDescent="0.3">
      <c r="A520" s="2766" t="s">
        <v>4203</v>
      </c>
      <c r="B520" s="2669" t="s">
        <v>2003</v>
      </c>
      <c r="C520" s="2669"/>
      <c r="D520" s="2584"/>
      <c r="E520" s="2584" t="s">
        <v>179</v>
      </c>
      <c r="F520" s="2584">
        <v>300000000</v>
      </c>
    </row>
    <row r="521" spans="1:6" x14ac:dyDescent="0.3">
      <c r="A521" s="2666">
        <v>320301</v>
      </c>
      <c r="B521" s="2446" t="s">
        <v>472</v>
      </c>
      <c r="C521" s="2446"/>
      <c r="D521" s="2582"/>
      <c r="E521" s="2586"/>
      <c r="F521" s="2586"/>
    </row>
    <row r="522" spans="1:6" x14ac:dyDescent="0.3">
      <c r="A522" s="2712">
        <v>32030109</v>
      </c>
      <c r="B522" s="2714" t="s">
        <v>3517</v>
      </c>
      <c r="C522" s="2566"/>
      <c r="D522" s="2560">
        <f>SUM(D523)</f>
        <v>0</v>
      </c>
      <c r="E522" s="2560">
        <f t="shared" ref="E522:F522" si="33">SUM(E523)</f>
        <v>0</v>
      </c>
      <c r="F522" s="2560">
        <f t="shared" si="33"/>
        <v>5100000000</v>
      </c>
    </row>
    <row r="523" spans="1:6" x14ac:dyDescent="0.3">
      <c r="A523" s="2766" t="s">
        <v>4204</v>
      </c>
      <c r="B523" s="2582" t="s">
        <v>4205</v>
      </c>
      <c r="C523" s="2582"/>
      <c r="D523" s="2755">
        <v>0</v>
      </c>
      <c r="E523" s="2559"/>
      <c r="F523" s="2584">
        <v>5100000000</v>
      </c>
    </row>
    <row r="524" spans="1:6" ht="19.5" thickBot="1" x14ac:dyDescent="0.35">
      <c r="A524" s="2562"/>
      <c r="B524" s="2582"/>
      <c r="C524" s="2775"/>
      <c r="D524" s="2776"/>
      <c r="E524" s="2777"/>
      <c r="F524" s="2612"/>
    </row>
    <row r="525" spans="1:6" ht="19.5" thickBot="1" x14ac:dyDescent="0.35">
      <c r="A525" s="170"/>
      <c r="B525" s="2566" t="s">
        <v>2591</v>
      </c>
      <c r="C525" s="2566"/>
      <c r="D525" s="2739">
        <f>SUM(D509,D514,D522)</f>
        <v>1450000000</v>
      </c>
      <c r="E525" s="2595">
        <f t="shared" ref="E525:F525" si="34">SUM(E509,E514,E522)</f>
        <v>126838979</v>
      </c>
      <c r="F525" s="2595">
        <f t="shared" si="34"/>
        <v>7365000000</v>
      </c>
    </row>
    <row r="526" spans="1:6" ht="20.25" thickBot="1" x14ac:dyDescent="0.4">
      <c r="A526" s="3540" t="s">
        <v>2595</v>
      </c>
      <c r="B526" s="3540"/>
      <c r="C526" s="3540"/>
      <c r="D526" s="3540"/>
      <c r="E526" s="3540"/>
      <c r="F526" s="3540"/>
    </row>
    <row r="527" spans="1:6" s="2549" customFormat="1" ht="41.25" customHeight="1" thickBot="1" x14ac:dyDescent="0.25">
      <c r="A527" s="2548" t="s">
        <v>1</v>
      </c>
      <c r="B527" s="2290" t="s">
        <v>282</v>
      </c>
      <c r="C527" s="2548" t="s">
        <v>3197</v>
      </c>
      <c r="D527" s="2292" t="s">
        <v>1174</v>
      </c>
      <c r="E527" s="2292" t="s">
        <v>1145</v>
      </c>
      <c r="F527" s="2292" t="s">
        <v>3096</v>
      </c>
    </row>
    <row r="528" spans="1:6" x14ac:dyDescent="0.3">
      <c r="A528" s="2624">
        <v>32010100</v>
      </c>
      <c r="B528" s="2558" t="s">
        <v>464</v>
      </c>
      <c r="C528" s="2558"/>
      <c r="D528" s="2764"/>
      <c r="E528" s="2559"/>
      <c r="F528" s="2559"/>
    </row>
    <row r="529" spans="1:6" s="2599" customFormat="1" x14ac:dyDescent="0.3">
      <c r="A529" s="2624">
        <v>32010101</v>
      </c>
      <c r="B529" s="2566" t="s">
        <v>3212</v>
      </c>
      <c r="C529" s="2561">
        <f>SUM(C530:C531)</f>
        <v>0</v>
      </c>
      <c r="D529" s="2600">
        <f t="shared" ref="D529:F529" si="35">SUM(D530:D531)</f>
        <v>10000000</v>
      </c>
      <c r="E529" s="2561">
        <f t="shared" si="35"/>
        <v>0</v>
      </c>
      <c r="F529" s="2600">
        <f t="shared" si="35"/>
        <v>45000000</v>
      </c>
    </row>
    <row r="530" spans="1:6" x14ac:dyDescent="0.3">
      <c r="A530" s="2766" t="s">
        <v>3556</v>
      </c>
      <c r="B530" s="1981" t="s">
        <v>283</v>
      </c>
      <c r="C530" s="1981"/>
      <c r="D530" s="2755">
        <v>0</v>
      </c>
      <c r="E530" s="2584"/>
      <c r="F530" s="2584">
        <v>35000000</v>
      </c>
    </row>
    <row r="531" spans="1:6" x14ac:dyDescent="0.3">
      <c r="A531" s="2766" t="s">
        <v>3557</v>
      </c>
      <c r="B531" s="1981" t="s">
        <v>2004</v>
      </c>
      <c r="C531" s="1981"/>
      <c r="D531" s="2755">
        <v>10000000</v>
      </c>
      <c r="E531" s="2584"/>
      <c r="F531" s="2755">
        <v>10000000</v>
      </c>
    </row>
    <row r="532" spans="1:6" x14ac:dyDescent="0.3">
      <c r="A532" s="2624">
        <v>32010200</v>
      </c>
      <c r="B532" s="2566" t="s">
        <v>3497</v>
      </c>
      <c r="C532" s="1981"/>
      <c r="D532" s="2755"/>
      <c r="E532" s="2584"/>
      <c r="F532" s="2584"/>
    </row>
    <row r="533" spans="1:6" x14ac:dyDescent="0.3">
      <c r="A533" s="2624">
        <v>32010205</v>
      </c>
      <c r="B533" s="2566" t="s">
        <v>3558</v>
      </c>
      <c r="C533" s="1981"/>
      <c r="D533" s="2600">
        <f>SUM(D534:D539)</f>
        <v>86000000</v>
      </c>
      <c r="E533" s="2600">
        <f t="shared" ref="E533:F533" si="36">SUM(E534:E539)</f>
        <v>0</v>
      </c>
      <c r="F533" s="2600">
        <f t="shared" si="36"/>
        <v>60000000</v>
      </c>
    </row>
    <row r="534" spans="1:6" x14ac:dyDescent="0.3">
      <c r="A534" s="2766" t="s">
        <v>3559</v>
      </c>
      <c r="B534" s="1981" t="s">
        <v>2846</v>
      </c>
      <c r="C534" s="1981"/>
      <c r="D534" s="2755">
        <v>15000000</v>
      </c>
      <c r="E534" s="2559"/>
      <c r="F534" s="2584">
        <v>30000000</v>
      </c>
    </row>
    <row r="535" spans="1:6" x14ac:dyDescent="0.3">
      <c r="A535" s="2766" t="s">
        <v>3560</v>
      </c>
      <c r="B535" s="1981" t="s">
        <v>2005</v>
      </c>
      <c r="C535" s="1981"/>
      <c r="D535" s="2755">
        <v>16000000</v>
      </c>
      <c r="E535" s="2559"/>
      <c r="F535" s="2667" t="s">
        <v>179</v>
      </c>
    </row>
    <row r="536" spans="1:6" x14ac:dyDescent="0.3">
      <c r="A536" s="2766" t="s">
        <v>3561</v>
      </c>
      <c r="B536" s="1981" t="s">
        <v>284</v>
      </c>
      <c r="C536" s="1981"/>
      <c r="D536" s="2755">
        <v>10000000</v>
      </c>
      <c r="E536" s="2559"/>
      <c r="F536" s="2667" t="s">
        <v>179</v>
      </c>
    </row>
    <row r="537" spans="1:6" x14ac:dyDescent="0.3">
      <c r="A537" s="2766" t="s">
        <v>3562</v>
      </c>
      <c r="B537" s="1981" t="s">
        <v>2847</v>
      </c>
      <c r="C537" s="1981"/>
      <c r="D537" s="2755">
        <v>30000000</v>
      </c>
      <c r="E537" s="2559"/>
      <c r="F537" s="2584">
        <v>15000000</v>
      </c>
    </row>
    <row r="538" spans="1:6" x14ac:dyDescent="0.3">
      <c r="A538" s="2562" t="s">
        <v>3563</v>
      </c>
      <c r="B538" s="1981" t="s">
        <v>285</v>
      </c>
      <c r="C538" s="2601"/>
      <c r="D538" s="2755">
        <v>5000000</v>
      </c>
      <c r="E538" s="2584"/>
      <c r="F538" s="2755">
        <v>5000000</v>
      </c>
    </row>
    <row r="539" spans="1:6" ht="19.5" thickBot="1" x14ac:dyDescent="0.35">
      <c r="A539" s="2562" t="s">
        <v>3564</v>
      </c>
      <c r="B539" s="1981" t="s">
        <v>858</v>
      </c>
      <c r="C539" s="2601"/>
      <c r="D539" s="2776">
        <v>10000000</v>
      </c>
      <c r="E539" s="2772"/>
      <c r="F539" s="2776">
        <v>10000000</v>
      </c>
    </row>
    <row r="540" spans="1:6" ht="19.5" thickBot="1" x14ac:dyDescent="0.35">
      <c r="A540" s="170"/>
      <c r="B540" s="2566" t="s">
        <v>2592</v>
      </c>
      <c r="C540" s="2779"/>
      <c r="D540" s="2780">
        <f>SUM(D529,D533)</f>
        <v>96000000</v>
      </c>
      <c r="E540" s="2595">
        <f t="shared" ref="E540:F540" si="37">SUM(E529,E533)</f>
        <v>0</v>
      </c>
      <c r="F540" s="2739">
        <f t="shared" si="37"/>
        <v>105000000</v>
      </c>
    </row>
    <row r="541" spans="1:6" x14ac:dyDescent="0.3">
      <c r="A541" s="2596"/>
      <c r="B541" s="2577"/>
      <c r="C541" s="2577"/>
      <c r="D541" s="2578"/>
      <c r="E541" s="2578"/>
      <c r="F541" s="2578"/>
    </row>
    <row r="542" spans="1:6" x14ac:dyDescent="0.3">
      <c r="A542" s="2596"/>
      <c r="B542" s="2577"/>
      <c r="C542" s="2577"/>
      <c r="D542" s="2578"/>
      <c r="E542" s="2578"/>
      <c r="F542" s="2578"/>
    </row>
    <row r="543" spans="1:6" x14ac:dyDescent="0.3">
      <c r="A543" s="2596"/>
      <c r="B543" s="2577"/>
      <c r="C543" s="2577"/>
      <c r="D543" s="2578"/>
      <c r="E543" s="2578"/>
      <c r="F543" s="2578"/>
    </row>
    <row r="544" spans="1:6" ht="20.25" thickBot="1" x14ac:dyDescent="0.4">
      <c r="A544" s="3540" t="s">
        <v>2596</v>
      </c>
      <c r="B544" s="3540"/>
      <c r="C544" s="3540"/>
      <c r="D544" s="3540"/>
      <c r="E544" s="3540"/>
      <c r="F544" s="3540"/>
    </row>
    <row r="545" spans="1:6" s="2549" customFormat="1" ht="42" customHeight="1" thickBot="1" x14ac:dyDescent="0.25">
      <c r="A545" s="2548" t="s">
        <v>1</v>
      </c>
      <c r="B545" s="2290" t="s">
        <v>282</v>
      </c>
      <c r="C545" s="2548" t="s">
        <v>3197</v>
      </c>
      <c r="D545" s="2292" t="s">
        <v>1174</v>
      </c>
      <c r="E545" s="2292" t="s">
        <v>1145</v>
      </c>
      <c r="F545" s="2292" t="s">
        <v>3096</v>
      </c>
    </row>
    <row r="546" spans="1:6" x14ac:dyDescent="0.3">
      <c r="A546" s="2630">
        <v>32000000</v>
      </c>
      <c r="B546" s="2726" t="s">
        <v>462</v>
      </c>
      <c r="C546" s="2726"/>
      <c r="D546" s="2773"/>
      <c r="E546" s="2698"/>
      <c r="F546" s="2552"/>
    </row>
    <row r="547" spans="1:6" x14ac:dyDescent="0.3">
      <c r="A547" s="2624">
        <v>32010000</v>
      </c>
      <c r="B547" s="2558" t="s">
        <v>463</v>
      </c>
      <c r="C547" s="2558"/>
      <c r="D547" s="2764"/>
      <c r="E547" s="2559"/>
      <c r="F547" s="2559"/>
    </row>
    <row r="548" spans="1:6" x14ac:dyDescent="0.3">
      <c r="A548" s="2624">
        <v>32010100</v>
      </c>
      <c r="B548" s="2558" t="s">
        <v>464</v>
      </c>
      <c r="C548" s="2558"/>
      <c r="D548" s="2765">
        <f>SUM(D549)</f>
        <v>15000000</v>
      </c>
      <c r="E548" s="2765">
        <f>SUM(E549)</f>
        <v>0</v>
      </c>
      <c r="F548" s="2765">
        <f>SUM(F549)</f>
        <v>0</v>
      </c>
    </row>
    <row r="549" spans="1:6" x14ac:dyDescent="0.3">
      <c r="A549" s="2766" t="s">
        <v>3565</v>
      </c>
      <c r="B549" s="1981" t="s">
        <v>605</v>
      </c>
      <c r="C549" s="1981"/>
      <c r="D549" s="2755">
        <v>15000000</v>
      </c>
      <c r="E549" s="2584"/>
      <c r="F549" s="2667">
        <v>0</v>
      </c>
    </row>
    <row r="550" spans="1:6" x14ac:dyDescent="0.3">
      <c r="A550" s="2666">
        <v>32030100</v>
      </c>
      <c r="B550" s="2566" t="s">
        <v>472</v>
      </c>
      <c r="C550" s="2566"/>
      <c r="D550" s="2755"/>
      <c r="E550" s="2556"/>
      <c r="F550" s="2584"/>
    </row>
    <row r="551" spans="1:6" x14ac:dyDescent="0.3">
      <c r="A551" s="2712">
        <v>32030109</v>
      </c>
      <c r="B551" s="2714" t="s">
        <v>3517</v>
      </c>
      <c r="C551" s="2566"/>
      <c r="D551" s="2765">
        <f>SUM(D552:D556)</f>
        <v>45000000</v>
      </c>
      <c r="E551" s="2765">
        <f t="shared" ref="E551:F551" si="38">SUM(E552:E556)</f>
        <v>6107000</v>
      </c>
      <c r="F551" s="2765">
        <f t="shared" si="38"/>
        <v>50000000</v>
      </c>
    </row>
    <row r="552" spans="1:6" x14ac:dyDescent="0.3">
      <c r="A552" s="2766" t="s">
        <v>3566</v>
      </c>
      <c r="B552" s="1981" t="s">
        <v>603</v>
      </c>
      <c r="C552" s="1981"/>
      <c r="D552" s="2755">
        <v>10000000</v>
      </c>
      <c r="E552" s="2584"/>
      <c r="F552" s="2584">
        <v>25000000</v>
      </c>
    </row>
    <row r="553" spans="1:6" x14ac:dyDescent="0.3">
      <c r="A553" s="2766" t="s">
        <v>3567</v>
      </c>
      <c r="B553" s="1981" t="s">
        <v>604</v>
      </c>
      <c r="C553" s="1981"/>
      <c r="D553" s="2755">
        <v>10000000</v>
      </c>
      <c r="E553" s="2584">
        <v>6107000</v>
      </c>
      <c r="F553" s="2584">
        <v>10000000</v>
      </c>
    </row>
    <row r="554" spans="1:6" x14ac:dyDescent="0.3">
      <c r="A554" s="2766" t="s">
        <v>3568</v>
      </c>
      <c r="B554" s="1981" t="s">
        <v>606</v>
      </c>
      <c r="C554" s="1981"/>
      <c r="D554" s="2755">
        <v>15000000</v>
      </c>
      <c r="E554" s="2584"/>
      <c r="F554" s="2584">
        <v>15000000</v>
      </c>
    </row>
    <row r="555" spans="1:6" x14ac:dyDescent="0.3">
      <c r="A555" s="2766" t="s">
        <v>3569</v>
      </c>
      <c r="B555" s="1981" t="s">
        <v>607</v>
      </c>
      <c r="C555" s="1981"/>
      <c r="D555" s="2755">
        <v>5000000</v>
      </c>
      <c r="E555" s="2584"/>
      <c r="F555" s="2667">
        <v>0</v>
      </c>
    </row>
    <row r="556" spans="1:6" x14ac:dyDescent="0.3">
      <c r="A556" s="2766" t="s">
        <v>3570</v>
      </c>
      <c r="B556" s="1981" t="s">
        <v>608</v>
      </c>
      <c r="C556" s="1981"/>
      <c r="D556" s="2755">
        <v>5000000</v>
      </c>
      <c r="E556" s="2584"/>
      <c r="F556" s="2667">
        <v>0</v>
      </c>
    </row>
    <row r="557" spans="1:6" ht="19.5" thickBot="1" x14ac:dyDescent="0.35">
      <c r="A557" s="2602"/>
      <c r="B557" s="1981"/>
      <c r="C557" s="1981"/>
      <c r="D557" s="2776"/>
      <c r="E557" s="2677"/>
      <c r="F557" s="2612"/>
    </row>
    <row r="558" spans="1:6" ht="19.5" thickBot="1" x14ac:dyDescent="0.35">
      <c r="A558" s="2548"/>
      <c r="B558" s="2603" t="s">
        <v>2597</v>
      </c>
      <c r="C558" s="2603"/>
      <c r="D558" s="2595">
        <f>SUM(D548,D551)</f>
        <v>60000000</v>
      </c>
      <c r="E558" s="2595">
        <f t="shared" ref="E558:F558" si="39">SUM(E548,E551)</f>
        <v>6107000</v>
      </c>
      <c r="F558" s="2595">
        <f t="shared" si="39"/>
        <v>50000000</v>
      </c>
    </row>
    <row r="559" spans="1:6" x14ac:dyDescent="0.3">
      <c r="A559" s="2596"/>
      <c r="B559" s="2577"/>
      <c r="C559" s="2577"/>
      <c r="D559" s="2578"/>
      <c r="E559" s="2578"/>
      <c r="F559" s="2578"/>
    </row>
    <row r="560" spans="1:6" s="2775" customFormat="1" x14ac:dyDescent="0.3">
      <c r="A560" s="3514" t="s">
        <v>80</v>
      </c>
      <c r="B560" s="3514"/>
      <c r="C560" s="3514"/>
      <c r="D560" s="3514"/>
      <c r="E560" s="3514"/>
      <c r="F560" s="3514"/>
    </row>
    <row r="561" spans="1:6" ht="19.5" thickBot="1" x14ac:dyDescent="0.35">
      <c r="A561" s="3514" t="s">
        <v>1238</v>
      </c>
      <c r="B561" s="3514"/>
      <c r="C561" s="3514"/>
      <c r="D561" s="3514"/>
      <c r="E561" s="3514"/>
      <c r="F561" s="3514"/>
    </row>
    <row r="562" spans="1:6" s="2549" customFormat="1" ht="57" thickBot="1" x14ac:dyDescent="0.25">
      <c r="A562" s="2548" t="s">
        <v>1</v>
      </c>
      <c r="B562" s="2290" t="s">
        <v>282</v>
      </c>
      <c r="C562" s="2548" t="s">
        <v>3197</v>
      </c>
      <c r="D562" s="2292" t="s">
        <v>1174</v>
      </c>
      <c r="E562" s="2292" t="s">
        <v>1145</v>
      </c>
      <c r="F562" s="2292" t="s">
        <v>3096</v>
      </c>
    </row>
    <row r="563" spans="1:6" s="2635" customFormat="1" ht="16.5" x14ac:dyDescent="0.25">
      <c r="A563" s="2781">
        <v>32020100</v>
      </c>
      <c r="B563" s="2782" t="s">
        <v>471</v>
      </c>
      <c r="C563" s="2783"/>
      <c r="D563" s="2784"/>
      <c r="E563" s="2785"/>
      <c r="F563" s="2786"/>
    </row>
    <row r="564" spans="1:6" s="2635" customFormat="1" ht="16.5" x14ac:dyDescent="0.25">
      <c r="A564" s="2639">
        <v>32020101</v>
      </c>
      <c r="B564" s="2653" t="s">
        <v>3212</v>
      </c>
      <c r="C564" s="2653"/>
      <c r="D564" s="2646">
        <f>SUM(D565:D567)</f>
        <v>0</v>
      </c>
      <c r="E564" s="2646">
        <f>SUM(E565:E567)</f>
        <v>0</v>
      </c>
      <c r="F564" s="2646">
        <f>SUM(F565:F567)</f>
        <v>45000000</v>
      </c>
    </row>
    <row r="565" spans="1:6" s="2635" customFormat="1" ht="16.5" x14ac:dyDescent="0.25">
      <c r="A565" s="2642" t="s">
        <v>3571</v>
      </c>
      <c r="B565" s="2787" t="s">
        <v>1042</v>
      </c>
      <c r="C565" s="2787"/>
      <c r="D565" s="2787">
        <v>0</v>
      </c>
      <c r="E565" s="2638"/>
      <c r="F565" s="2644">
        <v>30000000</v>
      </c>
    </row>
    <row r="566" spans="1:6" s="2635" customFormat="1" ht="16.5" x14ac:dyDescent="0.25">
      <c r="A566" s="2642" t="s">
        <v>3572</v>
      </c>
      <c r="B566" s="2643" t="s">
        <v>844</v>
      </c>
      <c r="C566" s="2643"/>
      <c r="D566" s="2788">
        <v>0</v>
      </c>
      <c r="E566" s="2638"/>
      <c r="F566" s="2644">
        <v>5000000</v>
      </c>
    </row>
    <row r="567" spans="1:6" s="2635" customFormat="1" ht="16.5" x14ac:dyDescent="0.25">
      <c r="A567" s="2789" t="s">
        <v>3573</v>
      </c>
      <c r="B567" s="2643" t="s">
        <v>845</v>
      </c>
      <c r="C567" s="2643"/>
      <c r="D567" s="2788">
        <v>0</v>
      </c>
      <c r="E567" s="2638"/>
      <c r="F567" s="2644">
        <v>10000000</v>
      </c>
    </row>
    <row r="568" spans="1:6" s="2635" customFormat="1" ht="16.5" x14ac:dyDescent="0.25">
      <c r="A568" s="2790">
        <v>32010210</v>
      </c>
      <c r="B568" s="2791" t="s">
        <v>3551</v>
      </c>
      <c r="C568" s="2791"/>
      <c r="D568" s="2792">
        <f>SUM(D569)</f>
        <v>0</v>
      </c>
      <c r="E568" s="2792">
        <f t="shared" ref="E568:F568" si="40">SUM(E569)</f>
        <v>0</v>
      </c>
      <c r="F568" s="2792">
        <f t="shared" si="40"/>
        <v>0</v>
      </c>
    </row>
    <row r="569" spans="1:6" s="2635" customFormat="1" ht="16.5" x14ac:dyDescent="0.25">
      <c r="A569" s="2789" t="s">
        <v>4206</v>
      </c>
      <c r="B569" s="2643" t="s">
        <v>3045</v>
      </c>
      <c r="C569" s="2643"/>
      <c r="D569" s="2788">
        <v>0</v>
      </c>
      <c r="E569" s="2644"/>
      <c r="F569" s="2793">
        <v>0</v>
      </c>
    </row>
    <row r="570" spans="1:6" s="2635" customFormat="1" ht="16.5" x14ac:dyDescent="0.25">
      <c r="A570" s="2790">
        <v>32010214</v>
      </c>
      <c r="B570" s="2653" t="s">
        <v>3592</v>
      </c>
      <c r="C570" s="2643"/>
      <c r="D570" s="2792">
        <f>SUM(D571)</f>
        <v>0</v>
      </c>
      <c r="E570" s="2792">
        <f t="shared" ref="E570:F570" si="41">SUM(E571)</f>
        <v>0</v>
      </c>
      <c r="F570" s="2792">
        <f t="shared" si="41"/>
        <v>0</v>
      </c>
    </row>
    <row r="571" spans="1:6" s="2635" customFormat="1" ht="16.5" x14ac:dyDescent="0.25">
      <c r="A571" s="2789" t="s">
        <v>3574</v>
      </c>
      <c r="B571" s="2643" t="s">
        <v>3046</v>
      </c>
      <c r="C571" s="2643"/>
      <c r="D571" s="2788"/>
      <c r="E571" s="2644"/>
      <c r="F571" s="2793"/>
    </row>
    <row r="572" spans="1:6" s="2635" customFormat="1" ht="16.5" x14ac:dyDescent="0.25">
      <c r="A572" s="2639">
        <v>32010900</v>
      </c>
      <c r="B572" s="2653" t="s">
        <v>470</v>
      </c>
      <c r="C572" s="2653"/>
      <c r="D572" s="2788"/>
      <c r="E572" s="2644"/>
      <c r="F572" s="2644"/>
    </row>
    <row r="573" spans="1:6" s="2635" customFormat="1" ht="16.5" x14ac:dyDescent="0.25">
      <c r="A573" s="2781">
        <v>32010905</v>
      </c>
      <c r="B573" s="2794" t="s">
        <v>3594</v>
      </c>
      <c r="C573" s="2653"/>
      <c r="D573" s="2792">
        <f>SUM(D574:D575)</f>
        <v>10000000</v>
      </c>
      <c r="E573" s="2792">
        <f>SUM(E574:E575)</f>
        <v>0</v>
      </c>
      <c r="F573" s="2792">
        <f>SUM(F574:F575)</f>
        <v>55000000</v>
      </c>
    </row>
    <row r="574" spans="1:6" s="2635" customFormat="1" ht="16.5" x14ac:dyDescent="0.25">
      <c r="A574" s="2789" t="s">
        <v>3575</v>
      </c>
      <c r="B574" s="2643" t="s">
        <v>2013</v>
      </c>
      <c r="C574" s="2643"/>
      <c r="D574" s="2788">
        <v>10000000</v>
      </c>
      <c r="E574" s="2644"/>
      <c r="F574" s="2644">
        <v>10000000</v>
      </c>
    </row>
    <row r="575" spans="1:6" s="2635" customFormat="1" ht="16.5" x14ac:dyDescent="0.25">
      <c r="A575" s="2789" t="s">
        <v>3576</v>
      </c>
      <c r="B575" s="2643" t="s">
        <v>849</v>
      </c>
      <c r="C575" s="2643"/>
      <c r="D575" s="2788">
        <v>0</v>
      </c>
      <c r="E575" s="2644"/>
      <c r="F575" s="2644">
        <v>45000000</v>
      </c>
    </row>
    <row r="576" spans="1:6" s="2635" customFormat="1" ht="16.5" x14ac:dyDescent="0.25">
      <c r="A576" s="2781">
        <v>32030100</v>
      </c>
      <c r="B576" s="2653" t="s">
        <v>472</v>
      </c>
      <c r="C576" s="2653"/>
      <c r="D576" s="2788"/>
      <c r="E576" s="2638"/>
      <c r="F576" s="2644"/>
    </row>
    <row r="577" spans="1:6" s="2635" customFormat="1" ht="16.5" x14ac:dyDescent="0.25">
      <c r="A577" s="2795">
        <v>32030109</v>
      </c>
      <c r="B577" s="2796" t="s">
        <v>3517</v>
      </c>
      <c r="C577" s="2653"/>
      <c r="D577" s="2792">
        <f>SUM(D578:D592)</f>
        <v>805872000</v>
      </c>
      <c r="E577" s="2792">
        <f t="shared" ref="E577" si="42">SUM(E578:E592)</f>
        <v>14489900</v>
      </c>
      <c r="F577" s="2792">
        <f>SUM(F578:F592)</f>
        <v>3884456553</v>
      </c>
    </row>
    <row r="578" spans="1:6" s="2635" customFormat="1" ht="16.5" x14ac:dyDescent="0.25">
      <c r="A578" s="2789" t="s">
        <v>3577</v>
      </c>
      <c r="B578" s="2643" t="s">
        <v>473</v>
      </c>
      <c r="C578" s="2643"/>
      <c r="D578" s="2788">
        <v>0</v>
      </c>
      <c r="E578" s="2638"/>
      <c r="F578" s="2644">
        <v>50000000</v>
      </c>
    </row>
    <row r="579" spans="1:6" s="2635" customFormat="1" ht="16.5" x14ac:dyDescent="0.25">
      <c r="A579" s="2789" t="s">
        <v>3578</v>
      </c>
      <c r="B579" s="2643" t="s">
        <v>2006</v>
      </c>
      <c r="C579" s="2643"/>
      <c r="D579" s="2788">
        <v>35872000</v>
      </c>
      <c r="E579" s="2644"/>
      <c r="F579" s="2644">
        <v>0</v>
      </c>
    </row>
    <row r="580" spans="1:6" s="2635" customFormat="1" ht="16.5" x14ac:dyDescent="0.25">
      <c r="A580" s="2789" t="s">
        <v>3579</v>
      </c>
      <c r="B580" s="2643" t="s">
        <v>2007</v>
      </c>
      <c r="C580" s="2643"/>
      <c r="D580" s="2788"/>
      <c r="E580" s="2644"/>
      <c r="F580" s="2644">
        <v>1783456553</v>
      </c>
    </row>
    <row r="581" spans="1:6" s="2635" customFormat="1" ht="16.5" x14ac:dyDescent="0.25">
      <c r="A581" s="2789" t="s">
        <v>3580</v>
      </c>
      <c r="B581" s="2643" t="s">
        <v>2008</v>
      </c>
      <c r="C581" s="2643"/>
      <c r="D581" s="2788">
        <v>500000000</v>
      </c>
      <c r="E581" s="2644"/>
      <c r="F581" s="2793">
        <v>0</v>
      </c>
    </row>
    <row r="582" spans="1:6" s="2635" customFormat="1" ht="16.5" x14ac:dyDescent="0.25">
      <c r="A582" s="2789" t="s">
        <v>3581</v>
      </c>
      <c r="B582" s="2643" t="s">
        <v>2009</v>
      </c>
      <c r="C582" s="2643"/>
      <c r="D582" s="2788">
        <v>0</v>
      </c>
      <c r="E582" s="2644">
        <v>0</v>
      </c>
      <c r="F582" s="2644">
        <v>68000000</v>
      </c>
    </row>
    <row r="583" spans="1:6" s="2635" customFormat="1" ht="16.5" x14ac:dyDescent="0.25">
      <c r="A583" s="2789" t="s">
        <v>3582</v>
      </c>
      <c r="B583" s="2643" t="s">
        <v>2010</v>
      </c>
      <c r="C583" s="2643"/>
      <c r="D583" s="2788"/>
      <c r="E583" s="2644"/>
      <c r="F583" s="2644">
        <v>68000000</v>
      </c>
    </row>
    <row r="584" spans="1:6" s="2635" customFormat="1" ht="16.5" x14ac:dyDescent="0.25">
      <c r="A584" s="2789" t="s">
        <v>3583</v>
      </c>
      <c r="B584" s="2643" t="s">
        <v>228</v>
      </c>
      <c r="C584" s="2643"/>
      <c r="D584" s="2788">
        <v>5000000</v>
      </c>
      <c r="E584" s="2644"/>
      <c r="F584" s="2644">
        <v>5000000</v>
      </c>
    </row>
    <row r="585" spans="1:6" s="2635" customFormat="1" ht="16.5" x14ac:dyDescent="0.25">
      <c r="A585" s="2789" t="s">
        <v>3584</v>
      </c>
      <c r="B585" s="2643" t="s">
        <v>846</v>
      </c>
      <c r="C585" s="2643"/>
      <c r="D585" s="2788">
        <v>200000000</v>
      </c>
      <c r="E585" s="2644">
        <v>7380000</v>
      </c>
      <c r="F585" s="2644">
        <v>100000000</v>
      </c>
    </row>
    <row r="586" spans="1:6" s="2635" customFormat="1" ht="16.5" x14ac:dyDescent="0.25">
      <c r="A586" s="2789" t="s">
        <v>3585</v>
      </c>
      <c r="B586" s="2643" t="s">
        <v>3590</v>
      </c>
      <c r="C586" s="2643"/>
      <c r="D586" s="2788">
        <v>10000000</v>
      </c>
      <c r="E586" s="2644"/>
      <c r="F586" s="2644">
        <v>10000000</v>
      </c>
    </row>
    <row r="587" spans="1:6" s="2635" customFormat="1" ht="16.5" x14ac:dyDescent="0.25">
      <c r="A587" s="2789" t="s">
        <v>3586</v>
      </c>
      <c r="B587" s="2643" t="s">
        <v>847</v>
      </c>
      <c r="C587" s="2643"/>
      <c r="D587" s="2788">
        <v>20000000</v>
      </c>
      <c r="E587" s="2644"/>
      <c r="F587" s="2644">
        <v>40000000</v>
      </c>
    </row>
    <row r="588" spans="1:6" s="2635" customFormat="1" ht="33" x14ac:dyDescent="0.25">
      <c r="A588" s="2789" t="s">
        <v>3587</v>
      </c>
      <c r="B588" s="2643" t="s">
        <v>2011</v>
      </c>
      <c r="C588" s="2643"/>
      <c r="D588" s="2788"/>
      <c r="E588" s="2644"/>
      <c r="F588" s="2797">
        <v>1500000000</v>
      </c>
    </row>
    <row r="589" spans="1:6" s="2635" customFormat="1" ht="16.5" x14ac:dyDescent="0.25">
      <c r="A589" s="2789" t="s">
        <v>3588</v>
      </c>
      <c r="B589" s="2643" t="s">
        <v>2012</v>
      </c>
      <c r="C589" s="2643"/>
      <c r="D589" s="2788"/>
      <c r="E589" s="2644"/>
      <c r="F589" s="2644">
        <v>200000000</v>
      </c>
    </row>
    <row r="590" spans="1:6" s="2635" customFormat="1" ht="16.5" x14ac:dyDescent="0.25">
      <c r="A590" s="2789" t="s">
        <v>3589</v>
      </c>
      <c r="B590" s="2787" t="s">
        <v>848</v>
      </c>
      <c r="C590" s="2787"/>
      <c r="D590" s="2798">
        <v>15000000</v>
      </c>
      <c r="E590" s="2644"/>
      <c r="F590" s="2799">
        <v>15000000</v>
      </c>
    </row>
    <row r="591" spans="1:6" s="2635" customFormat="1" ht="16.5" x14ac:dyDescent="0.25">
      <c r="A591" s="2789" t="s">
        <v>4207</v>
      </c>
      <c r="B591" s="2787" t="s">
        <v>600</v>
      </c>
      <c r="C591" s="2787"/>
      <c r="D591" s="2788">
        <v>15000000</v>
      </c>
      <c r="E591" s="2638">
        <v>7109900</v>
      </c>
      <c r="F591" s="2644">
        <v>20000000</v>
      </c>
    </row>
    <row r="592" spans="1:6" s="2635" customFormat="1" ht="16.5" x14ac:dyDescent="0.25">
      <c r="A592" s="2789" t="s">
        <v>4208</v>
      </c>
      <c r="B592" s="2643" t="s">
        <v>3591</v>
      </c>
      <c r="C592" s="2643"/>
      <c r="D592" s="2788">
        <v>5000000</v>
      </c>
      <c r="E592" s="2644"/>
      <c r="F592" s="2644">
        <v>25000000</v>
      </c>
    </row>
    <row r="593" spans="1:6" s="2654" customFormat="1" ht="17.25" thickBot="1" x14ac:dyDescent="0.3">
      <c r="A593" s="2639"/>
      <c r="B593" s="2653"/>
      <c r="C593" s="2783"/>
      <c r="D593" s="2800"/>
      <c r="E593" s="2801"/>
      <c r="F593" s="2802"/>
    </row>
    <row r="594" spans="1:6" ht="19.5" thickBot="1" x14ac:dyDescent="0.35">
      <c r="A594" s="170"/>
      <c r="B594" s="2566" t="s">
        <v>2598</v>
      </c>
      <c r="C594" s="2594"/>
      <c r="D594" s="2595">
        <f>SUM(D564,D577,D573,D568,D570)</f>
        <v>815872000</v>
      </c>
      <c r="E594" s="2595">
        <f>SUM(E564,E577,E573,E568,E570)</f>
        <v>14489900</v>
      </c>
      <c r="F594" s="2595">
        <f>SUM(F564,F577,F573,F568,F570)</f>
        <v>3984456553</v>
      </c>
    </row>
    <row r="595" spans="1:6" x14ac:dyDescent="0.3">
      <c r="A595" s="2596"/>
      <c r="B595" s="2577"/>
      <c r="C595" s="2577"/>
      <c r="D595" s="2578"/>
      <c r="E595" s="2578"/>
      <c r="F595" s="2578"/>
    </row>
    <row r="596" spans="1:6" x14ac:dyDescent="0.3">
      <c r="A596" s="2596"/>
      <c r="B596" s="2577"/>
      <c r="C596" s="2577"/>
      <c r="D596" s="2578"/>
      <c r="E596" s="2578"/>
      <c r="F596" s="2578"/>
    </row>
    <row r="597" spans="1:6" x14ac:dyDescent="0.3">
      <c r="A597" s="3517" t="s">
        <v>80</v>
      </c>
      <c r="B597" s="3517"/>
      <c r="C597" s="3517"/>
      <c r="D597" s="3517"/>
      <c r="E597" s="3517"/>
      <c r="F597" s="3517"/>
    </row>
    <row r="598" spans="1:6" ht="19.5" thickBot="1" x14ac:dyDescent="0.35">
      <c r="A598" s="3535" t="s">
        <v>1239</v>
      </c>
      <c r="B598" s="3535"/>
      <c r="C598" s="3535"/>
      <c r="D598" s="3535"/>
      <c r="E598" s="3535"/>
      <c r="F598" s="3535"/>
    </row>
    <row r="599" spans="1:6" s="2549" customFormat="1" ht="57" thickBot="1" x14ac:dyDescent="0.25">
      <c r="A599" s="2548" t="s">
        <v>1</v>
      </c>
      <c r="B599" s="2290" t="s">
        <v>282</v>
      </c>
      <c r="C599" s="2548" t="s">
        <v>3197</v>
      </c>
      <c r="D599" s="2292" t="s">
        <v>1174</v>
      </c>
      <c r="E599" s="2292" t="s">
        <v>1145</v>
      </c>
      <c r="F599" s="2292" t="s">
        <v>3096</v>
      </c>
    </row>
    <row r="600" spans="1:6" s="2599" customFormat="1" x14ac:dyDescent="0.3">
      <c r="A600" s="2803"/>
      <c r="B600" s="2551"/>
      <c r="C600" s="2551"/>
      <c r="D600" s="2552"/>
      <c r="E600" s="2634"/>
      <c r="F600" s="2552"/>
    </row>
    <row r="601" spans="1:6" x14ac:dyDescent="0.3">
      <c r="A601" s="2623">
        <v>32000000</v>
      </c>
      <c r="B601" s="2555" t="s">
        <v>462</v>
      </c>
      <c r="C601" s="2555"/>
      <c r="D601" s="2556"/>
      <c r="E601" s="2556"/>
      <c r="F601" s="2556"/>
    </row>
    <row r="602" spans="1:6" x14ac:dyDescent="0.3">
      <c r="A602" s="2624">
        <v>32010000</v>
      </c>
      <c r="B602" s="2558" t="s">
        <v>463</v>
      </c>
      <c r="C602" s="2558"/>
      <c r="D602" s="2559"/>
      <c r="E602" s="2559"/>
      <c r="F602" s="2559"/>
    </row>
    <row r="603" spans="1:6" x14ac:dyDescent="0.3">
      <c r="A603" s="2624">
        <v>32010100</v>
      </c>
      <c r="B603" s="2558" t="s">
        <v>471</v>
      </c>
      <c r="C603" s="2558"/>
      <c r="D603" s="2559"/>
      <c r="E603" s="2559"/>
      <c r="F603" s="2559"/>
    </row>
    <row r="604" spans="1:6" x14ac:dyDescent="0.3">
      <c r="A604" s="2624">
        <v>32010101</v>
      </c>
      <c r="B604" s="2558" t="s">
        <v>3212</v>
      </c>
      <c r="C604" s="2558"/>
      <c r="D604" s="2560">
        <f>SUM(D605)</f>
        <v>200000000</v>
      </c>
      <c r="E604" s="2560">
        <f>SUM(E605)</f>
        <v>64872534.170000002</v>
      </c>
      <c r="F604" s="2560">
        <f>SUM(F605)</f>
        <v>50000000</v>
      </c>
    </row>
    <row r="605" spans="1:6" x14ac:dyDescent="0.3">
      <c r="A605" s="2766" t="s">
        <v>3593</v>
      </c>
      <c r="B605" s="1981" t="s">
        <v>2849</v>
      </c>
      <c r="C605" s="2558"/>
      <c r="D605" s="2804">
        <v>200000000</v>
      </c>
      <c r="E605" s="2805">
        <v>64872534.170000002</v>
      </c>
      <c r="F605" s="2804">
        <v>50000000</v>
      </c>
    </row>
    <row r="606" spans="1:6" x14ac:dyDescent="0.3">
      <c r="A606" s="2666">
        <v>32010400</v>
      </c>
      <c r="B606" s="2558" t="s">
        <v>467</v>
      </c>
      <c r="C606" s="2558"/>
      <c r="D606" s="2764"/>
      <c r="E606" s="2559"/>
      <c r="F606" s="2559"/>
    </row>
    <row r="607" spans="1:6" x14ac:dyDescent="0.3">
      <c r="A607" s="2666">
        <v>32010900</v>
      </c>
      <c r="B607" s="2566" t="s">
        <v>470</v>
      </c>
      <c r="C607" s="2566"/>
      <c r="D607" s="2600"/>
      <c r="E607" s="2600"/>
      <c r="F607" s="2600"/>
    </row>
    <row r="608" spans="1:6" x14ac:dyDescent="0.3">
      <c r="A608" s="2624">
        <v>32010905</v>
      </c>
      <c r="B608" s="2566" t="s">
        <v>3594</v>
      </c>
      <c r="C608" s="2566"/>
      <c r="D608" s="2600">
        <f>SUM(D609:D611)</f>
        <v>3100000000</v>
      </c>
      <c r="E608" s="2600">
        <f>SUM(E609:E611)</f>
        <v>58237462.509999998</v>
      </c>
      <c r="F608" s="2600">
        <f>SUM(F609:F612)</f>
        <v>3370000000</v>
      </c>
    </row>
    <row r="609" spans="1:6" x14ac:dyDescent="0.3">
      <c r="A609" s="2766" t="s">
        <v>3595</v>
      </c>
      <c r="B609" s="1981" t="s">
        <v>1997</v>
      </c>
      <c r="C609" s="1981"/>
      <c r="D609" s="2755">
        <v>100000000</v>
      </c>
      <c r="E609" s="2584">
        <v>56557462.509999998</v>
      </c>
      <c r="F609" s="2584">
        <v>20000000</v>
      </c>
    </row>
    <row r="610" spans="1:6" x14ac:dyDescent="0.3">
      <c r="A610" s="2766" t="s">
        <v>3596</v>
      </c>
      <c r="B610" s="1981" t="s">
        <v>2848</v>
      </c>
      <c r="C610" s="1981"/>
      <c r="D610" s="2755">
        <v>0</v>
      </c>
      <c r="E610" s="2584"/>
      <c r="F610" s="2584">
        <v>30000000</v>
      </c>
    </row>
    <row r="611" spans="1:6" x14ac:dyDescent="0.3">
      <c r="A611" s="2766" t="s">
        <v>3597</v>
      </c>
      <c r="B611" s="1981" t="s">
        <v>857</v>
      </c>
      <c r="C611" s="1981"/>
      <c r="D611" s="2755">
        <v>3000000000</v>
      </c>
      <c r="E611" s="2584">
        <v>1680000</v>
      </c>
      <c r="F611" s="2584">
        <v>3300000000</v>
      </c>
    </row>
    <row r="612" spans="1:6" x14ac:dyDescent="0.3">
      <c r="A612" s="2766" t="s">
        <v>3598</v>
      </c>
      <c r="B612" s="1981" t="s">
        <v>2983</v>
      </c>
      <c r="C612" s="1981"/>
      <c r="D612" s="2755"/>
      <c r="E612" s="2584"/>
      <c r="F612" s="2584">
        <v>20000000</v>
      </c>
    </row>
    <row r="613" spans="1:6" s="2635" customFormat="1" ht="16.5" x14ac:dyDescent="0.25">
      <c r="A613" s="2781">
        <v>32030100</v>
      </c>
      <c r="B613" s="2653" t="s">
        <v>472</v>
      </c>
      <c r="C613" s="2653"/>
      <c r="D613" s="2788"/>
      <c r="E613" s="2638"/>
      <c r="F613" s="2644"/>
    </row>
    <row r="614" spans="1:6" s="2635" customFormat="1" x14ac:dyDescent="0.3">
      <c r="A614" s="2795">
        <v>32030109</v>
      </c>
      <c r="B614" s="2653" t="s">
        <v>3517</v>
      </c>
      <c r="C614" s="2653"/>
      <c r="D614" s="2600">
        <f>SUM(D615:D615)</f>
        <v>2400000</v>
      </c>
      <c r="E614" s="2600">
        <f>SUM(E615:E615)</f>
        <v>0</v>
      </c>
      <c r="F614" s="2600">
        <f>SUM(F615:F615)</f>
        <v>0</v>
      </c>
    </row>
    <row r="615" spans="1:6" x14ac:dyDescent="0.3">
      <c r="A615" s="2562" t="s">
        <v>3599</v>
      </c>
      <c r="B615" s="1981" t="s">
        <v>4212</v>
      </c>
      <c r="C615" s="1981"/>
      <c r="D615" s="2755">
        <v>2400000</v>
      </c>
      <c r="E615" s="2584"/>
      <c r="F615" s="2584">
        <v>0</v>
      </c>
    </row>
    <row r="616" spans="1:6" ht="19.5" thickBot="1" x14ac:dyDescent="0.35">
      <c r="A616" s="2562"/>
      <c r="B616" s="1981"/>
      <c r="C616" s="1981"/>
      <c r="D616" s="2612"/>
      <c r="E616" s="2677"/>
      <c r="F616" s="2612"/>
    </row>
    <row r="617" spans="1:6" ht="19.5" thickBot="1" x14ac:dyDescent="0.35">
      <c r="A617" s="170"/>
      <c r="B617" s="2566" t="s">
        <v>2599</v>
      </c>
      <c r="C617" s="2565"/>
      <c r="D617" s="2780">
        <f>SUM(D604,D608,D614)</f>
        <v>3302400000</v>
      </c>
      <c r="E617" s="2595">
        <f>SUM(E604,E608,E614)</f>
        <v>123109996.68000001</v>
      </c>
      <c r="F617" s="2739">
        <f>SUM(F604,F608,F614)</f>
        <v>3420000000</v>
      </c>
    </row>
    <row r="618" spans="1:6" x14ac:dyDescent="0.3">
      <c r="A618" s="2596"/>
      <c r="B618" s="2577"/>
      <c r="C618" s="2577"/>
      <c r="D618" s="2578"/>
      <c r="E618" s="2578"/>
      <c r="F618" s="2578"/>
    </row>
    <row r="619" spans="1:6" x14ac:dyDescent="0.3">
      <c r="A619" s="3514" t="s">
        <v>80</v>
      </c>
      <c r="B619" s="3514"/>
      <c r="C619" s="3514"/>
      <c r="D619" s="3514"/>
      <c r="E619" s="3514"/>
      <c r="F619" s="3514"/>
    </row>
    <row r="620" spans="1:6" x14ac:dyDescent="0.3">
      <c r="A620" s="3537" t="s">
        <v>1240</v>
      </c>
      <c r="B620" s="3537"/>
      <c r="C620" s="3537"/>
      <c r="D620" s="3537"/>
      <c r="E620" s="3537"/>
      <c r="F620" s="3537"/>
    </row>
    <row r="621" spans="1:6" ht="19.5" thickBot="1" x14ac:dyDescent="0.35">
      <c r="A621" s="3537" t="s">
        <v>1241</v>
      </c>
      <c r="B621" s="3537"/>
      <c r="C621" s="3537"/>
      <c r="D621" s="3537"/>
      <c r="E621" s="3537"/>
      <c r="F621" s="3537"/>
    </row>
    <row r="622" spans="1:6" s="2549" customFormat="1" ht="57" thickBot="1" x14ac:dyDescent="0.25">
      <c r="A622" s="2548" t="s">
        <v>1</v>
      </c>
      <c r="B622" s="2290" t="s">
        <v>282</v>
      </c>
      <c r="C622" s="2548" t="s">
        <v>3197</v>
      </c>
      <c r="D622" s="2292" t="s">
        <v>1174</v>
      </c>
      <c r="E622" s="2292" t="s">
        <v>1145</v>
      </c>
      <c r="F622" s="2292" t="s">
        <v>3096</v>
      </c>
    </row>
    <row r="623" spans="1:6" x14ac:dyDescent="0.3">
      <c r="A623" s="2664">
        <v>32000000</v>
      </c>
      <c r="B623" s="2579" t="s">
        <v>462</v>
      </c>
      <c r="C623" s="2579"/>
      <c r="D623" s="2778"/>
      <c r="E623" s="2580"/>
      <c r="F623" s="2580"/>
    </row>
    <row r="624" spans="1:6" x14ac:dyDescent="0.3">
      <c r="A624" s="170">
        <v>32010000</v>
      </c>
      <c r="B624" s="2558" t="s">
        <v>463</v>
      </c>
      <c r="C624" s="2558"/>
      <c r="D624" s="2764"/>
      <c r="E624" s="2559"/>
      <c r="F624" s="2559"/>
    </row>
    <row r="625" spans="1:6" x14ac:dyDescent="0.3">
      <c r="A625" s="170">
        <v>32010100</v>
      </c>
      <c r="B625" s="2557" t="s">
        <v>464</v>
      </c>
      <c r="C625" s="2558"/>
      <c r="D625" s="2764"/>
      <c r="E625" s="2559"/>
      <c r="F625" s="2559"/>
    </row>
    <row r="626" spans="1:6" x14ac:dyDescent="0.3">
      <c r="A626" s="170">
        <v>32010101</v>
      </c>
      <c r="B626" s="2557" t="s">
        <v>3212</v>
      </c>
      <c r="C626" s="2558"/>
      <c r="D626" s="2806">
        <f>SUM(D627:D629)</f>
        <v>120000000</v>
      </c>
      <c r="E626" s="2806">
        <f t="shared" ref="E626:F626" si="43">SUM(E627:E629)</f>
        <v>3614500</v>
      </c>
      <c r="F626" s="2806">
        <f t="shared" si="43"/>
        <v>300000000</v>
      </c>
    </row>
    <row r="627" spans="1:6" ht="37.5" x14ac:dyDescent="0.3">
      <c r="A627" s="2562" t="s">
        <v>3600</v>
      </c>
      <c r="B627" s="2563" t="s">
        <v>853</v>
      </c>
      <c r="C627" s="1981"/>
      <c r="D627" s="2755">
        <v>120000000</v>
      </c>
      <c r="E627" s="2584">
        <v>3614500</v>
      </c>
      <c r="F627" s="2584">
        <v>150000000</v>
      </c>
    </row>
    <row r="628" spans="1:6" x14ac:dyDescent="0.3">
      <c r="A628" s="2562" t="s">
        <v>3601</v>
      </c>
      <c r="B628" s="2563" t="s">
        <v>854</v>
      </c>
      <c r="C628" s="1981"/>
      <c r="D628" s="2755">
        <v>0</v>
      </c>
      <c r="E628" s="2584"/>
      <c r="F628" s="2584">
        <v>150000000</v>
      </c>
    </row>
    <row r="629" spans="1:6" x14ac:dyDescent="0.3">
      <c r="A629" s="2562" t="s">
        <v>3602</v>
      </c>
      <c r="B629" s="2563" t="s">
        <v>2644</v>
      </c>
      <c r="C629" s="1981"/>
      <c r="D629" s="2755">
        <v>0</v>
      </c>
      <c r="E629" s="2584"/>
      <c r="F629" s="2667">
        <v>0</v>
      </c>
    </row>
    <row r="630" spans="1:6" x14ac:dyDescent="0.3">
      <c r="A630" s="2807">
        <v>32010900</v>
      </c>
      <c r="B630" s="2808" t="s">
        <v>470</v>
      </c>
      <c r="C630" s="2566"/>
      <c r="D630" s="2806">
        <f>SUM(D631:D631)</f>
        <v>25000000</v>
      </c>
      <c r="E630" s="2806">
        <f t="shared" ref="E630:F630" si="44">SUM(E631:E631)</f>
        <v>0</v>
      </c>
      <c r="F630" s="2806">
        <f t="shared" si="44"/>
        <v>50000000</v>
      </c>
    </row>
    <row r="631" spans="1:6" x14ac:dyDescent="0.3">
      <c r="A631" s="2562" t="s">
        <v>3603</v>
      </c>
      <c r="B631" s="2563" t="s">
        <v>475</v>
      </c>
      <c r="C631" s="1981"/>
      <c r="D631" s="2755">
        <v>25000000</v>
      </c>
      <c r="E631" s="2600"/>
      <c r="F631" s="2584">
        <v>50000000</v>
      </c>
    </row>
    <row r="632" spans="1:6" x14ac:dyDescent="0.3">
      <c r="A632" s="170">
        <v>32030100</v>
      </c>
      <c r="B632" s="2566" t="s">
        <v>472</v>
      </c>
      <c r="C632" s="2566"/>
      <c r="D632" s="2755"/>
      <c r="E632" s="2556"/>
      <c r="F632" s="2584"/>
    </row>
    <row r="633" spans="1:6" s="2635" customFormat="1" x14ac:dyDescent="0.3">
      <c r="A633" s="2795">
        <v>32030109</v>
      </c>
      <c r="B633" s="2653" t="s">
        <v>3517</v>
      </c>
      <c r="C633" s="2653"/>
      <c r="D633" s="2809">
        <f>SUM(D634:D639)</f>
        <v>105000000</v>
      </c>
      <c r="E633" s="2600">
        <f>SUM(E634:E639)</f>
        <v>572000</v>
      </c>
      <c r="F633" s="2600">
        <f>SUM(F634:F639)</f>
        <v>180000000</v>
      </c>
    </row>
    <row r="634" spans="1:6" x14ac:dyDescent="0.3">
      <c r="A634" s="2562" t="s">
        <v>3604</v>
      </c>
      <c r="B634" s="2563" t="s">
        <v>229</v>
      </c>
      <c r="C634" s="1981"/>
      <c r="D634" s="2755">
        <v>50000000</v>
      </c>
      <c r="E634" s="2584"/>
      <c r="F634" s="2584">
        <v>50000000</v>
      </c>
    </row>
    <row r="635" spans="1:6" x14ac:dyDescent="0.3">
      <c r="A635" s="2562" t="s">
        <v>3605</v>
      </c>
      <c r="B635" s="2563" t="s">
        <v>474</v>
      </c>
      <c r="C635" s="1981"/>
      <c r="D635" s="2755">
        <v>10000000</v>
      </c>
      <c r="E635" s="2584"/>
      <c r="F635" s="2584">
        <v>10000000</v>
      </c>
    </row>
    <row r="636" spans="1:6" x14ac:dyDescent="0.3">
      <c r="A636" s="2562" t="s">
        <v>3606</v>
      </c>
      <c r="B636" s="2563" t="s">
        <v>855</v>
      </c>
      <c r="C636" s="1981"/>
      <c r="D636" s="2755">
        <v>25000000</v>
      </c>
      <c r="E636" s="2584"/>
      <c r="F636" s="2584">
        <v>50000000</v>
      </c>
    </row>
    <row r="637" spans="1:6" x14ac:dyDescent="0.3">
      <c r="A637" s="2562" t="s">
        <v>3607</v>
      </c>
      <c r="B637" s="2563" t="s">
        <v>2018</v>
      </c>
      <c r="C637" s="1981"/>
      <c r="D637" s="2755">
        <v>10000000</v>
      </c>
      <c r="E637" s="2584"/>
      <c r="F637" s="2584">
        <v>10000000</v>
      </c>
    </row>
    <row r="638" spans="1:6" x14ac:dyDescent="0.3">
      <c r="A638" s="2562" t="s">
        <v>3608</v>
      </c>
      <c r="B638" s="2563" t="s">
        <v>476</v>
      </c>
      <c r="C638" s="1981"/>
      <c r="D638" s="2755">
        <v>10000000</v>
      </c>
      <c r="E638" s="2584">
        <v>572000</v>
      </c>
      <c r="F638" s="2584">
        <v>10000000</v>
      </c>
    </row>
    <row r="639" spans="1:6" x14ac:dyDescent="0.3">
      <c r="A639" s="2562" t="s">
        <v>3609</v>
      </c>
      <c r="B639" s="2563" t="s">
        <v>3043</v>
      </c>
      <c r="C639" s="1981"/>
      <c r="D639" s="2755">
        <v>0</v>
      </c>
      <c r="E639" s="2584"/>
      <c r="F639" s="2584">
        <v>50000000</v>
      </c>
    </row>
    <row r="640" spans="1:6" ht="19.5" thickBot="1" x14ac:dyDescent="0.35">
      <c r="A640" s="2614"/>
      <c r="B640" s="2808"/>
      <c r="C640" s="2808"/>
      <c r="D640" s="2810"/>
      <c r="E640" s="2811"/>
      <c r="F640" s="2605"/>
    </row>
    <row r="641" spans="1:6" ht="19.5" thickBot="1" x14ac:dyDescent="0.35">
      <c r="A641" s="2548"/>
      <c r="B641" s="2594" t="s">
        <v>2601</v>
      </c>
      <c r="C641" s="2594"/>
      <c r="D641" s="2595">
        <f>SUM(D626,D630,D633)</f>
        <v>250000000</v>
      </c>
      <c r="E641" s="2595">
        <f t="shared" ref="E641:F641" si="45">SUM(E626,E630,E633)</f>
        <v>4186500</v>
      </c>
      <c r="F641" s="2595">
        <f t="shared" si="45"/>
        <v>530000000</v>
      </c>
    </row>
    <row r="642" spans="1:6" x14ac:dyDescent="0.3">
      <c r="A642" s="3537" t="s">
        <v>1240</v>
      </c>
      <c r="B642" s="3537"/>
      <c r="C642" s="3537"/>
      <c r="D642" s="3537"/>
      <c r="E642" s="3537"/>
      <c r="F642" s="3537"/>
    </row>
    <row r="643" spans="1:6" ht="19.5" thickBot="1" x14ac:dyDescent="0.35">
      <c r="A643" s="3535" t="s">
        <v>2600</v>
      </c>
      <c r="B643" s="3535"/>
      <c r="C643" s="3535"/>
      <c r="D643" s="3535"/>
      <c r="E643" s="3535"/>
      <c r="F643" s="3535"/>
    </row>
    <row r="644" spans="1:6" s="2549" customFormat="1" ht="57" thickBot="1" x14ac:dyDescent="0.25">
      <c r="A644" s="2548" t="s">
        <v>1</v>
      </c>
      <c r="B644" s="2290" t="s">
        <v>282</v>
      </c>
      <c r="C644" s="2548" t="s">
        <v>3197</v>
      </c>
      <c r="D644" s="2292" t="s">
        <v>1174</v>
      </c>
      <c r="E644" s="2292" t="s">
        <v>1145</v>
      </c>
      <c r="F644" s="2292" t="s">
        <v>3096</v>
      </c>
    </row>
    <row r="645" spans="1:6" x14ac:dyDescent="0.3">
      <c r="A645" s="2664">
        <v>32000000</v>
      </c>
      <c r="B645" s="2579" t="s">
        <v>462</v>
      </c>
      <c r="C645" s="2579"/>
      <c r="D645" s="2580"/>
      <c r="E645" s="2580"/>
      <c r="F645" s="2580"/>
    </row>
    <row r="646" spans="1:6" x14ac:dyDescent="0.3">
      <c r="A646" s="170">
        <v>32010000</v>
      </c>
      <c r="B646" s="2557" t="s">
        <v>463</v>
      </c>
      <c r="C646" s="2558"/>
      <c r="D646" s="2559"/>
      <c r="E646" s="2559"/>
      <c r="F646" s="2559"/>
    </row>
    <row r="647" spans="1:6" x14ac:dyDescent="0.3">
      <c r="A647" s="170">
        <v>32010100</v>
      </c>
      <c r="B647" s="2557" t="s">
        <v>464</v>
      </c>
      <c r="C647" s="2558"/>
      <c r="D647" s="2559"/>
      <c r="E647" s="2559"/>
      <c r="F647" s="2559"/>
    </row>
    <row r="648" spans="1:6" x14ac:dyDescent="0.3">
      <c r="A648" s="170">
        <v>32010101</v>
      </c>
      <c r="B648" s="2557" t="s">
        <v>3212</v>
      </c>
      <c r="C648" s="2558"/>
      <c r="D648" s="2600">
        <f>SUM(D649:D656)</f>
        <v>455000000</v>
      </c>
      <c r="E648" s="2600">
        <f>SUM(E649:E656)</f>
        <v>7649500</v>
      </c>
      <c r="F648" s="2600">
        <f>SUM(F649:F656)</f>
        <v>2380000000</v>
      </c>
    </row>
    <row r="649" spans="1:6" ht="37.5" x14ac:dyDescent="0.3">
      <c r="A649" s="2562" t="s">
        <v>3610</v>
      </c>
      <c r="B649" s="2563" t="s">
        <v>2019</v>
      </c>
      <c r="C649" s="1981"/>
      <c r="D649" s="2755">
        <v>200000000</v>
      </c>
      <c r="E649" s="2584"/>
      <c r="F649" s="2584">
        <v>1000000000</v>
      </c>
    </row>
    <row r="650" spans="1:6" x14ac:dyDescent="0.3">
      <c r="A650" s="2562" t="s">
        <v>3611</v>
      </c>
      <c r="B650" s="2563" t="s">
        <v>2020</v>
      </c>
      <c r="C650" s="1981"/>
      <c r="D650" s="2755"/>
      <c r="E650" s="2584"/>
      <c r="F650" s="2584">
        <v>30000000</v>
      </c>
    </row>
    <row r="651" spans="1:6" x14ac:dyDescent="0.3">
      <c r="A651" s="2562" t="s">
        <v>3612</v>
      </c>
      <c r="B651" s="2563" t="s">
        <v>231</v>
      </c>
      <c r="C651" s="1981"/>
      <c r="D651" s="2755">
        <v>100000000</v>
      </c>
      <c r="E651" s="2584"/>
      <c r="F651" s="2584">
        <v>65000000</v>
      </c>
    </row>
    <row r="652" spans="1:6" ht="37.5" x14ac:dyDescent="0.3">
      <c r="A652" s="2562" t="s">
        <v>3613</v>
      </c>
      <c r="B652" s="2563" t="s">
        <v>2022</v>
      </c>
      <c r="C652" s="1981"/>
      <c r="D652" s="2755">
        <v>50000000</v>
      </c>
      <c r="E652" s="2584">
        <v>7649500</v>
      </c>
      <c r="F652" s="2584">
        <v>100000000</v>
      </c>
    </row>
    <row r="653" spans="1:6" x14ac:dyDescent="0.3">
      <c r="A653" s="2562" t="s">
        <v>3614</v>
      </c>
      <c r="B653" s="2563" t="s">
        <v>2023</v>
      </c>
      <c r="C653" s="1981"/>
      <c r="D653" s="2755">
        <v>105000000</v>
      </c>
      <c r="E653" s="2584"/>
      <c r="F653" s="2584">
        <v>85000000</v>
      </c>
    </row>
    <row r="654" spans="1:6" x14ac:dyDescent="0.3">
      <c r="A654" s="2562" t="s">
        <v>3615</v>
      </c>
      <c r="B654" s="2563" t="s">
        <v>2021</v>
      </c>
      <c r="C654" s="1981"/>
      <c r="D654" s="2755"/>
      <c r="E654" s="2584"/>
      <c r="F654" s="2584">
        <v>1000000000</v>
      </c>
    </row>
    <row r="655" spans="1:6" x14ac:dyDescent="0.3">
      <c r="A655" s="2562" t="s">
        <v>3616</v>
      </c>
      <c r="B655" s="1981" t="s">
        <v>3618</v>
      </c>
      <c r="C655" s="2601"/>
      <c r="D655" s="2755">
        <v>0</v>
      </c>
      <c r="E655" s="2584"/>
      <c r="F655" s="2584">
        <v>50000000</v>
      </c>
    </row>
    <row r="656" spans="1:6" x14ac:dyDescent="0.3">
      <c r="A656" s="2562" t="s">
        <v>3617</v>
      </c>
      <c r="B656" s="1981" t="s">
        <v>2024</v>
      </c>
      <c r="C656" s="2601"/>
      <c r="D656" s="2755">
        <v>0</v>
      </c>
      <c r="E656" s="2584"/>
      <c r="F656" s="2584">
        <v>50000000</v>
      </c>
    </row>
    <row r="657" spans="1:6" x14ac:dyDescent="0.3">
      <c r="A657" s="2562"/>
      <c r="B657" s="2566"/>
      <c r="C657" s="2983"/>
      <c r="D657" s="2809"/>
      <c r="E657" s="2600"/>
      <c r="F657" s="2600"/>
    </row>
    <row r="658" spans="1:6" x14ac:dyDescent="0.3">
      <c r="A658" s="170"/>
      <c r="B658" s="2566" t="s">
        <v>2876</v>
      </c>
      <c r="C658" s="2566"/>
      <c r="D658" s="3069">
        <f>SUM(D648)</f>
        <v>455000000</v>
      </c>
      <c r="E658" s="2809">
        <f>SUM(E648)</f>
        <v>7649500</v>
      </c>
      <c r="F658" s="2809">
        <f>SUM(F648)</f>
        <v>2380000000</v>
      </c>
    </row>
    <row r="659" spans="1:6" ht="19.5" thickBot="1" x14ac:dyDescent="0.35">
      <c r="A659" s="170"/>
      <c r="B659" s="2566"/>
      <c r="C659" s="2566"/>
      <c r="D659" s="2812"/>
      <c r="E659" s="2605"/>
      <c r="F659" s="2813"/>
    </row>
    <row r="660" spans="1:6" ht="38.25" thickBot="1" x14ac:dyDescent="0.35">
      <c r="A660" s="170"/>
      <c r="B660" s="2566" t="s">
        <v>2877</v>
      </c>
      <c r="C660" s="2566"/>
      <c r="D660" s="2814">
        <f>SUM(D641,D658)</f>
        <v>705000000</v>
      </c>
      <c r="E660" s="2595">
        <f>SUM(E641,E658)</f>
        <v>11836000</v>
      </c>
      <c r="F660" s="2595">
        <f>SUM(F641,F658)</f>
        <v>2910000000</v>
      </c>
    </row>
    <row r="661" spans="1:6" x14ac:dyDescent="0.3">
      <c r="A661" s="2596"/>
      <c r="B661" s="2577"/>
      <c r="C661" s="2577"/>
      <c r="D661" s="2578"/>
      <c r="E661" s="2578"/>
      <c r="F661" s="2578"/>
    </row>
    <row r="662" spans="1:6" x14ac:dyDescent="0.3">
      <c r="A662" s="2596"/>
      <c r="B662" s="2577"/>
      <c r="C662" s="2577"/>
      <c r="D662" s="2578"/>
      <c r="E662" s="2578"/>
      <c r="F662" s="2578"/>
    </row>
    <row r="663" spans="1:6" x14ac:dyDescent="0.3">
      <c r="A663" s="2596"/>
      <c r="B663" s="2577"/>
      <c r="C663" s="2577"/>
      <c r="D663" s="2578"/>
      <c r="E663" s="2578"/>
      <c r="F663" s="2578"/>
    </row>
    <row r="664" spans="1:6" s="2599" customFormat="1" x14ac:dyDescent="0.3">
      <c r="A664" s="2596"/>
      <c r="B664" s="2680"/>
      <c r="C664" s="2680"/>
      <c r="D664" s="2578"/>
      <c r="E664" s="2578"/>
      <c r="F664" s="2578"/>
    </row>
    <row r="665" spans="1:6" x14ac:dyDescent="0.3">
      <c r="A665" s="3517" t="s">
        <v>80</v>
      </c>
      <c r="B665" s="3517"/>
      <c r="C665" s="3517"/>
      <c r="D665" s="3517"/>
      <c r="E665" s="3517"/>
      <c r="F665" s="3517"/>
    </row>
    <row r="666" spans="1:6" ht="19.5" thickBot="1" x14ac:dyDescent="0.35">
      <c r="A666" s="3518" t="s">
        <v>145</v>
      </c>
      <c r="B666" s="3518"/>
      <c r="C666" s="3518"/>
      <c r="D666" s="3518"/>
      <c r="E666" s="3518"/>
      <c r="F666" s="3518"/>
    </row>
    <row r="667" spans="1:6" s="2549" customFormat="1" ht="57" thickBot="1" x14ac:dyDescent="0.25">
      <c r="A667" s="2548" t="s">
        <v>1</v>
      </c>
      <c r="B667" s="2290" t="s">
        <v>282</v>
      </c>
      <c r="C667" s="2548" t="s">
        <v>3197</v>
      </c>
      <c r="D667" s="2292" t="s">
        <v>1174</v>
      </c>
      <c r="E667" s="2292" t="s">
        <v>1145</v>
      </c>
      <c r="F667" s="2292" t="s">
        <v>3096</v>
      </c>
    </row>
    <row r="668" spans="1:6" s="2599" customFormat="1" x14ac:dyDescent="0.3">
      <c r="A668" s="2803"/>
      <c r="B668" s="2815"/>
      <c r="C668" s="2815"/>
      <c r="D668" s="2816"/>
      <c r="E668" s="2763"/>
      <c r="F668" s="2816"/>
    </row>
    <row r="669" spans="1:6" x14ac:dyDescent="0.3">
      <c r="A669" s="2553">
        <v>32000000</v>
      </c>
      <c r="B669" s="2555" t="s">
        <v>462</v>
      </c>
      <c r="C669" s="2555"/>
      <c r="D669" s="2622"/>
      <c r="E669" s="2556"/>
      <c r="F669" s="2622"/>
    </row>
    <row r="670" spans="1:6" x14ac:dyDescent="0.3">
      <c r="A670" s="170">
        <v>32010000</v>
      </c>
      <c r="B670" s="2558" t="s">
        <v>463</v>
      </c>
      <c r="C670" s="2558"/>
      <c r="D670" s="2622"/>
      <c r="E670" s="2556"/>
      <c r="F670" s="2622"/>
    </row>
    <row r="671" spans="1:6" x14ac:dyDescent="0.3">
      <c r="A671" s="170">
        <v>32010500</v>
      </c>
      <c r="B671" s="2558" t="s">
        <v>468</v>
      </c>
      <c r="C671" s="2558"/>
      <c r="D671" s="2559"/>
      <c r="E671" s="2559"/>
      <c r="F671" s="2559"/>
    </row>
    <row r="672" spans="1:6" ht="19.5" thickBot="1" x14ac:dyDescent="0.35">
      <c r="A672" s="170">
        <v>32030100</v>
      </c>
      <c r="B672" s="2566" t="s">
        <v>472</v>
      </c>
      <c r="C672" s="2566"/>
      <c r="D672" s="2817"/>
      <c r="E672" s="2580"/>
      <c r="F672" s="2619"/>
    </row>
    <row r="673" spans="1:6" s="2635" customFormat="1" ht="19.5" thickBot="1" x14ac:dyDescent="0.35">
      <c r="A673" s="2795">
        <v>32030109</v>
      </c>
      <c r="B673" s="2653" t="s">
        <v>3517</v>
      </c>
      <c r="C673" s="2653"/>
      <c r="D673" s="2595">
        <f>SUM(D674:D681)</f>
        <v>430000000</v>
      </c>
      <c r="E673" s="2595">
        <f>SUM(E674:E681)</f>
        <v>0</v>
      </c>
      <c r="F673" s="2595">
        <f>SUM(F674:F681)</f>
        <v>6018308389</v>
      </c>
    </row>
    <row r="674" spans="1:6" x14ac:dyDescent="0.3">
      <c r="A674" s="2562" t="s">
        <v>3619</v>
      </c>
      <c r="B674" s="1981" t="s">
        <v>859</v>
      </c>
      <c r="C674" s="2591"/>
      <c r="D674" s="2612">
        <v>50000000</v>
      </c>
      <c r="E674" s="2612"/>
      <c r="F674" s="2612">
        <v>50000000</v>
      </c>
    </row>
    <row r="675" spans="1:6" x14ac:dyDescent="0.3">
      <c r="A675" s="2562" t="s">
        <v>3620</v>
      </c>
      <c r="B675" s="1981" t="s">
        <v>511</v>
      </c>
      <c r="C675" s="1981"/>
      <c r="D675" s="2818">
        <v>300000000</v>
      </c>
      <c r="E675" s="2584"/>
      <c r="F675" s="2584">
        <v>300000000</v>
      </c>
    </row>
    <row r="676" spans="1:6" x14ac:dyDescent="0.3">
      <c r="A676" s="2562" t="s">
        <v>3621</v>
      </c>
      <c r="B676" s="1981" t="s">
        <v>612</v>
      </c>
      <c r="C676" s="1981"/>
      <c r="D676" s="2818">
        <v>25000000</v>
      </c>
      <c r="E676" s="2584"/>
      <c r="F676" s="2584">
        <v>25000000</v>
      </c>
    </row>
    <row r="677" spans="1:6" x14ac:dyDescent="0.3">
      <c r="A677" s="2562" t="s">
        <v>3622</v>
      </c>
      <c r="B677" s="1981" t="s">
        <v>613</v>
      </c>
      <c r="C677" s="1981"/>
      <c r="D677" s="2818">
        <v>25000000</v>
      </c>
      <c r="E677" s="2584"/>
      <c r="F677" s="2584">
        <v>25000000</v>
      </c>
    </row>
    <row r="678" spans="1:6" x14ac:dyDescent="0.3">
      <c r="A678" s="2562" t="s">
        <v>3623</v>
      </c>
      <c r="B678" s="1981" t="s">
        <v>2471</v>
      </c>
      <c r="C678" s="1981"/>
      <c r="D678" s="2819"/>
      <c r="E678" s="2612"/>
      <c r="F678" s="2612">
        <v>250000000</v>
      </c>
    </row>
    <row r="679" spans="1:6" x14ac:dyDescent="0.3">
      <c r="A679" s="2562" t="s">
        <v>3624</v>
      </c>
      <c r="B679" s="2591" t="s">
        <v>860</v>
      </c>
      <c r="C679" s="1981"/>
      <c r="D679" s="2820">
        <v>30000000</v>
      </c>
      <c r="E679" s="2584"/>
      <c r="F679" s="2584">
        <v>30000000</v>
      </c>
    </row>
    <row r="680" spans="1:6" x14ac:dyDescent="0.3">
      <c r="A680" s="2562" t="s">
        <v>3625</v>
      </c>
      <c r="B680" s="1981" t="s">
        <v>2643</v>
      </c>
      <c r="C680" s="1981"/>
      <c r="D680" s="2818"/>
      <c r="E680" s="2584"/>
      <c r="F680" s="2584">
        <v>5338308389</v>
      </c>
    </row>
    <row r="681" spans="1:6" ht="19.5" thickBot="1" x14ac:dyDescent="0.35">
      <c r="A681" s="2562" t="s">
        <v>3626</v>
      </c>
      <c r="B681" s="2587" t="s">
        <v>2659</v>
      </c>
      <c r="C681" s="1981"/>
      <c r="D681" s="2820"/>
      <c r="E681" s="2612"/>
      <c r="F681" s="2821">
        <v>0</v>
      </c>
    </row>
    <row r="682" spans="1:6" ht="19.5" thickBot="1" x14ac:dyDescent="0.35">
      <c r="A682" s="170"/>
      <c r="B682" s="2566"/>
      <c r="C682" s="2566"/>
      <c r="D682" s="2739"/>
      <c r="E682" s="2595"/>
      <c r="F682" s="2595"/>
    </row>
    <row r="683" spans="1:6" ht="19.5" thickBot="1" x14ac:dyDescent="0.35">
      <c r="A683" s="2722"/>
      <c r="B683" s="2603" t="s">
        <v>2602</v>
      </c>
      <c r="C683" s="2603"/>
      <c r="D683" s="2595">
        <f>SUM(D673)</f>
        <v>430000000</v>
      </c>
      <c r="E683" s="2595">
        <f>SUM(E673)</f>
        <v>0</v>
      </c>
      <c r="F683" s="2595">
        <f>SUM(F673)</f>
        <v>6018308389</v>
      </c>
    </row>
    <row r="684" spans="1:6" x14ac:dyDescent="0.3">
      <c r="A684" s="3535"/>
      <c r="B684" s="3535"/>
      <c r="C684" s="3535"/>
      <c r="D684" s="3535"/>
      <c r="E684" s="3535"/>
      <c r="F684" s="3535"/>
    </row>
    <row r="685" spans="1:6" x14ac:dyDescent="0.3">
      <c r="A685" s="3517"/>
      <c r="B685" s="3517"/>
      <c r="C685" s="3517"/>
      <c r="D685" s="3517"/>
      <c r="E685" s="3517"/>
      <c r="F685" s="3517"/>
    </row>
    <row r="686" spans="1:6" x14ac:dyDescent="0.3">
      <c r="A686" s="3517" t="s">
        <v>80</v>
      </c>
      <c r="B686" s="3517"/>
      <c r="C686" s="3517"/>
      <c r="D686" s="3517"/>
      <c r="E686" s="3517"/>
      <c r="F686" s="3517"/>
    </row>
    <row r="687" spans="1:6" ht="19.5" thickBot="1" x14ac:dyDescent="0.35">
      <c r="A687" s="3518" t="s">
        <v>1321</v>
      </c>
      <c r="B687" s="3518"/>
      <c r="C687" s="3518"/>
      <c r="D687" s="3518"/>
      <c r="E687" s="3518"/>
      <c r="F687" s="3518"/>
    </row>
    <row r="688" spans="1:6" s="2549" customFormat="1" ht="57" thickBot="1" x14ac:dyDescent="0.25">
      <c r="A688" s="2548" t="s">
        <v>1</v>
      </c>
      <c r="B688" s="2290" t="s">
        <v>282</v>
      </c>
      <c r="C688" s="2548" t="s">
        <v>3197</v>
      </c>
      <c r="D688" s="2292" t="s">
        <v>1174</v>
      </c>
      <c r="E688" s="2292" t="s">
        <v>1145</v>
      </c>
      <c r="F688" s="2292" t="s">
        <v>3096</v>
      </c>
    </row>
    <row r="689" spans="1:6" s="2599" customFormat="1" x14ac:dyDescent="0.3">
      <c r="A689" s="2664">
        <v>320000</v>
      </c>
      <c r="B689" s="2726" t="s">
        <v>462</v>
      </c>
      <c r="C689" s="2726"/>
      <c r="D689" s="2552"/>
      <c r="E689" s="2552"/>
      <c r="F689" s="2552"/>
    </row>
    <row r="690" spans="1:6" x14ac:dyDescent="0.3">
      <c r="A690" s="170">
        <v>320100</v>
      </c>
      <c r="B690" s="2558" t="s">
        <v>463</v>
      </c>
      <c r="C690" s="2558"/>
      <c r="D690" s="2559"/>
      <c r="E690" s="2559"/>
      <c r="F690" s="2559"/>
    </row>
    <row r="691" spans="1:6" x14ac:dyDescent="0.3">
      <c r="A691" s="170">
        <v>32010100</v>
      </c>
      <c r="B691" s="2558" t="s">
        <v>471</v>
      </c>
      <c r="C691" s="2558"/>
      <c r="D691" s="2559"/>
      <c r="E691" s="2559"/>
      <c r="F691" s="2559"/>
    </row>
    <row r="692" spans="1:6" x14ac:dyDescent="0.3">
      <c r="A692" s="170">
        <v>32010101</v>
      </c>
      <c r="B692" s="2558" t="s">
        <v>3212</v>
      </c>
      <c r="C692" s="2558"/>
      <c r="D692" s="2806">
        <f>SUM(D693:D694)</f>
        <v>55000000</v>
      </c>
      <c r="E692" s="2806">
        <f t="shared" ref="E692:F692" si="46">SUM(E693:E694)</f>
        <v>18000000</v>
      </c>
      <c r="F692" s="2806">
        <f t="shared" si="46"/>
        <v>65000000</v>
      </c>
    </row>
    <row r="693" spans="1:6" x14ac:dyDescent="0.3">
      <c r="A693" s="2562" t="s">
        <v>3627</v>
      </c>
      <c r="B693" s="1981" t="s">
        <v>3629</v>
      </c>
      <c r="C693" s="1981"/>
      <c r="D693" s="2822">
        <v>35000000</v>
      </c>
      <c r="E693" s="2584">
        <v>18000000</v>
      </c>
      <c r="F693" s="2584">
        <v>35000000</v>
      </c>
    </row>
    <row r="694" spans="1:6" x14ac:dyDescent="0.3">
      <c r="A694" s="2562" t="s">
        <v>3628</v>
      </c>
      <c r="B694" s="1981" t="s">
        <v>861</v>
      </c>
      <c r="C694" s="1981"/>
      <c r="D694" s="2822">
        <v>20000000</v>
      </c>
      <c r="E694" s="2584">
        <v>0</v>
      </c>
      <c r="F694" s="2584">
        <v>30000000</v>
      </c>
    </row>
    <row r="695" spans="1:6" x14ac:dyDescent="0.3">
      <c r="A695" s="170">
        <v>32010500</v>
      </c>
      <c r="B695" s="2558" t="s">
        <v>468</v>
      </c>
      <c r="C695" s="2558"/>
      <c r="D695" s="2764"/>
      <c r="E695" s="2559"/>
      <c r="F695" s="2559"/>
    </row>
    <row r="696" spans="1:6" x14ac:dyDescent="0.3">
      <c r="A696" s="170">
        <v>32010501</v>
      </c>
      <c r="B696" s="2558" t="s">
        <v>3639</v>
      </c>
      <c r="C696" s="2558"/>
      <c r="D696" s="2806">
        <f>SUM(D697:D697)</f>
        <v>35000000</v>
      </c>
      <c r="E696" s="2560">
        <f>SUM(E697:E697)</f>
        <v>33365000</v>
      </c>
      <c r="F696" s="2560">
        <f>SUM(F697:F697)</f>
        <v>40000000</v>
      </c>
    </row>
    <row r="697" spans="1:6" x14ac:dyDescent="0.3">
      <c r="A697" s="2562" t="s">
        <v>3628</v>
      </c>
      <c r="B697" s="1981" t="s">
        <v>512</v>
      </c>
      <c r="C697" s="1981"/>
      <c r="D697" s="2755">
        <v>35000000</v>
      </c>
      <c r="E697" s="2559">
        <v>33365000</v>
      </c>
      <c r="F697" s="2584">
        <v>40000000</v>
      </c>
    </row>
    <row r="698" spans="1:6" x14ac:dyDescent="0.3">
      <c r="A698" s="170">
        <v>32030100</v>
      </c>
      <c r="B698" s="2566" t="s">
        <v>472</v>
      </c>
      <c r="C698" s="2566"/>
      <c r="D698" s="2755"/>
      <c r="E698" s="2556"/>
      <c r="F698" s="2584"/>
    </row>
    <row r="699" spans="1:6" s="2635" customFormat="1" x14ac:dyDescent="0.3">
      <c r="A699" s="2795">
        <v>32030109</v>
      </c>
      <c r="B699" s="2653" t="s">
        <v>3517</v>
      </c>
      <c r="C699" s="2653"/>
      <c r="D699" s="2809">
        <f>SUM(D703:D707)</f>
        <v>384750500</v>
      </c>
      <c r="E699" s="2600">
        <f>SUM(E703:E707)</f>
        <v>28150000</v>
      </c>
      <c r="F699" s="2600">
        <f>SUM(F700:F708)</f>
        <v>200000000</v>
      </c>
    </row>
    <row r="700" spans="1:6" x14ac:dyDescent="0.3">
      <c r="A700" s="2562" t="s">
        <v>3630</v>
      </c>
      <c r="B700" s="1981" t="s">
        <v>2731</v>
      </c>
      <c r="C700" s="1981"/>
      <c r="D700" s="2755"/>
      <c r="E700" s="2556"/>
      <c r="F700" s="2667">
        <v>0</v>
      </c>
    </row>
    <row r="701" spans="1:6" x14ac:dyDescent="0.3">
      <c r="A701" s="2562" t="s">
        <v>3631</v>
      </c>
      <c r="B701" s="1981" t="s">
        <v>2730</v>
      </c>
      <c r="C701" s="1981"/>
      <c r="D701" s="2755"/>
      <c r="E701" s="2556"/>
      <c r="F701" s="2667">
        <v>0</v>
      </c>
    </row>
    <row r="702" spans="1:6" x14ac:dyDescent="0.3">
      <c r="A702" s="2562" t="s">
        <v>3632</v>
      </c>
      <c r="B702" s="2587" t="s">
        <v>2732</v>
      </c>
      <c r="C702" s="1981"/>
      <c r="D702" s="2755"/>
      <c r="E702" s="2556"/>
      <c r="F702" s="2667">
        <v>0</v>
      </c>
    </row>
    <row r="703" spans="1:6" x14ac:dyDescent="0.3">
      <c r="A703" s="2562" t="s">
        <v>3633</v>
      </c>
      <c r="B703" s="2587" t="s">
        <v>1719</v>
      </c>
      <c r="C703" s="2587"/>
      <c r="D703" s="2755">
        <v>102750500</v>
      </c>
      <c r="E703" s="2584"/>
      <c r="F703" s="2667">
        <v>0</v>
      </c>
    </row>
    <row r="704" spans="1:6" x14ac:dyDescent="0.3">
      <c r="A704" s="2562" t="s">
        <v>3634</v>
      </c>
      <c r="B704" s="1981" t="s">
        <v>1720</v>
      </c>
      <c r="C704" s="1981"/>
      <c r="D704" s="2755">
        <v>182000000</v>
      </c>
      <c r="E704" s="2584"/>
      <c r="F704" s="2667">
        <v>0</v>
      </c>
    </row>
    <row r="705" spans="1:6" x14ac:dyDescent="0.3">
      <c r="A705" s="2562" t="s">
        <v>3635</v>
      </c>
      <c r="B705" s="1981" t="s">
        <v>3640</v>
      </c>
      <c r="C705" s="1981"/>
      <c r="D705" s="2755">
        <v>50000000</v>
      </c>
      <c r="E705" s="2584">
        <v>28150000</v>
      </c>
      <c r="F705" s="2584">
        <v>50000000</v>
      </c>
    </row>
    <row r="706" spans="1:6" x14ac:dyDescent="0.3">
      <c r="A706" s="2562" t="s">
        <v>3636</v>
      </c>
      <c r="B706" s="1981" t="s">
        <v>2976</v>
      </c>
      <c r="C706" s="1981"/>
      <c r="D706" s="2755">
        <v>25000000</v>
      </c>
      <c r="E706" s="2584"/>
      <c r="F706" s="2755">
        <v>25000000</v>
      </c>
    </row>
    <row r="707" spans="1:6" x14ac:dyDescent="0.3">
      <c r="A707" s="2562" t="s">
        <v>3637</v>
      </c>
      <c r="B707" s="1981" t="s">
        <v>2977</v>
      </c>
      <c r="C707" s="1981"/>
      <c r="D707" s="2755">
        <v>25000000</v>
      </c>
      <c r="E707" s="2584"/>
      <c r="F707" s="2755">
        <v>25000000</v>
      </c>
    </row>
    <row r="708" spans="1:6" x14ac:dyDescent="0.3">
      <c r="A708" s="2562" t="s">
        <v>3638</v>
      </c>
      <c r="B708" s="1981" t="s">
        <v>2964</v>
      </c>
      <c r="C708" s="1981"/>
      <c r="D708" s="2755"/>
      <c r="E708" s="2584"/>
      <c r="F708" s="2584">
        <v>100000000</v>
      </c>
    </row>
    <row r="709" spans="1:6" ht="19.5" thickBot="1" x14ac:dyDescent="0.35">
      <c r="A709" s="2562"/>
      <c r="B709" s="2607"/>
      <c r="C709" s="2566"/>
      <c r="D709" s="2823"/>
      <c r="E709" s="2605"/>
      <c r="F709" s="2605"/>
    </row>
    <row r="710" spans="1:6" ht="19.5" thickBot="1" x14ac:dyDescent="0.35">
      <c r="A710" s="170"/>
      <c r="B710" s="2566" t="s">
        <v>2603</v>
      </c>
      <c r="C710" s="2566"/>
      <c r="D710" s="2739">
        <f>SUM(D692,D696,D699)</f>
        <v>474750500</v>
      </c>
      <c r="E710" s="2595">
        <f>SUM(E692,E696,E699)</f>
        <v>79515000</v>
      </c>
      <c r="F710" s="2595">
        <f>SUM(F692,F696,F699)</f>
        <v>305000000</v>
      </c>
    </row>
    <row r="711" spans="1:6" x14ac:dyDescent="0.3">
      <c r="A711" s="3517"/>
      <c r="B711" s="3517"/>
      <c r="C711" s="3517"/>
      <c r="D711" s="3519"/>
      <c r="E711" s="3519"/>
      <c r="F711" s="3519"/>
    </row>
    <row r="712" spans="1:6" x14ac:dyDescent="0.3">
      <c r="A712" s="2724"/>
      <c r="B712" s="2724"/>
      <c r="C712" s="2724"/>
      <c r="D712" s="2725"/>
      <c r="E712" s="2725"/>
      <c r="F712" s="2725"/>
    </row>
    <row r="713" spans="1:6" x14ac:dyDescent="0.3">
      <c r="A713" s="3517" t="s">
        <v>80</v>
      </c>
      <c r="B713" s="3517"/>
      <c r="C713" s="3517"/>
      <c r="D713" s="3517"/>
      <c r="E713" s="3517"/>
      <c r="F713" s="3517"/>
    </row>
    <row r="714" spans="1:6" ht="19.5" thickBot="1" x14ac:dyDescent="0.35">
      <c r="A714" s="3517" t="s">
        <v>862</v>
      </c>
      <c r="B714" s="3517"/>
      <c r="C714" s="3517"/>
      <c r="D714" s="3517"/>
      <c r="E714" s="3517"/>
      <c r="F714" s="3517"/>
    </row>
    <row r="715" spans="1:6" s="2549" customFormat="1" ht="57" thickBot="1" x14ac:dyDescent="0.25">
      <c r="A715" s="2548" t="s">
        <v>1</v>
      </c>
      <c r="B715" s="2290" t="s">
        <v>282</v>
      </c>
      <c r="C715" s="2548" t="s">
        <v>3197</v>
      </c>
      <c r="D715" s="2292" t="s">
        <v>1174</v>
      </c>
      <c r="E715" s="2292" t="s">
        <v>1145</v>
      </c>
      <c r="F715" s="2292" t="s">
        <v>3096</v>
      </c>
    </row>
    <row r="716" spans="1:6" s="2599" customFormat="1" x14ac:dyDescent="0.3">
      <c r="A716" s="2803"/>
      <c r="B716" s="2815"/>
      <c r="C716" s="2815"/>
      <c r="D716" s="2762"/>
      <c r="E716" s="2763"/>
      <c r="F716" s="2763"/>
    </row>
    <row r="717" spans="1:6" x14ac:dyDescent="0.3">
      <c r="A717" s="170">
        <v>32010100</v>
      </c>
      <c r="B717" s="2558" t="s">
        <v>464</v>
      </c>
      <c r="C717" s="2558"/>
      <c r="D717" s="2764"/>
      <c r="E717" s="2559"/>
      <c r="F717" s="2559"/>
    </row>
    <row r="718" spans="1:6" x14ac:dyDescent="0.3">
      <c r="A718" s="170"/>
      <c r="B718" s="2558" t="s">
        <v>3212</v>
      </c>
      <c r="C718" s="2558"/>
      <c r="D718" s="2824">
        <f>SUM(D719:D720)</f>
        <v>50000000</v>
      </c>
      <c r="E718" s="2824">
        <f t="shared" ref="E718:F718" si="47">SUM(E719:E720)</f>
        <v>0</v>
      </c>
      <c r="F718" s="2824">
        <f t="shared" si="47"/>
        <v>200000000</v>
      </c>
    </row>
    <row r="719" spans="1:6" x14ac:dyDescent="0.3">
      <c r="A719" s="2562" t="s">
        <v>3641</v>
      </c>
      <c r="B719" s="1981" t="s">
        <v>3643</v>
      </c>
      <c r="C719" s="1981"/>
      <c r="D719" s="2755"/>
      <c r="E719" s="2584"/>
      <c r="F719" s="2584">
        <v>150000000</v>
      </c>
    </row>
    <row r="720" spans="1:6" x14ac:dyDescent="0.3">
      <c r="A720" s="2562" t="s">
        <v>3642</v>
      </c>
      <c r="B720" s="2589" t="s">
        <v>864</v>
      </c>
      <c r="C720" s="2589"/>
      <c r="D720" s="2755">
        <v>50000000</v>
      </c>
      <c r="E720" s="2584">
        <v>0</v>
      </c>
      <c r="F720" s="2584">
        <v>50000000</v>
      </c>
    </row>
    <row r="721" spans="1:6" x14ac:dyDescent="0.3">
      <c r="A721" s="2562"/>
      <c r="B721" s="2566" t="s">
        <v>3213</v>
      </c>
      <c r="C721" s="1981"/>
      <c r="D721" s="2824">
        <f>SUM(D722:D724)</f>
        <v>150000000</v>
      </c>
      <c r="E721" s="2824">
        <f t="shared" ref="E721" si="48">SUM(E722:E724)</f>
        <v>4000000</v>
      </c>
      <c r="F721" s="2824">
        <f>SUM(F722:F724)</f>
        <v>415000000</v>
      </c>
    </row>
    <row r="722" spans="1:6" x14ac:dyDescent="0.3">
      <c r="A722" s="2562" t="s">
        <v>3644</v>
      </c>
      <c r="B722" s="1981" t="s">
        <v>286</v>
      </c>
      <c r="C722" s="1981"/>
      <c r="D722" s="2755">
        <v>0</v>
      </c>
      <c r="E722" s="2584">
        <f>-CO2067</f>
        <v>0</v>
      </c>
      <c r="F722" s="2584">
        <v>150000000</v>
      </c>
    </row>
    <row r="723" spans="1:6" x14ac:dyDescent="0.3">
      <c r="A723" s="2562" t="s">
        <v>3647</v>
      </c>
      <c r="B723" s="1981" t="s">
        <v>865</v>
      </c>
      <c r="C723" s="1981"/>
      <c r="D723" s="2755">
        <v>150000000</v>
      </c>
      <c r="E723" s="2584">
        <v>4000000</v>
      </c>
      <c r="F723" s="2584">
        <v>250000000</v>
      </c>
    </row>
    <row r="724" spans="1:6" x14ac:dyDescent="0.3">
      <c r="A724" s="2562" t="s">
        <v>3648</v>
      </c>
      <c r="B724" s="1981" t="s">
        <v>1995</v>
      </c>
      <c r="C724" s="1981"/>
      <c r="D724" s="2755"/>
      <c r="E724" s="2584"/>
      <c r="F724" s="2584">
        <v>15000000</v>
      </c>
    </row>
    <row r="725" spans="1:6" x14ac:dyDescent="0.3">
      <c r="A725" s="170">
        <v>32010200</v>
      </c>
      <c r="B725" s="2566" t="s">
        <v>3645</v>
      </c>
      <c r="C725" s="1981"/>
      <c r="D725" s="2755"/>
      <c r="E725" s="2584"/>
      <c r="F725" s="2584"/>
    </row>
    <row r="726" spans="1:6" x14ac:dyDescent="0.3">
      <c r="A726" s="170">
        <v>32010202</v>
      </c>
      <c r="B726" s="2566" t="s">
        <v>3199</v>
      </c>
      <c r="C726" s="1981"/>
      <c r="D726" s="2824">
        <f>SUM(D727)</f>
        <v>0</v>
      </c>
      <c r="E726" s="2824">
        <f t="shared" ref="E726:F726" si="49">SUM(E727)</f>
        <v>0</v>
      </c>
      <c r="F726" s="2824">
        <f t="shared" si="49"/>
        <v>0</v>
      </c>
    </row>
    <row r="727" spans="1:6" x14ac:dyDescent="0.3">
      <c r="A727" s="2562" t="s">
        <v>3649</v>
      </c>
      <c r="B727" s="1981" t="s">
        <v>3646</v>
      </c>
      <c r="C727" s="1981"/>
      <c r="D727" s="2755">
        <v>0</v>
      </c>
      <c r="E727" s="2584"/>
      <c r="F727" s="2667">
        <v>0</v>
      </c>
    </row>
    <row r="728" spans="1:6" x14ac:dyDescent="0.3">
      <c r="A728" s="170">
        <v>32010600</v>
      </c>
      <c r="B728" s="2565" t="s">
        <v>469</v>
      </c>
      <c r="C728" s="2566"/>
      <c r="D728" s="2755"/>
      <c r="E728" s="2584"/>
      <c r="F728" s="2584"/>
    </row>
    <row r="729" spans="1:6" x14ac:dyDescent="0.3">
      <c r="A729" s="170">
        <v>32010601</v>
      </c>
      <c r="B729" s="2565" t="s">
        <v>3479</v>
      </c>
      <c r="C729" s="2566"/>
      <c r="D729" s="2824">
        <f>SUM(D730)</f>
        <v>0</v>
      </c>
      <c r="E729" s="2824">
        <f t="shared" ref="E729:F729" si="50">SUM(E730)</f>
        <v>0</v>
      </c>
      <c r="F729" s="2824">
        <f t="shared" si="50"/>
        <v>5000000</v>
      </c>
    </row>
    <row r="730" spans="1:6" x14ac:dyDescent="0.3">
      <c r="A730" s="2562" t="s">
        <v>3650</v>
      </c>
      <c r="B730" s="2563" t="s">
        <v>866</v>
      </c>
      <c r="C730" s="1981"/>
      <c r="D730" s="2755"/>
      <c r="E730" s="2584"/>
      <c r="F730" s="2584">
        <v>5000000</v>
      </c>
    </row>
    <row r="731" spans="1:6" x14ac:dyDescent="0.3">
      <c r="A731" s="2666">
        <v>320301</v>
      </c>
      <c r="B731" s="2565" t="s">
        <v>472</v>
      </c>
      <c r="C731" s="2566"/>
      <c r="D731" s="2755"/>
      <c r="E731" s="2584"/>
      <c r="F731" s="2584"/>
    </row>
    <row r="732" spans="1:6" s="2635" customFormat="1" x14ac:dyDescent="0.3">
      <c r="A732" s="2795">
        <v>32030109</v>
      </c>
      <c r="B732" s="2653" t="s">
        <v>3517</v>
      </c>
      <c r="C732" s="2653"/>
      <c r="D732" s="2600">
        <f>SUM(D733:D736)</f>
        <v>130000000</v>
      </c>
      <c r="E732" s="2600">
        <f t="shared" ref="E732" si="51">SUM(E733:E736)</f>
        <v>35770230</v>
      </c>
      <c r="F732" s="2600">
        <f>SUM(F733:F736)</f>
        <v>395000000</v>
      </c>
    </row>
    <row r="733" spans="1:6" x14ac:dyDescent="0.3">
      <c r="A733" s="2562" t="s">
        <v>3651</v>
      </c>
      <c r="B733" s="2563" t="s">
        <v>863</v>
      </c>
      <c r="C733" s="1981"/>
      <c r="D733" s="2755">
        <v>15000000</v>
      </c>
      <c r="E733" s="2584">
        <v>15000000</v>
      </c>
      <c r="F733" s="2584">
        <v>60000000</v>
      </c>
    </row>
    <row r="734" spans="1:6" x14ac:dyDescent="0.3">
      <c r="A734" s="2562" t="s">
        <v>3652</v>
      </c>
      <c r="B734" s="2563" t="s">
        <v>867</v>
      </c>
      <c r="C734" s="1981"/>
      <c r="D734" s="2755"/>
      <c r="E734" s="2584"/>
      <c r="F734" s="2584">
        <v>20000000</v>
      </c>
    </row>
    <row r="735" spans="1:6" x14ac:dyDescent="0.3">
      <c r="A735" s="2562" t="s">
        <v>4210</v>
      </c>
      <c r="B735" s="2563" t="s">
        <v>614</v>
      </c>
      <c r="C735" s="1981"/>
      <c r="D735" s="2755">
        <v>15000000</v>
      </c>
      <c r="E735" s="2584">
        <v>11550000</v>
      </c>
      <c r="F735" s="2584">
        <v>15000000</v>
      </c>
    </row>
    <row r="736" spans="1:6" x14ac:dyDescent="0.3">
      <c r="A736" s="2562" t="s">
        <v>4211</v>
      </c>
      <c r="B736" s="2563" t="s">
        <v>1996</v>
      </c>
      <c r="C736" s="1981"/>
      <c r="D736" s="2755">
        <v>100000000</v>
      </c>
      <c r="E736" s="2584">
        <v>9220230</v>
      </c>
      <c r="F736" s="2584">
        <v>300000000</v>
      </c>
    </row>
    <row r="737" spans="1:6" s="2775" customFormat="1" ht="19.5" thickBot="1" x14ac:dyDescent="0.35">
      <c r="A737" s="2766"/>
      <c r="B737" s="2565"/>
      <c r="C737" s="2607"/>
      <c r="D737" s="2578"/>
      <c r="E737" s="2825"/>
      <c r="F737" s="2826"/>
    </row>
    <row r="738" spans="1:6" ht="19.5" thickBot="1" x14ac:dyDescent="0.35">
      <c r="A738" s="170"/>
      <c r="B738" s="2565" t="s">
        <v>2604</v>
      </c>
      <c r="C738" s="2566"/>
      <c r="D738" s="2739">
        <f>SUM(D718,D721,D726,D729,D732)</f>
        <v>330000000</v>
      </c>
      <c r="E738" s="2739">
        <f t="shared" ref="E738:F738" si="52">SUM(E718,E721,E726,E729,E732)</f>
        <v>39770230</v>
      </c>
      <c r="F738" s="2739">
        <f t="shared" si="52"/>
        <v>1015000000</v>
      </c>
    </row>
    <row r="739" spans="1:6" x14ac:dyDescent="0.3">
      <c r="A739" s="2596"/>
      <c r="B739" s="2577"/>
      <c r="C739" s="2577"/>
      <c r="D739" s="2578"/>
      <c r="E739" s="2578"/>
      <c r="F739" s="2578"/>
    </row>
    <row r="740" spans="1:6" x14ac:dyDescent="0.3">
      <c r="A740" s="2596"/>
      <c r="B740" s="2577"/>
      <c r="C740" s="2577"/>
      <c r="D740" s="2578"/>
      <c r="E740" s="2578"/>
      <c r="F740" s="2578"/>
    </row>
    <row r="741" spans="1:6" x14ac:dyDescent="0.3">
      <c r="A741" s="3517" t="s">
        <v>648</v>
      </c>
      <c r="B741" s="3517"/>
      <c r="C741" s="3517"/>
      <c r="D741" s="3517"/>
      <c r="E741" s="3517"/>
      <c r="F741" s="3517"/>
    </row>
    <row r="742" spans="1:6" ht="19.5" thickBot="1" x14ac:dyDescent="0.35">
      <c r="A742" s="3516" t="s">
        <v>2950</v>
      </c>
      <c r="B742" s="3516"/>
      <c r="C742" s="3516"/>
      <c r="D742" s="3516"/>
      <c r="E742" s="3516"/>
      <c r="F742" s="3516"/>
    </row>
    <row r="743" spans="1:6" s="2549" customFormat="1" ht="57" thickBot="1" x14ac:dyDescent="0.25">
      <c r="A743" s="2548" t="s">
        <v>1</v>
      </c>
      <c r="B743" s="2290" t="s">
        <v>282</v>
      </c>
      <c r="C743" s="2548" t="s">
        <v>3197</v>
      </c>
      <c r="D743" s="2292" t="s">
        <v>1174</v>
      </c>
      <c r="E743" s="2292" t="s">
        <v>1145</v>
      </c>
      <c r="F743" s="2292" t="s">
        <v>3096</v>
      </c>
    </row>
    <row r="744" spans="1:6" x14ac:dyDescent="0.3">
      <c r="A744" s="2827">
        <v>32000000</v>
      </c>
      <c r="B744" s="2828" t="s">
        <v>462</v>
      </c>
      <c r="C744" s="2828"/>
      <c r="D744" s="2580"/>
      <c r="E744" s="2580"/>
      <c r="F744" s="2580"/>
    </row>
    <row r="745" spans="1:6" x14ac:dyDescent="0.3">
      <c r="A745" s="170">
        <v>32010000</v>
      </c>
      <c r="B745" s="2558" t="s">
        <v>463</v>
      </c>
      <c r="C745" s="2558"/>
      <c r="D745" s="2559"/>
      <c r="E745" s="2559"/>
      <c r="F745" s="2559"/>
    </row>
    <row r="746" spans="1:6" x14ac:dyDescent="0.3">
      <c r="A746" s="170">
        <v>32010100</v>
      </c>
      <c r="B746" s="2558" t="s">
        <v>471</v>
      </c>
      <c r="C746" s="2558"/>
      <c r="D746" s="2559"/>
      <c r="E746" s="2559"/>
      <c r="F746" s="2559"/>
    </row>
    <row r="747" spans="1:6" x14ac:dyDescent="0.3">
      <c r="A747" s="170">
        <v>32010101</v>
      </c>
      <c r="B747" s="2557" t="s">
        <v>3212</v>
      </c>
      <c r="C747" s="2558"/>
      <c r="D747" s="2600">
        <f>SUM(D748)</f>
        <v>1200000000</v>
      </c>
      <c r="E747" s="2600">
        <f>SUM(E748)</f>
        <v>250000000</v>
      </c>
      <c r="F747" s="2600">
        <f>SUM(F748)</f>
        <v>1700000000</v>
      </c>
    </row>
    <row r="748" spans="1:6" x14ac:dyDescent="0.3">
      <c r="A748" s="2690" t="s">
        <v>3653</v>
      </c>
      <c r="B748" s="2563" t="s">
        <v>2951</v>
      </c>
      <c r="C748" s="1981"/>
      <c r="D748" s="2584">
        <v>1200000000</v>
      </c>
      <c r="E748" s="2584">
        <v>250000000</v>
      </c>
      <c r="F748" s="2584">
        <v>1700000000</v>
      </c>
    </row>
    <row r="749" spans="1:6" x14ac:dyDescent="0.3">
      <c r="A749" s="170">
        <v>320301</v>
      </c>
      <c r="B749" s="2566" t="s">
        <v>472</v>
      </c>
      <c r="C749" s="2566"/>
      <c r="D749" s="2584"/>
      <c r="E749" s="2584"/>
      <c r="F749" s="2584"/>
    </row>
    <row r="750" spans="1:6" s="2635" customFormat="1" x14ac:dyDescent="0.3">
      <c r="A750" s="2795">
        <v>32030109</v>
      </c>
      <c r="B750" s="2653" t="s">
        <v>3517</v>
      </c>
      <c r="C750" s="2653"/>
      <c r="D750" s="2600">
        <f>SUM(D751:D753)</f>
        <v>56982500</v>
      </c>
      <c r="E750" s="2600">
        <f>SUM(E751:E753)</f>
        <v>5395000</v>
      </c>
      <c r="F750" s="2600">
        <f>SUM(F751:F753)</f>
        <v>161587500</v>
      </c>
    </row>
    <row r="751" spans="1:6" x14ac:dyDescent="0.3">
      <c r="A751" s="2704" t="s">
        <v>3654</v>
      </c>
      <c r="B751" s="1981" t="s">
        <v>2855</v>
      </c>
      <c r="C751" s="1981"/>
      <c r="D751" s="2584">
        <v>56982500</v>
      </c>
      <c r="E751" s="2584">
        <v>5395000</v>
      </c>
      <c r="F751" s="2584">
        <v>51587500</v>
      </c>
    </row>
    <row r="752" spans="1:6" x14ac:dyDescent="0.3">
      <c r="A752" s="2704" t="s">
        <v>3655</v>
      </c>
      <c r="B752" s="1981" t="s">
        <v>3657</v>
      </c>
      <c r="C752" s="1981"/>
      <c r="D752" s="2584"/>
      <c r="E752" s="2584"/>
      <c r="F752" s="2584">
        <v>80000000</v>
      </c>
    </row>
    <row r="753" spans="1:6" x14ac:dyDescent="0.3">
      <c r="A753" s="2690" t="s">
        <v>3656</v>
      </c>
      <c r="B753" s="2587" t="s">
        <v>3658</v>
      </c>
      <c r="C753" s="2587"/>
      <c r="D753" s="2584"/>
      <c r="E753" s="2584"/>
      <c r="F753" s="2584">
        <v>30000000</v>
      </c>
    </row>
    <row r="754" spans="1:6" x14ac:dyDescent="0.3">
      <c r="A754" s="2562"/>
      <c r="B754" s="2566"/>
      <c r="C754" s="2566"/>
      <c r="D754" s="2600"/>
      <c r="E754" s="2600"/>
      <c r="F754" s="2600"/>
    </row>
    <row r="755" spans="1:6" ht="19.5" thickBot="1" x14ac:dyDescent="0.35">
      <c r="A755" s="2562"/>
      <c r="B755" s="2558" t="s">
        <v>2952</v>
      </c>
      <c r="C755" s="2558"/>
      <c r="D755" s="2829">
        <f>SUM(D747,D750)</f>
        <v>1256982500</v>
      </c>
      <c r="E755" s="2741">
        <f>SUM(E747,E750)</f>
        <v>255395000</v>
      </c>
      <c r="F755" s="2741">
        <f>SUM(F747,F750)</f>
        <v>1861587500</v>
      </c>
    </row>
    <row r="756" spans="1:6" x14ac:dyDescent="0.3">
      <c r="A756" s="2596"/>
      <c r="B756" s="2577"/>
      <c r="C756" s="2577"/>
      <c r="D756" s="2578"/>
      <c r="E756" s="2578"/>
      <c r="F756" s="2578"/>
    </row>
    <row r="757" spans="1:6" x14ac:dyDescent="0.3">
      <c r="A757" s="3517" t="s">
        <v>648</v>
      </c>
      <c r="B757" s="3517"/>
      <c r="C757" s="3517"/>
      <c r="D757" s="3517"/>
      <c r="E757" s="3517"/>
      <c r="F757" s="3517"/>
    </row>
    <row r="758" spans="1:6" ht="19.5" thickBot="1" x14ac:dyDescent="0.35">
      <c r="A758" s="3516" t="s">
        <v>656</v>
      </c>
      <c r="B758" s="3516"/>
      <c r="C758" s="3516"/>
      <c r="D758" s="3516"/>
      <c r="E758" s="3516"/>
      <c r="F758" s="3516"/>
    </row>
    <row r="759" spans="1:6" s="2549" customFormat="1" ht="57" thickBot="1" x14ac:dyDescent="0.25">
      <c r="A759" s="2548" t="s">
        <v>1</v>
      </c>
      <c r="B759" s="2290" t="s">
        <v>282</v>
      </c>
      <c r="C759" s="2548" t="s">
        <v>3197</v>
      </c>
      <c r="D759" s="2292" t="s">
        <v>1174</v>
      </c>
      <c r="E759" s="2292" t="s">
        <v>1145</v>
      </c>
      <c r="F759" s="2292" t="s">
        <v>3096</v>
      </c>
    </row>
    <row r="760" spans="1:6" x14ac:dyDescent="0.3">
      <c r="A760" s="2830">
        <v>32000000</v>
      </c>
      <c r="B760" s="2831" t="s">
        <v>462</v>
      </c>
      <c r="C760" s="2828"/>
      <c r="D760" s="2580"/>
      <c r="E760" s="2832"/>
      <c r="F760" s="2580"/>
    </row>
    <row r="761" spans="1:6" x14ac:dyDescent="0.3">
      <c r="A761" s="170">
        <v>32010000</v>
      </c>
      <c r="B761" s="2558" t="s">
        <v>463</v>
      </c>
      <c r="C761" s="2558"/>
      <c r="D761" s="2559"/>
      <c r="E761" s="2833"/>
      <c r="F761" s="2559"/>
    </row>
    <row r="762" spans="1:6" x14ac:dyDescent="0.3">
      <c r="A762" s="170">
        <v>32010100</v>
      </c>
      <c r="B762" s="2558" t="s">
        <v>464</v>
      </c>
      <c r="C762" s="2558"/>
      <c r="D762" s="2560">
        <f>SUM(D764)</f>
        <v>500000000</v>
      </c>
      <c r="E762" s="2560">
        <f t="shared" ref="E762:F762" si="53">SUM(E764)</f>
        <v>576169019.30999994</v>
      </c>
      <c r="F762" s="2560">
        <f t="shared" si="53"/>
        <v>300000000</v>
      </c>
    </row>
    <row r="763" spans="1:6" x14ac:dyDescent="0.3">
      <c r="A763" s="170">
        <v>32010101</v>
      </c>
      <c r="B763" s="2558" t="s">
        <v>3212</v>
      </c>
      <c r="C763" s="2557"/>
      <c r="D763" s="2560"/>
      <c r="E763" s="2560"/>
      <c r="F763" s="2560"/>
    </row>
    <row r="764" spans="1:6" x14ac:dyDescent="0.3">
      <c r="A764" s="2690" t="s">
        <v>3659</v>
      </c>
      <c r="B764" s="2774" t="s">
        <v>609</v>
      </c>
      <c r="C764" s="2834"/>
      <c r="D764" s="2584">
        <v>500000000</v>
      </c>
      <c r="E764" s="2584">
        <v>576169019.30999994</v>
      </c>
      <c r="F764" s="2584">
        <v>300000000</v>
      </c>
    </row>
    <row r="765" spans="1:6" ht="19.5" thickBot="1" x14ac:dyDescent="0.35">
      <c r="A765" s="2562"/>
      <c r="B765" s="2774"/>
      <c r="C765" s="2834"/>
      <c r="D765" s="2612"/>
      <c r="E765" s="2612"/>
      <c r="F765" s="2612"/>
    </row>
    <row r="766" spans="1:6" ht="19.5" thickBot="1" x14ac:dyDescent="0.35">
      <c r="A766" s="2562"/>
      <c r="B766" s="2558" t="s">
        <v>1345</v>
      </c>
      <c r="C766" s="2557"/>
      <c r="D766" s="2735">
        <f>SUM(D764:D764)</f>
        <v>500000000</v>
      </c>
      <c r="E766" s="2835">
        <f>SUM(E764:E764)</f>
        <v>576169019.30999994</v>
      </c>
      <c r="F766" s="2735">
        <f>SUM(F764:F764)</f>
        <v>300000000</v>
      </c>
    </row>
    <row r="767" spans="1:6" x14ac:dyDescent="0.3">
      <c r="A767" s="2596"/>
      <c r="B767" s="2577"/>
      <c r="C767" s="2577"/>
      <c r="D767" s="2578"/>
      <c r="E767" s="2578"/>
      <c r="F767" s="2578"/>
    </row>
    <row r="768" spans="1:6" x14ac:dyDescent="0.3">
      <c r="A768" s="2596"/>
      <c r="B768" s="2577"/>
      <c r="C768" s="2577"/>
      <c r="D768" s="2578"/>
      <c r="E768" s="2578"/>
      <c r="F768" s="2578"/>
    </row>
    <row r="769" spans="1:6" x14ac:dyDescent="0.3">
      <c r="A769" s="3518" t="s">
        <v>80</v>
      </c>
      <c r="B769" s="3518"/>
      <c r="C769" s="3518"/>
      <c r="D769" s="3518"/>
      <c r="E769" s="3518"/>
      <c r="F769" s="3518"/>
    </row>
    <row r="770" spans="1:6" ht="19.5" thickBot="1" x14ac:dyDescent="0.35">
      <c r="A770" s="3530" t="s">
        <v>1263</v>
      </c>
      <c r="B770" s="3530"/>
      <c r="C770" s="3530"/>
      <c r="D770" s="3530"/>
      <c r="E770" s="3530"/>
      <c r="F770" s="3530"/>
    </row>
    <row r="771" spans="1:6" s="2549" customFormat="1" ht="57" thickBot="1" x14ac:dyDescent="0.25">
      <c r="A771" s="2548" t="s">
        <v>1</v>
      </c>
      <c r="B771" s="2290" t="s">
        <v>282</v>
      </c>
      <c r="C771" s="2548" t="s">
        <v>3197</v>
      </c>
      <c r="D771" s="2292" t="s">
        <v>1174</v>
      </c>
      <c r="E771" s="2292" t="s">
        <v>1145</v>
      </c>
      <c r="F771" s="2292" t="s">
        <v>3096</v>
      </c>
    </row>
    <row r="772" spans="1:6" s="2599" customFormat="1" x14ac:dyDescent="0.3">
      <c r="A772" s="2550"/>
      <c r="B772" s="2836"/>
      <c r="C772" s="2836"/>
      <c r="D772" s="2552"/>
      <c r="E772" s="2634"/>
      <c r="F772" s="2552"/>
    </row>
    <row r="773" spans="1:6" x14ac:dyDescent="0.3">
      <c r="A773" s="2553">
        <v>32000000</v>
      </c>
      <c r="B773" s="2554" t="s">
        <v>462</v>
      </c>
      <c r="C773" s="2555"/>
      <c r="D773" s="2837"/>
      <c r="E773" s="2556"/>
      <c r="F773" s="2556"/>
    </row>
    <row r="774" spans="1:6" x14ac:dyDescent="0.3">
      <c r="A774" s="170">
        <v>32010000</v>
      </c>
      <c r="B774" s="2557" t="s">
        <v>463</v>
      </c>
      <c r="C774" s="2558"/>
      <c r="D774" s="2559"/>
      <c r="E774" s="2559"/>
      <c r="F774" s="2559"/>
    </row>
    <row r="775" spans="1:6" x14ac:dyDescent="0.3">
      <c r="A775" s="170">
        <v>32010100</v>
      </c>
      <c r="B775" s="2557" t="s">
        <v>464</v>
      </c>
      <c r="C775" s="2558"/>
      <c r="D775" s="2559"/>
      <c r="E775" s="2559"/>
      <c r="F775" s="2559"/>
    </row>
    <row r="776" spans="1:6" x14ac:dyDescent="0.3">
      <c r="A776" s="170">
        <v>32010102</v>
      </c>
      <c r="B776" s="2557" t="s">
        <v>3213</v>
      </c>
      <c r="C776" s="2558"/>
      <c r="D776" s="2560">
        <f>SUM(D777:D778)</f>
        <v>545000000</v>
      </c>
      <c r="E776" s="2560">
        <f>SUM(E777:E778)</f>
        <v>120172640</v>
      </c>
      <c r="F776" s="2560">
        <f>SUM(F777:F778)</f>
        <v>560000000</v>
      </c>
    </row>
    <row r="777" spans="1:6" x14ac:dyDescent="0.3">
      <c r="A777" s="2562" t="s">
        <v>4213</v>
      </c>
      <c r="B777" s="2563" t="s">
        <v>504</v>
      </c>
      <c r="C777" s="1981"/>
      <c r="D777" s="2710">
        <v>45000000</v>
      </c>
      <c r="E777" s="2584"/>
      <c r="F777" s="2710">
        <v>60000000</v>
      </c>
    </row>
    <row r="778" spans="1:6" x14ac:dyDescent="0.3">
      <c r="A778" s="2562" t="s">
        <v>4214</v>
      </c>
      <c r="B778" s="2563" t="s">
        <v>292</v>
      </c>
      <c r="C778" s="1981"/>
      <c r="D778" s="2584">
        <v>500000000</v>
      </c>
      <c r="E778" s="2584">
        <v>120172640</v>
      </c>
      <c r="F778" s="2584">
        <v>500000000</v>
      </c>
    </row>
    <row r="779" spans="1:6" ht="20.25" x14ac:dyDescent="0.3">
      <c r="A779" s="1993">
        <v>22020306</v>
      </c>
      <c r="B779" s="2565" t="s">
        <v>3660</v>
      </c>
      <c r="C779" s="2566"/>
      <c r="D779" s="2560">
        <f>SUM(D780)</f>
        <v>20000000</v>
      </c>
      <c r="E779" s="2560">
        <f t="shared" ref="E779:F779" si="54">SUM(E780)</f>
        <v>0</v>
      </c>
      <c r="F779" s="2560">
        <f t="shared" si="54"/>
        <v>150000000</v>
      </c>
    </row>
    <row r="780" spans="1:6" x14ac:dyDescent="0.3">
      <c r="A780" s="2562" t="s">
        <v>4215</v>
      </c>
      <c r="B780" s="2563" t="s">
        <v>2605</v>
      </c>
      <c r="C780" s="1981"/>
      <c r="D780" s="2584">
        <v>20000000</v>
      </c>
      <c r="E780" s="2584"/>
      <c r="F780" s="2584">
        <v>150000000</v>
      </c>
    </row>
    <row r="781" spans="1:6" x14ac:dyDescent="0.3">
      <c r="A781" s="170">
        <v>32030100</v>
      </c>
      <c r="B781" s="2565" t="s">
        <v>472</v>
      </c>
      <c r="C781" s="2566"/>
      <c r="D781" s="2560"/>
      <c r="E781" s="2584"/>
      <c r="F781" s="2560"/>
    </row>
    <row r="782" spans="1:6" s="2635" customFormat="1" x14ac:dyDescent="0.25">
      <c r="A782" s="2795">
        <v>32030109</v>
      </c>
      <c r="B782" s="2653" t="s">
        <v>3517</v>
      </c>
      <c r="C782" s="2653"/>
      <c r="D782" s="2560">
        <f>SUM(D783)</f>
        <v>300000000</v>
      </c>
      <c r="E782" s="2560">
        <f t="shared" ref="E782:F782" si="55">SUM(E783)</f>
        <v>0</v>
      </c>
      <c r="F782" s="2560">
        <f t="shared" si="55"/>
        <v>1500000000</v>
      </c>
    </row>
    <row r="783" spans="1:6" x14ac:dyDescent="0.3">
      <c r="A783" s="2562" t="s">
        <v>4216</v>
      </c>
      <c r="B783" s="2563" t="s">
        <v>1785</v>
      </c>
      <c r="C783" s="1981"/>
      <c r="D783" s="2584">
        <v>300000000</v>
      </c>
      <c r="E783" s="2584"/>
      <c r="F783" s="2584">
        <v>1500000000</v>
      </c>
    </row>
    <row r="784" spans="1:6" ht="19.5" thickBot="1" x14ac:dyDescent="0.35">
      <c r="A784" s="2562"/>
      <c r="B784" s="2563"/>
      <c r="C784" s="1981"/>
      <c r="D784" s="2612"/>
      <c r="E784" s="2677"/>
      <c r="F784" s="2612"/>
    </row>
    <row r="785" spans="1:6" ht="19.5" thickBot="1" x14ac:dyDescent="0.35">
      <c r="A785" s="170"/>
      <c r="B785" s="2565" t="s">
        <v>1352</v>
      </c>
      <c r="C785" s="2727"/>
      <c r="D785" s="2595">
        <f>SUM(D776,D779,D782)</f>
        <v>865000000</v>
      </c>
      <c r="E785" s="2595">
        <f>SUM(E776,E779,E782)</f>
        <v>120172640</v>
      </c>
      <c r="F785" s="2595">
        <f>SUM(F776,F779,F782)</f>
        <v>2210000000</v>
      </c>
    </row>
    <row r="786" spans="1:6" x14ac:dyDescent="0.3">
      <c r="A786" s="2596"/>
      <c r="B786" s="2577"/>
      <c r="C786" s="2577"/>
      <c r="D786" s="2578"/>
      <c r="E786" s="2578"/>
      <c r="F786" s="2578"/>
    </row>
    <row r="787" spans="1:6" x14ac:dyDescent="0.3">
      <c r="A787" s="3517" t="s">
        <v>80</v>
      </c>
      <c r="B787" s="3517"/>
      <c r="C787" s="3517"/>
      <c r="D787" s="3517"/>
      <c r="E787" s="3517"/>
      <c r="F787" s="3517"/>
    </row>
    <row r="788" spans="1:6" ht="19.5" thickBot="1" x14ac:dyDescent="0.35">
      <c r="A788" s="3516" t="s">
        <v>548</v>
      </c>
      <c r="B788" s="3516"/>
      <c r="C788" s="3516"/>
      <c r="D788" s="3516"/>
      <c r="E788" s="3516"/>
      <c r="F788" s="3516"/>
    </row>
    <row r="789" spans="1:6" s="2549" customFormat="1" ht="57" thickBot="1" x14ac:dyDescent="0.25">
      <c r="A789" s="2548" t="s">
        <v>1</v>
      </c>
      <c r="B789" s="2290" t="s">
        <v>282</v>
      </c>
      <c r="C789" s="2548" t="s">
        <v>3197</v>
      </c>
      <c r="D789" s="2292" t="s">
        <v>1174</v>
      </c>
      <c r="E789" s="2292" t="s">
        <v>1145</v>
      </c>
      <c r="F789" s="2292" t="s">
        <v>3096</v>
      </c>
    </row>
    <row r="790" spans="1:6" s="2599" customFormat="1" x14ac:dyDescent="0.3">
      <c r="A790" s="2550"/>
      <c r="B790" s="2836"/>
      <c r="C790" s="2836"/>
      <c r="D790" s="2552"/>
      <c r="E790" s="2552"/>
      <c r="F790" s="2552"/>
    </row>
    <row r="791" spans="1:6" x14ac:dyDescent="0.3">
      <c r="A791" s="2838">
        <v>32000000</v>
      </c>
      <c r="B791" s="2555" t="s">
        <v>462</v>
      </c>
      <c r="C791" s="2555"/>
      <c r="D791" s="2556"/>
      <c r="E791" s="2556"/>
      <c r="F791" s="2556"/>
    </row>
    <row r="792" spans="1:6" x14ac:dyDescent="0.3">
      <c r="A792" s="170">
        <v>32010000</v>
      </c>
      <c r="B792" s="2557" t="s">
        <v>463</v>
      </c>
      <c r="C792" s="2558"/>
      <c r="D792" s="2559"/>
      <c r="E792" s="2559"/>
      <c r="F792" s="2559"/>
    </row>
    <row r="793" spans="1:6" x14ac:dyDescent="0.3">
      <c r="A793" s="170">
        <v>32010100</v>
      </c>
      <c r="B793" s="2839" t="s">
        <v>471</v>
      </c>
      <c r="C793" s="2558"/>
      <c r="D793" s="2559"/>
      <c r="E793" s="2559"/>
      <c r="F793" s="2559"/>
    </row>
    <row r="794" spans="1:6" x14ac:dyDescent="0.3">
      <c r="A794" s="170">
        <v>32010101</v>
      </c>
      <c r="B794" s="2557" t="s">
        <v>3213</v>
      </c>
      <c r="C794" s="2558"/>
      <c r="D794" s="2600">
        <f>SUM(D795:D799)</f>
        <v>180000000</v>
      </c>
      <c r="E794" s="2600">
        <f t="shared" ref="E794" si="56">SUM(E795:E799)</f>
        <v>0</v>
      </c>
      <c r="F794" s="2600">
        <f>SUM(F795:F799)</f>
        <v>180000000</v>
      </c>
    </row>
    <row r="795" spans="1:6" x14ac:dyDescent="0.3">
      <c r="A795" s="2704" t="s">
        <v>3661</v>
      </c>
      <c r="B795" s="2563" t="s">
        <v>891</v>
      </c>
      <c r="C795" s="1981"/>
      <c r="D795" s="2584">
        <v>10000000</v>
      </c>
      <c r="E795" s="2584"/>
      <c r="F795" s="2584">
        <v>10000000</v>
      </c>
    </row>
    <row r="796" spans="1:6" x14ac:dyDescent="0.3">
      <c r="A796" s="2704" t="s">
        <v>3662</v>
      </c>
      <c r="B796" s="2840" t="s">
        <v>892</v>
      </c>
      <c r="C796" s="1981"/>
      <c r="D796" s="2584">
        <v>150000000</v>
      </c>
      <c r="E796" s="2584"/>
      <c r="F796" s="2584">
        <v>150000000</v>
      </c>
    </row>
    <row r="797" spans="1:6" x14ac:dyDescent="0.3">
      <c r="A797" s="2704" t="s">
        <v>3663</v>
      </c>
      <c r="B797" s="2563" t="s">
        <v>893</v>
      </c>
      <c r="C797" s="1981"/>
      <c r="D797" s="2584">
        <v>5000000</v>
      </c>
      <c r="E797" s="2584"/>
      <c r="F797" s="2584">
        <v>5000000</v>
      </c>
    </row>
    <row r="798" spans="1:6" x14ac:dyDescent="0.3">
      <c r="A798" s="2704" t="s">
        <v>3664</v>
      </c>
      <c r="B798" s="2563" t="s">
        <v>894</v>
      </c>
      <c r="C798" s="1981"/>
      <c r="D798" s="2584">
        <v>10000000</v>
      </c>
      <c r="E798" s="2584"/>
      <c r="F798" s="2584">
        <v>10000000</v>
      </c>
    </row>
    <row r="799" spans="1:6" x14ac:dyDescent="0.3">
      <c r="A799" s="2704" t="s">
        <v>3665</v>
      </c>
      <c r="B799" s="2563" t="s">
        <v>3668</v>
      </c>
      <c r="C799" s="1981"/>
      <c r="D799" s="2584">
        <v>5000000</v>
      </c>
      <c r="E799" s="2584"/>
      <c r="F799" s="2584">
        <v>5000000</v>
      </c>
    </row>
    <row r="800" spans="1:6" x14ac:dyDescent="0.3">
      <c r="A800" s="170">
        <v>32010212</v>
      </c>
      <c r="B800" s="2557" t="s">
        <v>3666</v>
      </c>
      <c r="C800" s="2558"/>
      <c r="D800" s="2600">
        <f>SUM(D801:D801)</f>
        <v>20000000</v>
      </c>
      <c r="E800" s="2600">
        <f>SUM(E801:E801)</f>
        <v>0</v>
      </c>
      <c r="F800" s="2600">
        <f>SUM(F801:F801)</f>
        <v>20000000</v>
      </c>
    </row>
    <row r="801" spans="1:6" ht="37.5" x14ac:dyDescent="0.3">
      <c r="A801" s="2753" t="s">
        <v>3667</v>
      </c>
      <c r="B801" s="2563" t="s">
        <v>895</v>
      </c>
      <c r="C801" s="1981"/>
      <c r="D801" s="2584">
        <v>20000000</v>
      </c>
      <c r="E801" s="2559"/>
      <c r="F801" s="2584">
        <v>20000000</v>
      </c>
    </row>
    <row r="802" spans="1:6" ht="19.5" thickBot="1" x14ac:dyDescent="0.35">
      <c r="A802" s="2562"/>
      <c r="B802" s="2563"/>
      <c r="C802" s="1981"/>
      <c r="D802" s="2772"/>
      <c r="E802" s="2772"/>
      <c r="F802" s="2772"/>
    </row>
    <row r="803" spans="1:6" ht="19.5" thickBot="1" x14ac:dyDescent="0.35">
      <c r="A803" s="2722"/>
      <c r="B803" s="2603" t="s">
        <v>2606</v>
      </c>
      <c r="C803" s="2603"/>
      <c r="D803" s="2595">
        <f>SUM(D794,D800)</f>
        <v>200000000</v>
      </c>
      <c r="E803" s="2595">
        <f>SUM(E794,E800)</f>
        <v>0</v>
      </c>
      <c r="F803" s="2595">
        <f>SUM(F794,F800)</f>
        <v>200000000</v>
      </c>
    </row>
    <row r="804" spans="1:6" x14ac:dyDescent="0.3">
      <c r="A804" s="3519"/>
      <c r="B804" s="3519"/>
      <c r="C804" s="3519"/>
      <c r="D804" s="3519"/>
      <c r="E804" s="3519"/>
      <c r="F804" s="3519"/>
    </row>
    <row r="805" spans="1:6" s="2775" customFormat="1" x14ac:dyDescent="0.3">
      <c r="A805" s="3517" t="s">
        <v>80</v>
      </c>
      <c r="B805" s="3517"/>
      <c r="C805" s="3517"/>
      <c r="D805" s="3517"/>
      <c r="E805" s="3517"/>
      <c r="F805" s="3517"/>
    </row>
    <row r="806" spans="1:6" s="2775" customFormat="1" ht="19.5" thickBot="1" x14ac:dyDescent="0.35">
      <c r="A806" s="3516" t="s">
        <v>547</v>
      </c>
      <c r="B806" s="3516"/>
      <c r="C806" s="3516"/>
      <c r="D806" s="3516"/>
      <c r="E806" s="3516"/>
      <c r="F806" s="3516"/>
    </row>
    <row r="807" spans="1:6" s="2549" customFormat="1" ht="57" thickBot="1" x14ac:dyDescent="0.25">
      <c r="A807" s="2548" t="s">
        <v>1</v>
      </c>
      <c r="B807" s="2290" t="s">
        <v>282</v>
      </c>
      <c r="C807" s="2548" t="s">
        <v>3197</v>
      </c>
      <c r="D807" s="2292" t="s">
        <v>1174</v>
      </c>
      <c r="E807" s="2292" t="s">
        <v>1145</v>
      </c>
      <c r="F807" s="2292" t="s">
        <v>3096</v>
      </c>
    </row>
    <row r="808" spans="1:6" s="2549" customFormat="1" x14ac:dyDescent="0.2">
      <c r="A808" s="2841"/>
      <c r="B808" s="2664"/>
      <c r="C808" s="2841"/>
      <c r="D808" s="2729"/>
      <c r="E808" s="2729"/>
      <c r="F808" s="2729"/>
    </row>
    <row r="809" spans="1:6" x14ac:dyDescent="0.3">
      <c r="A809" s="170">
        <v>32010510</v>
      </c>
      <c r="B809" s="2558" t="s">
        <v>3453</v>
      </c>
      <c r="C809" s="2558"/>
      <c r="D809" s="2842">
        <f>SUM(D810:D811)</f>
        <v>13000000</v>
      </c>
      <c r="E809" s="2842">
        <f t="shared" ref="E809:F809" si="57">SUM(E810:E811)</f>
        <v>0</v>
      </c>
      <c r="F809" s="2842">
        <f t="shared" si="57"/>
        <v>13000000</v>
      </c>
    </row>
    <row r="810" spans="1:6" x14ac:dyDescent="0.3">
      <c r="A810" s="2562" t="s">
        <v>3669</v>
      </c>
      <c r="B810" s="1981" t="s">
        <v>293</v>
      </c>
      <c r="C810" s="1981"/>
      <c r="D810" s="2568">
        <v>6000000</v>
      </c>
      <c r="E810" s="2564"/>
      <c r="F810" s="2568">
        <v>6000000</v>
      </c>
    </row>
    <row r="811" spans="1:6" x14ac:dyDescent="0.3">
      <c r="A811" s="2562" t="s">
        <v>3670</v>
      </c>
      <c r="B811" s="1981" t="s">
        <v>879</v>
      </c>
      <c r="C811" s="1981"/>
      <c r="D811" s="2568">
        <v>7000000</v>
      </c>
      <c r="E811" s="2564"/>
      <c r="F811" s="2568">
        <v>7000000</v>
      </c>
    </row>
    <row r="812" spans="1:6" x14ac:dyDescent="0.3">
      <c r="A812" s="170">
        <v>32030100</v>
      </c>
      <c r="B812" s="2565" t="s">
        <v>472</v>
      </c>
      <c r="C812" s="2566"/>
      <c r="D812" s="2564"/>
      <c r="E812" s="2843"/>
      <c r="F812" s="2564"/>
    </row>
    <row r="813" spans="1:6" s="2635" customFormat="1" ht="16.5" x14ac:dyDescent="0.25">
      <c r="A813" s="2795">
        <v>32030109</v>
      </c>
      <c r="B813" s="2653" t="s">
        <v>3517</v>
      </c>
      <c r="C813" s="2653"/>
      <c r="D813" s="2842">
        <f>SUM(D814:D816)</f>
        <v>29000000</v>
      </c>
      <c r="E813" s="2842">
        <f t="shared" ref="E813:F813" si="58">SUM(E814:E816)</f>
        <v>0</v>
      </c>
      <c r="F813" s="2842">
        <f t="shared" si="58"/>
        <v>29000000</v>
      </c>
    </row>
    <row r="814" spans="1:6" x14ac:dyDescent="0.3">
      <c r="A814" s="2562" t="s">
        <v>3671</v>
      </c>
      <c r="B814" s="2563" t="s">
        <v>294</v>
      </c>
      <c r="C814" s="1981"/>
      <c r="D814" s="2568">
        <v>20000000</v>
      </c>
      <c r="E814" s="2564"/>
      <c r="F814" s="2568">
        <v>20000000</v>
      </c>
    </row>
    <row r="815" spans="1:6" x14ac:dyDescent="0.3">
      <c r="A815" s="2562" t="s">
        <v>3672</v>
      </c>
      <c r="B815" s="2563" t="s">
        <v>878</v>
      </c>
      <c r="C815" s="1981"/>
      <c r="D815" s="2568">
        <v>8000000</v>
      </c>
      <c r="E815" s="2564"/>
      <c r="F815" s="2568">
        <v>8000000</v>
      </c>
    </row>
    <row r="816" spans="1:6" x14ac:dyDescent="0.3">
      <c r="A816" s="2562" t="s">
        <v>3673</v>
      </c>
      <c r="B816" s="2563" t="s">
        <v>880</v>
      </c>
      <c r="C816" s="1981"/>
      <c r="D816" s="2568">
        <v>1000000</v>
      </c>
      <c r="E816" s="2564"/>
      <c r="F816" s="2568">
        <v>1000000</v>
      </c>
    </row>
    <row r="817" spans="1:6" ht="19.5" thickBot="1" x14ac:dyDescent="0.35">
      <c r="A817" s="2562"/>
      <c r="B817" s="2557"/>
      <c r="C817" s="2558"/>
      <c r="D817" s="2585"/>
      <c r="E817" s="2600"/>
      <c r="F817" s="2585"/>
    </row>
    <row r="818" spans="1:6" ht="19.5" thickBot="1" x14ac:dyDescent="0.35">
      <c r="A818" s="2548"/>
      <c r="B818" s="2594" t="s">
        <v>1351</v>
      </c>
      <c r="C818" s="2594"/>
      <c r="D818" s="2844">
        <f>SUM(D809,D813)</f>
        <v>42000000</v>
      </c>
      <c r="E818" s="2844">
        <f>SUM(E809,E813)</f>
        <v>0</v>
      </c>
      <c r="F818" s="2844">
        <f>SUM(F809,F813)</f>
        <v>42000000</v>
      </c>
    </row>
    <row r="819" spans="1:6" x14ac:dyDescent="0.3">
      <c r="A819" s="2596"/>
      <c r="B819" s="2577"/>
      <c r="C819" s="2577"/>
      <c r="D819" s="2845"/>
      <c r="E819" s="2578"/>
      <c r="F819" s="2845"/>
    </row>
    <row r="820" spans="1:6" x14ac:dyDescent="0.3">
      <c r="A820" s="2596"/>
      <c r="B820" s="2577"/>
      <c r="C820" s="2577"/>
      <c r="D820" s="2578"/>
      <c r="E820" s="2578"/>
      <c r="F820" s="2578"/>
    </row>
    <row r="821" spans="1:6" x14ac:dyDescent="0.3">
      <c r="A821" s="3517" t="s">
        <v>80</v>
      </c>
      <c r="B821" s="3517"/>
      <c r="C821" s="3517"/>
      <c r="D821" s="3517"/>
      <c r="E821" s="3517"/>
      <c r="F821" s="3517"/>
    </row>
    <row r="822" spans="1:6" ht="19.5" thickBot="1" x14ac:dyDescent="0.35">
      <c r="A822" s="3516" t="s">
        <v>710</v>
      </c>
      <c r="B822" s="3516"/>
      <c r="C822" s="3516"/>
      <c r="D822" s="3516"/>
      <c r="E822" s="3516"/>
      <c r="F822" s="3516"/>
    </row>
    <row r="823" spans="1:6" s="2549" customFormat="1" ht="57" thickBot="1" x14ac:dyDescent="0.25">
      <c r="A823" s="2548" t="s">
        <v>1</v>
      </c>
      <c r="B823" s="2290" t="s">
        <v>282</v>
      </c>
      <c r="C823" s="2548" t="s">
        <v>3197</v>
      </c>
      <c r="D823" s="2292" t="s">
        <v>1174</v>
      </c>
      <c r="E823" s="2292" t="s">
        <v>1145</v>
      </c>
      <c r="F823" s="2292" t="s">
        <v>3096</v>
      </c>
    </row>
    <row r="824" spans="1:6" s="2599" customFormat="1" x14ac:dyDescent="0.3">
      <c r="A824" s="2666">
        <v>32030100</v>
      </c>
      <c r="B824" s="2846" t="s">
        <v>472</v>
      </c>
      <c r="C824" s="2846"/>
      <c r="D824" s="2847"/>
      <c r="E824" s="2847"/>
      <c r="F824" s="2847"/>
    </row>
    <row r="825" spans="1:6" s="2635" customFormat="1" x14ac:dyDescent="0.3">
      <c r="A825" s="2795">
        <v>32030109</v>
      </c>
      <c r="B825" s="2653" t="s">
        <v>3517</v>
      </c>
      <c r="C825" s="2653"/>
      <c r="D825" s="2600">
        <f>SUM(D826:D826)</f>
        <v>20000000</v>
      </c>
      <c r="E825" s="2600">
        <f>SUM(E826:E826)</f>
        <v>0</v>
      </c>
      <c r="F825" s="2600">
        <f>SUM(F826:F826)</f>
        <v>20000000</v>
      </c>
    </row>
    <row r="826" spans="1:6" x14ac:dyDescent="0.3">
      <c r="A826" s="2766" t="s">
        <v>3674</v>
      </c>
      <c r="B826" s="1981" t="s">
        <v>868</v>
      </c>
      <c r="C826" s="1981"/>
      <c r="D826" s="2584">
        <v>20000000</v>
      </c>
      <c r="E826" s="2559"/>
      <c r="F826" s="2584">
        <v>20000000</v>
      </c>
    </row>
    <row r="827" spans="1:6" ht="19.5" thickBot="1" x14ac:dyDescent="0.35">
      <c r="A827" s="2614"/>
      <c r="B827" s="2615"/>
      <c r="C827" s="2615"/>
      <c r="D827" s="2616"/>
      <c r="E827" s="2552"/>
      <c r="F827" s="2616"/>
    </row>
    <row r="828" spans="1:6" ht="19.5" thickBot="1" x14ac:dyDescent="0.35">
      <c r="A828" s="2548" t="s">
        <v>375</v>
      </c>
      <c r="B828" s="2594" t="s">
        <v>1347</v>
      </c>
      <c r="C828" s="2594"/>
      <c r="D828" s="2595">
        <f>SUM(D825)</f>
        <v>20000000</v>
      </c>
      <c r="E828" s="2595">
        <f>SUM(E825)</f>
        <v>0</v>
      </c>
      <c r="F828" s="2595">
        <f>SUM(F825)</f>
        <v>20000000</v>
      </c>
    </row>
    <row r="829" spans="1:6" x14ac:dyDescent="0.3">
      <c r="A829" s="2596"/>
      <c r="B829" s="2577"/>
      <c r="C829" s="2577"/>
      <c r="D829" s="2578"/>
      <c r="E829" s="2578"/>
      <c r="F829" s="2578"/>
    </row>
    <row r="830" spans="1:6" x14ac:dyDescent="0.3">
      <c r="A830" s="2596"/>
      <c r="B830" s="2577"/>
      <c r="C830" s="2577"/>
      <c r="D830" s="2578"/>
      <c r="E830" s="2578"/>
      <c r="F830" s="2578"/>
    </row>
    <row r="831" spans="1:6" x14ac:dyDescent="0.3">
      <c r="A831" s="3517" t="s">
        <v>648</v>
      </c>
      <c r="B831" s="3517"/>
      <c r="C831" s="3517"/>
      <c r="D831" s="3517"/>
      <c r="E831" s="3517"/>
      <c r="F831" s="3517"/>
    </row>
    <row r="832" spans="1:6" ht="19.5" thickBot="1" x14ac:dyDescent="0.35">
      <c r="A832" s="3516" t="s">
        <v>1251</v>
      </c>
      <c r="B832" s="3516"/>
      <c r="C832" s="3516"/>
      <c r="D832" s="3516"/>
      <c r="E832" s="3516"/>
      <c r="F832" s="3516"/>
    </row>
    <row r="833" spans="1:6" s="2549" customFormat="1" ht="57" thickBot="1" x14ac:dyDescent="0.25">
      <c r="A833" s="2548" t="s">
        <v>1</v>
      </c>
      <c r="B833" s="2290" t="s">
        <v>282</v>
      </c>
      <c r="C833" s="2548" t="s">
        <v>3197</v>
      </c>
      <c r="D833" s="2292" t="s">
        <v>1174</v>
      </c>
      <c r="E833" s="2292" t="s">
        <v>1145</v>
      </c>
      <c r="F833" s="2292" t="s">
        <v>3096</v>
      </c>
    </row>
    <row r="834" spans="1:6" s="2599" customFormat="1" x14ac:dyDescent="0.3">
      <c r="A834" s="2838">
        <v>32000000</v>
      </c>
      <c r="B834" s="2848" t="s">
        <v>462</v>
      </c>
      <c r="C834" s="2848"/>
      <c r="D834" s="2552"/>
      <c r="E834" s="2552"/>
      <c r="F834" s="2552"/>
    </row>
    <row r="835" spans="1:6" x14ac:dyDescent="0.3">
      <c r="A835" s="170">
        <v>32010000</v>
      </c>
      <c r="B835" s="2558" t="s">
        <v>463</v>
      </c>
      <c r="C835" s="2558"/>
      <c r="D835" s="2559"/>
      <c r="E835" s="2559"/>
      <c r="F835" s="2559"/>
    </row>
    <row r="836" spans="1:6" x14ac:dyDescent="0.3">
      <c r="A836" s="170">
        <v>32010100</v>
      </c>
      <c r="B836" s="2627" t="s">
        <v>471</v>
      </c>
      <c r="C836" s="2558"/>
      <c r="D836" s="2559"/>
      <c r="E836" s="2559"/>
      <c r="F836" s="2559"/>
    </row>
    <row r="837" spans="1:6" x14ac:dyDescent="0.3">
      <c r="A837" s="2849">
        <v>32010101</v>
      </c>
      <c r="B837" s="2558" t="s">
        <v>3212</v>
      </c>
      <c r="C837" s="2558"/>
      <c r="D837" s="2560">
        <f>SUM(D838:D842)</f>
        <v>525000000</v>
      </c>
      <c r="E837" s="2560">
        <f t="shared" ref="E837" si="59">SUM(E838:E842)</f>
        <v>87688680</v>
      </c>
      <c r="F837" s="2560">
        <f>SUM(F838:F842)</f>
        <v>211250000</v>
      </c>
    </row>
    <row r="838" spans="1:6" x14ac:dyDescent="0.3">
      <c r="A838" s="2621" t="s">
        <v>3675</v>
      </c>
      <c r="B838" s="1981" t="s">
        <v>287</v>
      </c>
      <c r="C838" s="1981"/>
      <c r="D838" s="2584">
        <v>300000000</v>
      </c>
      <c r="E838" s="2584">
        <v>14518163</v>
      </c>
      <c r="F838" s="2584">
        <v>185000000</v>
      </c>
    </row>
    <row r="839" spans="1:6" x14ac:dyDescent="0.3">
      <c r="A839" s="2621" t="s">
        <v>3676</v>
      </c>
      <c r="B839" s="1981" t="s">
        <v>288</v>
      </c>
      <c r="C839" s="1981"/>
      <c r="D839" s="2584">
        <v>0</v>
      </c>
      <c r="E839" s="2584"/>
      <c r="F839" s="2667">
        <v>0</v>
      </c>
    </row>
    <row r="840" spans="1:6" x14ac:dyDescent="0.3">
      <c r="A840" s="2621" t="s">
        <v>3677</v>
      </c>
      <c r="B840" s="1981" t="s">
        <v>1588</v>
      </c>
      <c r="C840" s="1981"/>
      <c r="D840" s="2584">
        <v>25000000</v>
      </c>
      <c r="E840" s="2584"/>
      <c r="F840" s="2584">
        <v>26250000</v>
      </c>
    </row>
    <row r="841" spans="1:6" x14ac:dyDescent="0.3">
      <c r="A841" s="2621" t="s">
        <v>3678</v>
      </c>
      <c r="B841" s="1981" t="s">
        <v>289</v>
      </c>
      <c r="C841" s="1981"/>
      <c r="D841" s="2584">
        <v>0</v>
      </c>
      <c r="E841" s="2584"/>
      <c r="F841" s="2667">
        <v>0</v>
      </c>
    </row>
    <row r="842" spans="1:6" x14ac:dyDescent="0.3">
      <c r="A842" s="2621" t="s">
        <v>3679</v>
      </c>
      <c r="B842" s="1981" t="s">
        <v>869</v>
      </c>
      <c r="C842" s="2591"/>
      <c r="D842" s="2612">
        <v>200000000</v>
      </c>
      <c r="E842" s="2612">
        <v>73170517</v>
      </c>
      <c r="F842" s="2821">
        <v>0</v>
      </c>
    </row>
    <row r="843" spans="1:6" x14ac:dyDescent="0.3">
      <c r="A843" s="2596">
        <v>32010510</v>
      </c>
      <c r="B843" s="2558" t="s">
        <v>3453</v>
      </c>
      <c r="C843" s="2558"/>
      <c r="D843" s="2560">
        <f>SUM(D844)</f>
        <v>23681855</v>
      </c>
      <c r="E843" s="2560">
        <f t="shared" ref="E843:F843" si="60">SUM(E844)</f>
        <v>0</v>
      </c>
      <c r="F843" s="2560">
        <f t="shared" si="60"/>
        <v>24865948</v>
      </c>
    </row>
    <row r="844" spans="1:6" x14ac:dyDescent="0.3">
      <c r="A844" s="2621" t="s">
        <v>3680</v>
      </c>
      <c r="B844" s="1981" t="s">
        <v>1252</v>
      </c>
      <c r="C844" s="1981"/>
      <c r="D844" s="2584">
        <v>23681855</v>
      </c>
      <c r="E844" s="2584"/>
      <c r="F844" s="2584">
        <v>24865948</v>
      </c>
    </row>
    <row r="845" spans="1:6" x14ac:dyDescent="0.3">
      <c r="A845" s="2712">
        <v>32010600</v>
      </c>
      <c r="B845" s="2850" t="s">
        <v>469</v>
      </c>
      <c r="C845" s="2558"/>
      <c r="D845" s="2851"/>
      <c r="E845" s="2851"/>
      <c r="F845" s="2559"/>
    </row>
    <row r="846" spans="1:6" x14ac:dyDescent="0.3">
      <c r="A846" s="2712">
        <v>32010601</v>
      </c>
      <c r="B846" s="2852" t="s">
        <v>3691</v>
      </c>
      <c r="C846" s="2558"/>
      <c r="D846" s="2560">
        <f>SUM(D847)</f>
        <v>0</v>
      </c>
      <c r="E846" s="2560">
        <f t="shared" ref="E846:F846" si="61">SUM(E847)</f>
        <v>0</v>
      </c>
      <c r="F846" s="2560">
        <f t="shared" si="61"/>
        <v>50000000</v>
      </c>
    </row>
    <row r="847" spans="1:6" x14ac:dyDescent="0.3">
      <c r="A847" s="2621" t="s">
        <v>3681</v>
      </c>
      <c r="B847" s="2853" t="s">
        <v>2984</v>
      </c>
      <c r="C847" s="1981"/>
      <c r="D847" s="2851"/>
      <c r="E847" s="2851"/>
      <c r="F847" s="2584">
        <v>50000000</v>
      </c>
    </row>
    <row r="848" spans="1:6" x14ac:dyDescent="0.3">
      <c r="A848" s="2712">
        <v>32030100</v>
      </c>
      <c r="B848" s="2565" t="s">
        <v>472</v>
      </c>
      <c r="C848" s="2566"/>
      <c r="D848" s="2584"/>
      <c r="E848" s="2556"/>
      <c r="F848" s="2584"/>
    </row>
    <row r="849" spans="1:6" s="2635" customFormat="1" x14ac:dyDescent="0.25">
      <c r="A849" s="2795">
        <v>32030109</v>
      </c>
      <c r="B849" s="2653" t="s">
        <v>3517</v>
      </c>
      <c r="C849" s="2653"/>
      <c r="D849" s="2560">
        <f>SUM(D850:D859)</f>
        <v>400000000</v>
      </c>
      <c r="E849" s="2560">
        <f t="shared" ref="E849" si="62">SUM(E850:E859)</f>
        <v>5630000</v>
      </c>
      <c r="F849" s="2560">
        <f>SUM(F850:F859)</f>
        <v>360250000</v>
      </c>
    </row>
    <row r="850" spans="1:6" x14ac:dyDescent="0.3">
      <c r="A850" s="2621" t="s">
        <v>3682</v>
      </c>
      <c r="B850" s="2563" t="s">
        <v>1589</v>
      </c>
      <c r="C850" s="1981"/>
      <c r="D850" s="2584">
        <v>0</v>
      </c>
      <c r="E850" s="2559"/>
      <c r="F850" s="2667">
        <v>0</v>
      </c>
    </row>
    <row r="851" spans="1:6" x14ac:dyDescent="0.3">
      <c r="A851" s="2621" t="s">
        <v>3683</v>
      </c>
      <c r="B851" s="2563" t="s">
        <v>1590</v>
      </c>
      <c r="C851" s="1981"/>
      <c r="D851" s="2584">
        <v>50000000</v>
      </c>
      <c r="E851" s="2584">
        <v>5630000</v>
      </c>
      <c r="F851" s="2584">
        <v>44500000</v>
      </c>
    </row>
    <row r="852" spans="1:6" x14ac:dyDescent="0.3">
      <c r="A852" s="2621" t="s">
        <v>3684</v>
      </c>
      <c r="B852" s="2563" t="s">
        <v>291</v>
      </c>
      <c r="C852" s="1981"/>
      <c r="D852" s="2584">
        <v>35000000</v>
      </c>
      <c r="E852" s="2584"/>
      <c r="F852" s="2667">
        <v>0</v>
      </c>
    </row>
    <row r="853" spans="1:6" x14ac:dyDescent="0.3">
      <c r="A853" s="2621" t="s">
        <v>3685</v>
      </c>
      <c r="B853" s="2563" t="s">
        <v>290</v>
      </c>
      <c r="C853" s="1981"/>
      <c r="D853" s="2584">
        <v>15000000</v>
      </c>
      <c r="E853" s="2584"/>
      <c r="F853" s="2584">
        <v>15750000</v>
      </c>
    </row>
    <row r="854" spans="1:6" x14ac:dyDescent="0.3">
      <c r="A854" s="2621" t="s">
        <v>3686</v>
      </c>
      <c r="B854" s="2563" t="s">
        <v>870</v>
      </c>
      <c r="C854" s="1981"/>
      <c r="D854" s="2584">
        <v>250000000</v>
      </c>
      <c r="E854" s="2584"/>
      <c r="F854" s="2584">
        <v>250000000</v>
      </c>
    </row>
    <row r="855" spans="1:6" x14ac:dyDescent="0.3">
      <c r="A855" s="2621" t="s">
        <v>3687</v>
      </c>
      <c r="B855" s="2563" t="s">
        <v>1591</v>
      </c>
      <c r="C855" s="1981"/>
      <c r="D855" s="2584">
        <v>0</v>
      </c>
      <c r="E855" s="2584"/>
      <c r="F855" s="2667">
        <v>0</v>
      </c>
    </row>
    <row r="856" spans="1:6" x14ac:dyDescent="0.3">
      <c r="A856" s="2621" t="s">
        <v>3688</v>
      </c>
      <c r="B856" s="2563" t="s">
        <v>1592</v>
      </c>
      <c r="C856" s="1981"/>
      <c r="D856" s="2584">
        <v>0</v>
      </c>
      <c r="E856" s="2584"/>
      <c r="F856" s="2667">
        <v>0</v>
      </c>
    </row>
    <row r="857" spans="1:6" x14ac:dyDescent="0.3">
      <c r="A857" s="2621" t="s">
        <v>3689</v>
      </c>
      <c r="B857" s="2563" t="s">
        <v>1593</v>
      </c>
      <c r="C857" s="1981"/>
      <c r="D857" s="2584">
        <v>50000000</v>
      </c>
      <c r="E857" s="2584"/>
      <c r="F857" s="2584">
        <v>50000000</v>
      </c>
    </row>
    <row r="858" spans="1:6" ht="37.5" x14ac:dyDescent="0.3">
      <c r="A858" s="2621" t="s">
        <v>3690</v>
      </c>
      <c r="B858" s="2563" t="s">
        <v>2472</v>
      </c>
      <c r="C858" s="1981"/>
      <c r="D858" s="2584">
        <v>0</v>
      </c>
      <c r="E858" s="2584"/>
      <c r="F858" s="2667">
        <v>0</v>
      </c>
    </row>
    <row r="859" spans="1:6" ht="37.5" x14ac:dyDescent="0.3">
      <c r="A859" s="2621" t="s">
        <v>4217</v>
      </c>
      <c r="B859" s="2563" t="s">
        <v>1594</v>
      </c>
      <c r="C859" s="1981"/>
      <c r="D859" s="2584">
        <v>0</v>
      </c>
      <c r="E859" s="2584"/>
      <c r="F859" s="2667">
        <v>0</v>
      </c>
    </row>
    <row r="860" spans="1:6" s="2599" customFormat="1" ht="19.5" thickBot="1" x14ac:dyDescent="0.35">
      <c r="A860" s="2854"/>
      <c r="B860" s="2855"/>
      <c r="C860" s="2566"/>
      <c r="D860" s="2600"/>
      <c r="E860" s="2600"/>
      <c r="F860" s="2600"/>
    </row>
    <row r="861" spans="1:6" ht="19.5" thickBot="1" x14ac:dyDescent="0.35">
      <c r="A861" s="2562"/>
      <c r="B861" s="2566" t="s">
        <v>2608</v>
      </c>
      <c r="C861" s="2566"/>
      <c r="D861" s="2739">
        <f>SUM(D837,D843,D846,D849)</f>
        <v>948681855</v>
      </c>
      <c r="E861" s="2739">
        <f t="shared" ref="E861:F861" si="63">SUM(E837,E843,E846,E849)</f>
        <v>93318680</v>
      </c>
      <c r="F861" s="2739">
        <f t="shared" si="63"/>
        <v>646365948</v>
      </c>
    </row>
    <row r="862" spans="1:6" x14ac:dyDescent="0.3">
      <c r="A862" s="3517" t="s">
        <v>1670</v>
      </c>
      <c r="B862" s="3517"/>
      <c r="C862" s="3517"/>
      <c r="D862" s="3517"/>
      <c r="E862" s="3517"/>
      <c r="F862" s="3517"/>
    </row>
    <row r="863" spans="1:6" ht="19.5" thickBot="1" x14ac:dyDescent="0.35">
      <c r="A863" s="3516" t="s">
        <v>2607</v>
      </c>
      <c r="B863" s="3516"/>
      <c r="C863" s="3516"/>
      <c r="D863" s="3516"/>
      <c r="E863" s="3516"/>
      <c r="F863" s="3516"/>
    </row>
    <row r="864" spans="1:6" s="2549" customFormat="1" ht="57" thickBot="1" x14ac:dyDescent="0.25">
      <c r="A864" s="2548" t="s">
        <v>1</v>
      </c>
      <c r="B864" s="2290" t="s">
        <v>282</v>
      </c>
      <c r="C864" s="2548" t="s">
        <v>3197</v>
      </c>
      <c r="D864" s="2292" t="s">
        <v>1174</v>
      </c>
      <c r="E864" s="2292" t="s">
        <v>1145</v>
      </c>
      <c r="F864" s="2292" t="s">
        <v>3096</v>
      </c>
    </row>
    <row r="865" spans="1:6" s="2257" customFormat="1" ht="17.25" x14ac:dyDescent="0.25">
      <c r="A865" s="2856">
        <v>32010100</v>
      </c>
      <c r="B865" s="2857" t="s">
        <v>464</v>
      </c>
      <c r="C865" s="2857"/>
      <c r="D865" s="2858"/>
      <c r="E865" s="2858"/>
      <c r="F865" s="2859"/>
    </row>
    <row r="866" spans="1:6" s="2257" customFormat="1" ht="17.25" x14ac:dyDescent="0.25">
      <c r="A866" s="2856">
        <v>32010101</v>
      </c>
      <c r="B866" s="2857" t="s">
        <v>3212</v>
      </c>
      <c r="C866" s="2857"/>
      <c r="D866" s="2860">
        <f>SUM(D867:D870)</f>
        <v>0</v>
      </c>
      <c r="E866" s="2860">
        <f>SUM(E867:E870)</f>
        <v>0</v>
      </c>
      <c r="F866" s="2860">
        <f>SUM(F867:F870)</f>
        <v>230000000</v>
      </c>
    </row>
    <row r="867" spans="1:6" s="2257" customFormat="1" ht="17.25" x14ac:dyDescent="0.25">
      <c r="A867" s="2861" t="s">
        <v>3692</v>
      </c>
      <c r="B867" s="2862" t="s">
        <v>1605</v>
      </c>
      <c r="C867" s="2862"/>
      <c r="D867" s="2858" t="s">
        <v>179</v>
      </c>
      <c r="E867" s="2858" t="s">
        <v>179</v>
      </c>
      <c r="F867" s="2863">
        <v>10000000</v>
      </c>
    </row>
    <row r="868" spans="1:6" s="2257" customFormat="1" ht="17.25" x14ac:dyDescent="0.25">
      <c r="A868" s="2861" t="s">
        <v>3693</v>
      </c>
      <c r="B868" s="2862" t="s">
        <v>1606</v>
      </c>
      <c r="C868" s="2862"/>
      <c r="D868" s="2858" t="s">
        <v>179</v>
      </c>
      <c r="E868" s="2858" t="s">
        <v>179</v>
      </c>
      <c r="F868" s="2863">
        <v>50000000</v>
      </c>
    </row>
    <row r="869" spans="1:6" s="2257" customFormat="1" ht="17.25" x14ac:dyDescent="0.25">
      <c r="A869" s="2861" t="s">
        <v>3694</v>
      </c>
      <c r="B869" s="2862" t="s">
        <v>1608</v>
      </c>
      <c r="C869" s="2862"/>
      <c r="D869" s="2858" t="s">
        <v>179</v>
      </c>
      <c r="E869" s="2858" t="s">
        <v>179</v>
      </c>
      <c r="F869" s="2863">
        <v>150000000</v>
      </c>
    </row>
    <row r="870" spans="1:6" s="2257" customFormat="1" ht="17.25" x14ac:dyDescent="0.25">
      <c r="A870" s="2861" t="s">
        <v>3695</v>
      </c>
      <c r="B870" s="2862" t="s">
        <v>1616</v>
      </c>
      <c r="C870" s="2862"/>
      <c r="D870" s="2858" t="s">
        <v>179</v>
      </c>
      <c r="E870" s="2858" t="s">
        <v>179</v>
      </c>
      <c r="F870" s="2863">
        <v>20000000</v>
      </c>
    </row>
    <row r="871" spans="1:6" s="2257" customFormat="1" ht="17.25" x14ac:dyDescent="0.25">
      <c r="A871" s="2856">
        <v>32010102</v>
      </c>
      <c r="B871" s="2857" t="s">
        <v>3213</v>
      </c>
      <c r="C871" s="2862"/>
      <c r="D871" s="2860">
        <f>SUM(D872:D875)</f>
        <v>0</v>
      </c>
      <c r="E871" s="2860">
        <f>SUM(E872:E875)</f>
        <v>0</v>
      </c>
      <c r="F871" s="2860">
        <f>SUM(F872:F875)</f>
        <v>280000000</v>
      </c>
    </row>
    <row r="872" spans="1:6" s="2257" customFormat="1" ht="17.25" x14ac:dyDescent="0.25">
      <c r="A872" s="2861" t="s">
        <v>3696</v>
      </c>
      <c r="B872" s="2862" t="s">
        <v>1607</v>
      </c>
      <c r="C872" s="2862"/>
      <c r="D872" s="2858" t="s">
        <v>179</v>
      </c>
      <c r="E872" s="2858" t="s">
        <v>179</v>
      </c>
      <c r="F872" s="2863">
        <v>100000000</v>
      </c>
    </row>
    <row r="873" spans="1:6" s="2257" customFormat="1" ht="17.25" x14ac:dyDescent="0.25">
      <c r="A873" s="2861" t="s">
        <v>3697</v>
      </c>
      <c r="B873" s="2864" t="s">
        <v>1609</v>
      </c>
      <c r="C873" s="2864"/>
      <c r="D873" s="2858" t="s">
        <v>179</v>
      </c>
      <c r="E873" s="2858" t="s">
        <v>179</v>
      </c>
      <c r="F873" s="2863">
        <v>20000000</v>
      </c>
    </row>
    <row r="874" spans="1:6" s="2257" customFormat="1" ht="17.25" x14ac:dyDescent="0.25">
      <c r="A874" s="2861" t="s">
        <v>3698</v>
      </c>
      <c r="B874" s="2865" t="s">
        <v>1610</v>
      </c>
      <c r="C874" s="2865"/>
      <c r="D874" s="2863"/>
      <c r="E874" s="2863"/>
      <c r="F874" s="2863">
        <v>100000000</v>
      </c>
    </row>
    <row r="875" spans="1:6" s="2257" customFormat="1" ht="17.25" x14ac:dyDescent="0.25">
      <c r="A875" s="2861" t="s">
        <v>3699</v>
      </c>
      <c r="B875" s="2862" t="s">
        <v>1613</v>
      </c>
      <c r="C875" s="2862"/>
      <c r="D875" s="2858" t="s">
        <v>179</v>
      </c>
      <c r="E875" s="2858" t="s">
        <v>179</v>
      </c>
      <c r="F875" s="2863">
        <v>60000000</v>
      </c>
    </row>
    <row r="876" spans="1:6" s="2257" customFormat="1" ht="17.25" x14ac:dyDescent="0.25">
      <c r="A876" s="2856">
        <v>32010205</v>
      </c>
      <c r="B876" s="2857" t="s">
        <v>3703</v>
      </c>
      <c r="C876" s="2862"/>
      <c r="D876" s="2866">
        <f>SUM(D877)</f>
        <v>0</v>
      </c>
      <c r="E876" s="2866">
        <f>SUM(E877)</f>
        <v>0</v>
      </c>
      <c r="F876" s="2866">
        <f>SUM(F877)</f>
        <v>20000000</v>
      </c>
    </row>
    <row r="877" spans="1:6" s="2257" customFormat="1" ht="17.25" x14ac:dyDescent="0.25">
      <c r="A877" s="2861" t="s">
        <v>3700</v>
      </c>
      <c r="B877" s="2865" t="s">
        <v>1612</v>
      </c>
      <c r="C877" s="2865"/>
      <c r="D877" s="2858" t="s">
        <v>179</v>
      </c>
      <c r="E877" s="2858" t="s">
        <v>179</v>
      </c>
      <c r="F877" s="2863">
        <v>20000000</v>
      </c>
    </row>
    <row r="878" spans="1:6" s="2257" customFormat="1" ht="17.25" x14ac:dyDescent="0.25">
      <c r="A878" s="2856">
        <v>32010208</v>
      </c>
      <c r="B878" s="2857" t="s">
        <v>3702</v>
      </c>
      <c r="C878" s="2857"/>
      <c r="D878" s="2866">
        <f>SUM(D879)</f>
        <v>0</v>
      </c>
      <c r="E878" s="2866">
        <f>SUM(E879)</f>
        <v>0</v>
      </c>
      <c r="F878" s="2866">
        <f>SUM(F879)</f>
        <v>40000000</v>
      </c>
    </row>
    <row r="879" spans="1:6" s="2257" customFormat="1" ht="17.25" x14ac:dyDescent="0.25">
      <c r="A879" s="2861" t="s">
        <v>3701</v>
      </c>
      <c r="B879" s="2862" t="s">
        <v>1611</v>
      </c>
      <c r="C879" s="2862"/>
      <c r="D879" s="2858" t="s">
        <v>179</v>
      </c>
      <c r="E879" s="2858" t="s">
        <v>179</v>
      </c>
      <c r="F879" s="2863">
        <v>40000000</v>
      </c>
    </row>
    <row r="880" spans="1:6" s="2257" customFormat="1" ht="17.25" x14ac:dyDescent="0.25">
      <c r="A880" s="2856">
        <v>32010400</v>
      </c>
      <c r="B880" s="2857" t="s">
        <v>467</v>
      </c>
      <c r="C880" s="2857"/>
      <c r="D880" s="2858"/>
      <c r="E880" s="2858"/>
      <c r="F880" s="2859"/>
    </row>
    <row r="881" spans="1:6" s="2257" customFormat="1" ht="17.25" x14ac:dyDescent="0.25">
      <c r="A881" s="2856">
        <v>32010405</v>
      </c>
      <c r="B881" s="2857" t="s">
        <v>3461</v>
      </c>
      <c r="C881" s="2857"/>
      <c r="D881" s="2866">
        <f>SUM(D882)</f>
        <v>0</v>
      </c>
      <c r="E881" s="2866">
        <f>SUM(E882)</f>
        <v>0</v>
      </c>
      <c r="F881" s="2866">
        <f>SUM(F882)</f>
        <v>0</v>
      </c>
    </row>
    <row r="882" spans="1:6" s="2257" customFormat="1" ht="17.25" x14ac:dyDescent="0.25">
      <c r="A882" s="2861" t="s">
        <v>3704</v>
      </c>
      <c r="B882" s="2867" t="s">
        <v>1614</v>
      </c>
      <c r="C882" s="2867"/>
      <c r="D882" s="2858" t="s">
        <v>179</v>
      </c>
      <c r="E882" s="2858" t="s">
        <v>179</v>
      </c>
      <c r="F882" s="2868">
        <v>0</v>
      </c>
    </row>
    <row r="883" spans="1:6" s="2257" customFormat="1" ht="17.25" x14ac:dyDescent="0.25">
      <c r="A883" s="2856">
        <v>32010510</v>
      </c>
      <c r="B883" s="2857" t="s">
        <v>3453</v>
      </c>
      <c r="C883" s="2857"/>
      <c r="D883" s="2860">
        <f>SUM(D884:D885)</f>
        <v>0</v>
      </c>
      <c r="E883" s="2860">
        <f>SUM(E884:E885)</f>
        <v>0</v>
      </c>
      <c r="F883" s="2860">
        <f>SUM(F884:F885)</f>
        <v>35000000</v>
      </c>
    </row>
    <row r="884" spans="1:6" s="2257" customFormat="1" ht="17.25" x14ac:dyDescent="0.25">
      <c r="A884" s="2861" t="s">
        <v>3705</v>
      </c>
      <c r="B884" s="2864" t="s">
        <v>1603</v>
      </c>
      <c r="C884" s="2864"/>
      <c r="D884" s="2858" t="s">
        <v>179</v>
      </c>
      <c r="E884" s="2858" t="s">
        <v>179</v>
      </c>
      <c r="F884" s="2859">
        <v>30000000</v>
      </c>
    </row>
    <row r="885" spans="1:6" s="2257" customFormat="1" ht="17.25" x14ac:dyDescent="0.25">
      <c r="A885" s="2861" t="s">
        <v>3706</v>
      </c>
      <c r="B885" s="2864" t="s">
        <v>1604</v>
      </c>
      <c r="C885" s="2864"/>
      <c r="D885" s="2858" t="s">
        <v>179</v>
      </c>
      <c r="E885" s="2858" t="s">
        <v>179</v>
      </c>
      <c r="F885" s="2859">
        <v>5000000</v>
      </c>
    </row>
    <row r="886" spans="1:6" s="2257" customFormat="1" ht="17.25" x14ac:dyDescent="0.25">
      <c r="A886" s="2856">
        <v>32010600</v>
      </c>
      <c r="B886" s="2857" t="s">
        <v>469</v>
      </c>
      <c r="C886" s="2857"/>
      <c r="D886" s="2858" t="s">
        <v>179</v>
      </c>
      <c r="E886" s="2858" t="s">
        <v>179</v>
      </c>
      <c r="F886" s="2859"/>
    </row>
    <row r="887" spans="1:6" s="2257" customFormat="1" ht="17.25" x14ac:dyDescent="0.25">
      <c r="A887" s="2856">
        <v>32010601</v>
      </c>
      <c r="B887" s="2857" t="s">
        <v>3479</v>
      </c>
      <c r="C887" s="2857"/>
      <c r="D887" s="2860">
        <f>SUM(D888)</f>
        <v>0</v>
      </c>
      <c r="E887" s="2860">
        <f>SUM(E888)</f>
        <v>0</v>
      </c>
      <c r="F887" s="2860">
        <f>SUM(F888)</f>
        <v>5000000</v>
      </c>
    </row>
    <row r="888" spans="1:6" s="2257" customFormat="1" ht="17.25" x14ac:dyDescent="0.25">
      <c r="A888" s="2861" t="s">
        <v>3707</v>
      </c>
      <c r="B888" s="2862" t="s">
        <v>1615</v>
      </c>
      <c r="C888" s="2862"/>
      <c r="D888" s="2858" t="s">
        <v>179</v>
      </c>
      <c r="E888" s="2858" t="s">
        <v>179</v>
      </c>
      <c r="F888" s="2863">
        <v>5000000</v>
      </c>
    </row>
    <row r="889" spans="1:6" s="2257" customFormat="1" ht="17.25" x14ac:dyDescent="0.25">
      <c r="A889" s="2856">
        <v>32030100</v>
      </c>
      <c r="B889" s="2869" t="s">
        <v>472</v>
      </c>
      <c r="C889" s="2869"/>
      <c r="D889" s="2858"/>
      <c r="E889" s="2858"/>
      <c r="F889" s="2863"/>
    </row>
    <row r="890" spans="1:6" s="2635" customFormat="1" x14ac:dyDescent="0.3">
      <c r="A890" s="2795">
        <v>32030109</v>
      </c>
      <c r="B890" s="2653" t="s">
        <v>3517</v>
      </c>
      <c r="C890" s="2653"/>
      <c r="D890" s="2600">
        <f>SUM(D891:D895)</f>
        <v>0</v>
      </c>
      <c r="E890" s="2600">
        <f>SUM(E891:E895)</f>
        <v>0</v>
      </c>
      <c r="F890" s="2600">
        <f>SUM(F891:F895)</f>
        <v>130000000</v>
      </c>
    </row>
    <row r="891" spans="1:6" s="2257" customFormat="1" ht="17.25" x14ac:dyDescent="0.25">
      <c r="A891" s="2861" t="s">
        <v>3708</v>
      </c>
      <c r="B891" s="2867" t="s">
        <v>1617</v>
      </c>
      <c r="C891" s="2867"/>
      <c r="D891" s="2858" t="s">
        <v>179</v>
      </c>
      <c r="E891" s="2858" t="s">
        <v>179</v>
      </c>
      <c r="F891" s="2859">
        <v>50000000</v>
      </c>
    </row>
    <row r="892" spans="1:6" s="2257" customFormat="1" ht="17.25" x14ac:dyDescent="0.25">
      <c r="A892" s="2861" t="s">
        <v>4218</v>
      </c>
      <c r="B892" s="2864" t="s">
        <v>1618</v>
      </c>
      <c r="C892" s="2864"/>
      <c r="D892" s="2858" t="s">
        <v>179</v>
      </c>
      <c r="E892" s="2858" t="s">
        <v>179</v>
      </c>
      <c r="F892" s="2859">
        <v>10000000</v>
      </c>
    </row>
    <row r="893" spans="1:6" s="2257" customFormat="1" ht="16.5" customHeight="1" x14ac:dyDescent="0.25">
      <c r="A893" s="2861" t="s">
        <v>4219</v>
      </c>
      <c r="B893" s="2864" t="s">
        <v>2609</v>
      </c>
      <c r="C893" s="2864"/>
      <c r="D893" s="2858" t="s">
        <v>179</v>
      </c>
      <c r="E893" s="2858" t="s">
        <v>179</v>
      </c>
      <c r="F893" s="2870">
        <v>10000000</v>
      </c>
    </row>
    <row r="894" spans="1:6" s="2257" customFormat="1" ht="17.25" x14ac:dyDescent="0.25">
      <c r="A894" s="2861" t="s">
        <v>4220</v>
      </c>
      <c r="B894" s="2864" t="s">
        <v>1619</v>
      </c>
      <c r="C894" s="2864"/>
      <c r="D894" s="2858" t="s">
        <v>179</v>
      </c>
      <c r="E894" s="2858" t="s">
        <v>179</v>
      </c>
      <c r="F894" s="2863">
        <v>20000000</v>
      </c>
    </row>
    <row r="895" spans="1:6" s="2257" customFormat="1" ht="17.25" x14ac:dyDescent="0.25">
      <c r="A895" s="2861" t="s">
        <v>4221</v>
      </c>
      <c r="B895" s="2864" t="s">
        <v>1620</v>
      </c>
      <c r="C895" s="2864"/>
      <c r="D895" s="2858" t="s">
        <v>179</v>
      </c>
      <c r="E895" s="2858" t="s">
        <v>179</v>
      </c>
      <c r="F895" s="2863">
        <v>40000000</v>
      </c>
    </row>
    <row r="896" spans="1:6" s="2257" customFormat="1" ht="18" thickBot="1" x14ac:dyDescent="0.3">
      <c r="A896" s="2871"/>
      <c r="B896" s="2864"/>
      <c r="C896" s="2864"/>
      <c r="D896" s="2872"/>
      <c r="E896" s="2872"/>
      <c r="F896" s="2873"/>
    </row>
    <row r="897" spans="1:6" ht="19.5" thickBot="1" x14ac:dyDescent="0.35">
      <c r="A897" s="2715"/>
      <c r="B897" s="2566" t="s">
        <v>2610</v>
      </c>
      <c r="C897" s="2566"/>
      <c r="D897" s="2595">
        <f>SUM(D866,D871,D878,D881,D883,D887,D890)</f>
        <v>0</v>
      </c>
      <c r="E897" s="2595">
        <f>SUM(E866,E871,E878,E881,E883,E887,E890)</f>
        <v>0</v>
      </c>
      <c r="F897" s="2595">
        <f>SUM(F866,F871,F876,F878,F881,F883,F887,F890)</f>
        <v>740000000</v>
      </c>
    </row>
    <row r="898" spans="1:6" ht="21" x14ac:dyDescent="0.45">
      <c r="A898" s="2874"/>
      <c r="B898" s="2577"/>
      <c r="C898" s="2577"/>
      <c r="D898" s="2875"/>
      <c r="E898" s="2875"/>
      <c r="F898" s="2876"/>
    </row>
    <row r="899" spans="1:6" ht="21" x14ac:dyDescent="0.45">
      <c r="A899" s="2874"/>
      <c r="B899" s="2577"/>
      <c r="C899" s="2577"/>
      <c r="D899" s="2875"/>
      <c r="E899" s="2875"/>
      <c r="F899" s="2876"/>
    </row>
    <row r="900" spans="1:6" x14ac:dyDescent="0.3">
      <c r="A900" s="3517" t="s">
        <v>80</v>
      </c>
      <c r="B900" s="3517"/>
      <c r="C900" s="3517"/>
      <c r="D900" s="3517"/>
      <c r="E900" s="3517"/>
      <c r="F900" s="3517"/>
    </row>
    <row r="901" spans="1:6" ht="19.5" thickBot="1" x14ac:dyDescent="0.35">
      <c r="A901" s="3516" t="s">
        <v>657</v>
      </c>
      <c r="B901" s="3516"/>
      <c r="C901" s="3516"/>
      <c r="D901" s="3516"/>
      <c r="E901" s="3516"/>
      <c r="F901" s="3516"/>
    </row>
    <row r="902" spans="1:6" s="2549" customFormat="1" ht="57" thickBot="1" x14ac:dyDescent="0.25">
      <c r="A902" s="2548" t="s">
        <v>1</v>
      </c>
      <c r="B902" s="2290" t="s">
        <v>282</v>
      </c>
      <c r="C902" s="2548" t="s">
        <v>3197</v>
      </c>
      <c r="D902" s="2292" t="s">
        <v>1174</v>
      </c>
      <c r="E902" s="2292" t="s">
        <v>1145</v>
      </c>
      <c r="F902" s="2292" t="s">
        <v>3096</v>
      </c>
    </row>
    <row r="903" spans="1:6" s="2549" customFormat="1" x14ac:dyDescent="0.2">
      <c r="A903" s="2807"/>
      <c r="B903" s="2674"/>
      <c r="C903" s="2596"/>
      <c r="D903" s="2729"/>
      <c r="E903" s="2729"/>
      <c r="F903" s="2729"/>
    </row>
    <row r="904" spans="1:6" s="2599" customFormat="1" x14ac:dyDescent="0.3">
      <c r="A904" s="170">
        <v>32010200</v>
      </c>
      <c r="B904" s="2558" t="s">
        <v>465</v>
      </c>
      <c r="C904" s="2557"/>
      <c r="D904" s="2446"/>
      <c r="E904" s="2446"/>
      <c r="F904" s="2446"/>
    </row>
    <row r="905" spans="1:6" s="2599" customFormat="1" x14ac:dyDescent="0.3">
      <c r="A905" s="170">
        <v>32010207</v>
      </c>
      <c r="B905" s="2558" t="s">
        <v>3202</v>
      </c>
      <c r="C905" s="2558"/>
      <c r="D905" s="2600">
        <f>SUM(D906)</f>
        <v>0</v>
      </c>
      <c r="E905" s="2560"/>
      <c r="F905" s="2600">
        <f>SUM(F906)</f>
        <v>30000000</v>
      </c>
    </row>
    <row r="906" spans="1:6" x14ac:dyDescent="0.3">
      <c r="A906" s="2562" t="s">
        <v>3709</v>
      </c>
      <c r="B906" s="2582" t="s">
        <v>653</v>
      </c>
      <c r="C906" s="2582"/>
      <c r="D906" s="2584">
        <v>0</v>
      </c>
      <c r="E906" s="2559"/>
      <c r="F906" s="2584">
        <v>30000000</v>
      </c>
    </row>
    <row r="907" spans="1:6" s="2257" customFormat="1" x14ac:dyDescent="0.3">
      <c r="A907" s="2856">
        <v>32010211</v>
      </c>
      <c r="B907" s="2869" t="s">
        <v>3208</v>
      </c>
      <c r="C907" s="2862"/>
      <c r="D907" s="2600">
        <f>SUM(D908)</f>
        <v>0</v>
      </c>
      <c r="E907" s="2600">
        <f>SUM(E908)</f>
        <v>0</v>
      </c>
      <c r="F907" s="2600">
        <f>SUM(F908)</f>
        <v>5000000</v>
      </c>
    </row>
    <row r="908" spans="1:6" x14ac:dyDescent="0.3">
      <c r="A908" s="2562" t="s">
        <v>3710</v>
      </c>
      <c r="B908" s="2613" t="s">
        <v>1549</v>
      </c>
      <c r="C908" s="2613"/>
      <c r="D908" s="2584">
        <v>0</v>
      </c>
      <c r="E908" s="2622">
        <v>0</v>
      </c>
      <c r="F908" s="2584">
        <v>5000000</v>
      </c>
    </row>
    <row r="909" spans="1:6" x14ac:dyDescent="0.3">
      <c r="A909" s="170">
        <v>32030100</v>
      </c>
      <c r="B909" s="2566" t="s">
        <v>472</v>
      </c>
      <c r="C909" s="2566"/>
      <c r="D909" s="2600">
        <f>SUM(D910:D910)</f>
        <v>100000000</v>
      </c>
      <c r="E909" s="2600">
        <f>SUM(E910:E910)</f>
        <v>17895200</v>
      </c>
      <c r="F909" s="2600">
        <f>SUM(F910:F910)</f>
        <v>80104800</v>
      </c>
    </row>
    <row r="910" spans="1:6" x14ac:dyDescent="0.3">
      <c r="A910" s="2562" t="s">
        <v>3711</v>
      </c>
      <c r="B910" s="2613" t="s">
        <v>652</v>
      </c>
      <c r="C910" s="2613"/>
      <c r="D910" s="2584">
        <v>100000000</v>
      </c>
      <c r="E910" s="2556">
        <v>17895200</v>
      </c>
      <c r="F910" s="2584">
        <v>80104800</v>
      </c>
    </row>
    <row r="911" spans="1:6" x14ac:dyDescent="0.3">
      <c r="A911" s="2877"/>
      <c r="B911" s="2558"/>
      <c r="C911" s="2558"/>
      <c r="D911" s="2600"/>
      <c r="E911" s="2600"/>
      <c r="F911" s="2600"/>
    </row>
    <row r="912" spans="1:6" ht="19.5" thickBot="1" x14ac:dyDescent="0.35">
      <c r="A912" s="2562"/>
      <c r="B912" s="2607" t="s">
        <v>1361</v>
      </c>
      <c r="C912" s="2566"/>
      <c r="D912" s="2605">
        <f>SUM(D905,D907,D909)</f>
        <v>100000000</v>
      </c>
      <c r="E912" s="2605">
        <f>SUM(E905,E907,E909)</f>
        <v>17895200</v>
      </c>
      <c r="F912" s="2605">
        <f>SUM(F905,F907,F909)</f>
        <v>115104800</v>
      </c>
    </row>
    <row r="913" spans="1:6" x14ac:dyDescent="0.3">
      <c r="A913" s="2576"/>
      <c r="B913" s="2577"/>
      <c r="C913" s="2577"/>
      <c r="D913" s="2578"/>
      <c r="E913" s="2681"/>
      <c r="F913" s="2578"/>
    </row>
    <row r="914" spans="1:6" x14ac:dyDescent="0.3">
      <c r="A914" s="2576"/>
      <c r="B914" s="2577"/>
      <c r="C914" s="2577"/>
      <c r="D914" s="2578"/>
      <c r="E914" s="2681"/>
      <c r="F914" s="2578"/>
    </row>
    <row r="915" spans="1:6" x14ac:dyDescent="0.3">
      <c r="A915" s="2576"/>
      <c r="B915" s="2577"/>
      <c r="C915" s="2577"/>
      <c r="D915" s="2578"/>
      <c r="E915" s="2681"/>
      <c r="F915" s="2578"/>
    </row>
    <row r="916" spans="1:6" x14ac:dyDescent="0.3">
      <c r="A916" s="3517" t="s">
        <v>80</v>
      </c>
      <c r="B916" s="3517"/>
      <c r="C916" s="3517"/>
      <c r="D916" s="3517"/>
      <c r="E916" s="3517"/>
      <c r="F916" s="3517"/>
    </row>
    <row r="917" spans="1:6" ht="19.5" thickBot="1" x14ac:dyDescent="0.35">
      <c r="A917" s="3517" t="s">
        <v>543</v>
      </c>
      <c r="B917" s="3517"/>
      <c r="C917" s="3517"/>
      <c r="D917" s="3517"/>
      <c r="E917" s="3517"/>
      <c r="F917" s="3517"/>
    </row>
    <row r="918" spans="1:6" s="2549" customFormat="1" ht="57" thickBot="1" x14ac:dyDescent="0.25">
      <c r="A918" s="2548" t="s">
        <v>1</v>
      </c>
      <c r="B918" s="2290" t="s">
        <v>282</v>
      </c>
      <c r="C918" s="2548" t="s">
        <v>3197</v>
      </c>
      <c r="D918" s="2292" t="s">
        <v>1174</v>
      </c>
      <c r="E918" s="2292" t="s">
        <v>1145</v>
      </c>
      <c r="F918" s="2292" t="s">
        <v>3096</v>
      </c>
    </row>
    <row r="919" spans="1:6" s="2599" customFormat="1" x14ac:dyDescent="0.3">
      <c r="A919" s="2803"/>
      <c r="B919" s="2878"/>
      <c r="C919" s="2878"/>
      <c r="D919" s="2879"/>
      <c r="E919" s="2763"/>
      <c r="F919" s="2880"/>
    </row>
    <row r="920" spans="1:6" s="2599" customFormat="1" x14ac:dyDescent="0.3">
      <c r="A920" s="170">
        <v>32010200</v>
      </c>
      <c r="B920" s="2558" t="s">
        <v>465</v>
      </c>
      <c r="C920" s="2558"/>
      <c r="D920" s="2446"/>
      <c r="E920" s="2446"/>
      <c r="F920" s="2446"/>
    </row>
    <row r="921" spans="1:6" s="2599" customFormat="1" x14ac:dyDescent="0.3">
      <c r="A921" s="170">
        <v>32010207</v>
      </c>
      <c r="B921" s="2558" t="s">
        <v>3202</v>
      </c>
      <c r="C921" s="2558"/>
      <c r="D921" s="2560">
        <f>SUM(D922:D925)</f>
        <v>2265000000</v>
      </c>
      <c r="E921" s="2560">
        <f t="shared" ref="E921:F921" si="64">SUM(E922:E925)</f>
        <v>84976664.379999995</v>
      </c>
      <c r="F921" s="2560">
        <f t="shared" si="64"/>
        <v>2405023335</v>
      </c>
    </row>
    <row r="922" spans="1:6" x14ac:dyDescent="0.3">
      <c r="A922" s="2562" t="s">
        <v>3712</v>
      </c>
      <c r="B922" s="2669" t="s">
        <v>1552</v>
      </c>
      <c r="C922" s="2669"/>
      <c r="D922" s="2559">
        <v>330000000</v>
      </c>
      <c r="E922" s="2559">
        <v>42266335</v>
      </c>
      <c r="F922" s="2559">
        <v>287733665</v>
      </c>
    </row>
    <row r="923" spans="1:6" x14ac:dyDescent="0.3">
      <c r="A923" s="2562" t="s">
        <v>3713</v>
      </c>
      <c r="B923" s="2669" t="s">
        <v>1553</v>
      </c>
      <c r="C923" s="2669"/>
      <c r="D923" s="2559">
        <v>330000000</v>
      </c>
      <c r="E923" s="2559">
        <v>15714798.130000001</v>
      </c>
      <c r="F923" s="2559">
        <v>314285201</v>
      </c>
    </row>
    <row r="924" spans="1:6" x14ac:dyDescent="0.3">
      <c r="A924" s="2562" t="s">
        <v>3714</v>
      </c>
      <c r="B924" s="2669" t="s">
        <v>1554</v>
      </c>
      <c r="C924" s="2669"/>
      <c r="D924" s="2559">
        <v>330000000</v>
      </c>
      <c r="E924" s="2559">
        <v>26995531.25</v>
      </c>
      <c r="F924" s="2559">
        <v>303004469</v>
      </c>
    </row>
    <row r="925" spans="1:6" x14ac:dyDescent="0.3">
      <c r="A925" s="2562" t="s">
        <v>3715</v>
      </c>
      <c r="B925" s="1981" t="s">
        <v>1555</v>
      </c>
      <c r="C925" s="1981"/>
      <c r="D925" s="2584">
        <v>1275000000</v>
      </c>
      <c r="E925" s="2559"/>
      <c r="F925" s="2584">
        <v>1500000000</v>
      </c>
    </row>
    <row r="926" spans="1:6" s="2775" customFormat="1" ht="19.5" thickBot="1" x14ac:dyDescent="0.35">
      <c r="A926" s="2562"/>
      <c r="B926" s="2669"/>
      <c r="C926" s="2669"/>
      <c r="D926" s="2772"/>
      <c r="E926" s="2772"/>
      <c r="F926" s="2772"/>
    </row>
    <row r="927" spans="1:6" ht="19.5" thickBot="1" x14ac:dyDescent="0.35">
      <c r="A927" s="2881"/>
      <c r="B927" s="2607" t="s">
        <v>2611</v>
      </c>
      <c r="C927" s="2727"/>
      <c r="D927" s="2595">
        <f>SUM(D921)</f>
        <v>2265000000</v>
      </c>
      <c r="E927" s="2739">
        <f>SUM(E921)</f>
        <v>84976664.379999995</v>
      </c>
      <c r="F927" s="2739">
        <f>SUM(F921)</f>
        <v>2405023335</v>
      </c>
    </row>
    <row r="928" spans="1:6" x14ac:dyDescent="0.3">
      <c r="A928" s="3535"/>
      <c r="B928" s="3535"/>
      <c r="C928" s="3535"/>
      <c r="D928" s="3535"/>
      <c r="E928" s="3535"/>
      <c r="F928" s="3535"/>
    </row>
    <row r="929" spans="1:6" x14ac:dyDescent="0.3">
      <c r="A929" s="3517"/>
      <c r="B929" s="3517"/>
      <c r="C929" s="3517"/>
      <c r="D929" s="3517"/>
      <c r="E929" s="3517"/>
      <c r="F929" s="3517"/>
    </row>
    <row r="930" spans="1:6" x14ac:dyDescent="0.3">
      <c r="A930" s="3517" t="s">
        <v>80</v>
      </c>
      <c r="B930" s="3517"/>
      <c r="C930" s="3517"/>
      <c r="D930" s="3517"/>
      <c r="E930" s="3517"/>
      <c r="F930" s="3517"/>
    </row>
    <row r="931" spans="1:6" ht="19.5" thickBot="1" x14ac:dyDescent="0.35">
      <c r="A931" s="3516" t="s">
        <v>545</v>
      </c>
      <c r="B931" s="3516"/>
      <c r="C931" s="3516"/>
      <c r="D931" s="3516"/>
      <c r="E931" s="3516"/>
      <c r="F931" s="3516"/>
    </row>
    <row r="932" spans="1:6" s="2549" customFormat="1" ht="57" thickBot="1" x14ac:dyDescent="0.25">
      <c r="A932" s="2548" t="s">
        <v>1</v>
      </c>
      <c r="B932" s="2290" t="s">
        <v>282</v>
      </c>
      <c r="C932" s="2548" t="s">
        <v>3197</v>
      </c>
      <c r="D932" s="2292" t="s">
        <v>1174</v>
      </c>
      <c r="E932" s="2292" t="s">
        <v>1145</v>
      </c>
      <c r="F932" s="2292" t="s">
        <v>3096</v>
      </c>
    </row>
    <row r="933" spans="1:6" x14ac:dyDescent="0.3">
      <c r="A933" s="2838">
        <v>32000000</v>
      </c>
      <c r="B933" s="2848" t="s">
        <v>462</v>
      </c>
      <c r="C933" s="2848"/>
      <c r="D933" s="2773"/>
      <c r="E933" s="2698"/>
      <c r="F933" s="2552"/>
    </row>
    <row r="934" spans="1:6" x14ac:dyDescent="0.3">
      <c r="A934" s="170">
        <v>32010200</v>
      </c>
      <c r="B934" s="2558" t="s">
        <v>465</v>
      </c>
      <c r="C934" s="2558"/>
      <c r="D934" s="2755"/>
      <c r="E934" s="2559"/>
      <c r="F934" s="2584"/>
    </row>
    <row r="935" spans="1:6" s="2257" customFormat="1" ht="17.25" x14ac:dyDescent="0.25">
      <c r="A935" s="2856">
        <v>3201010</v>
      </c>
      <c r="B935" s="2857" t="s">
        <v>464</v>
      </c>
      <c r="C935" s="2857"/>
      <c r="D935" s="2858"/>
      <c r="E935" s="2858"/>
      <c r="F935" s="2859"/>
    </row>
    <row r="936" spans="1:6" s="2257" customFormat="1" ht="17.25" x14ac:dyDescent="0.25">
      <c r="A936" s="2856">
        <v>32010101</v>
      </c>
      <c r="B936" s="2857" t="s">
        <v>3212</v>
      </c>
      <c r="C936" s="2857"/>
      <c r="D936" s="2882">
        <f>SUM(D937:D938)</f>
        <v>70000000</v>
      </c>
      <c r="E936" s="2882">
        <f t="shared" ref="E936:F936" si="65">SUM(E937:E938)</f>
        <v>3680000</v>
      </c>
      <c r="F936" s="2882">
        <f t="shared" si="65"/>
        <v>60000000</v>
      </c>
    </row>
    <row r="937" spans="1:6" x14ac:dyDescent="0.3">
      <c r="A937" s="2562" t="s">
        <v>3716</v>
      </c>
      <c r="B937" s="1981" t="s">
        <v>590</v>
      </c>
      <c r="C937" s="1981"/>
      <c r="D937" s="2755">
        <v>50000000</v>
      </c>
      <c r="E937" s="2559">
        <v>3550000</v>
      </c>
      <c r="F937" s="2584">
        <v>50000000</v>
      </c>
    </row>
    <row r="938" spans="1:6" x14ac:dyDescent="0.3">
      <c r="A938" s="2562" t="s">
        <v>3717</v>
      </c>
      <c r="B938" s="1981" t="s">
        <v>872</v>
      </c>
      <c r="C938" s="1981"/>
      <c r="D938" s="2755">
        <v>20000000</v>
      </c>
      <c r="E938" s="2559">
        <v>130000</v>
      </c>
      <c r="F938" s="2584">
        <v>10000000</v>
      </c>
    </row>
    <row r="939" spans="1:6" x14ac:dyDescent="0.3">
      <c r="A939" s="170">
        <v>32030100</v>
      </c>
      <c r="B939" s="2566" t="s">
        <v>472</v>
      </c>
      <c r="C939" s="2566"/>
      <c r="D939" s="2755"/>
      <c r="E939" s="2556"/>
      <c r="F939" s="2584"/>
    </row>
    <row r="940" spans="1:6" s="2635" customFormat="1" x14ac:dyDescent="0.3">
      <c r="A940" s="2649">
        <v>32030109</v>
      </c>
      <c r="B940" s="2653" t="s">
        <v>3517</v>
      </c>
      <c r="C940" s="2653"/>
      <c r="D940" s="2600">
        <f>SUM(D941:D946)</f>
        <v>200000000</v>
      </c>
      <c r="E940" s="2600">
        <f>SUM(E941:E946)</f>
        <v>0</v>
      </c>
      <c r="F940" s="2600">
        <f>SUM(F941:F946)</f>
        <v>1810000000</v>
      </c>
    </row>
    <row r="941" spans="1:6" x14ac:dyDescent="0.3">
      <c r="A941" s="2562" t="s">
        <v>3718</v>
      </c>
      <c r="B941" s="1981" t="s">
        <v>3724</v>
      </c>
      <c r="C941" s="1981"/>
      <c r="D941" s="2755">
        <v>100000000</v>
      </c>
      <c r="E941" s="2584"/>
      <c r="F941" s="2584">
        <v>1200000000</v>
      </c>
    </row>
    <row r="942" spans="1:6" x14ac:dyDescent="0.3">
      <c r="A942" s="2562" t="s">
        <v>3719</v>
      </c>
      <c r="B942" s="1981" t="s">
        <v>1977</v>
      </c>
      <c r="C942" s="1981"/>
      <c r="D942" s="2755">
        <v>50000000</v>
      </c>
      <c r="E942" s="2559"/>
      <c r="F942" s="2584">
        <v>50000000</v>
      </c>
    </row>
    <row r="943" spans="1:6" x14ac:dyDescent="0.3">
      <c r="A943" s="2562" t="s">
        <v>3720</v>
      </c>
      <c r="B943" s="1981" t="s">
        <v>1978</v>
      </c>
      <c r="C943" s="1981"/>
      <c r="D943" s="2755">
        <v>0</v>
      </c>
      <c r="E943" s="2559"/>
      <c r="F943" s="2584">
        <v>500000000</v>
      </c>
    </row>
    <row r="944" spans="1:6" x14ac:dyDescent="0.3">
      <c r="A944" s="2562" t="s">
        <v>3721</v>
      </c>
      <c r="B944" s="1981" t="s">
        <v>589</v>
      </c>
      <c r="C944" s="1981"/>
      <c r="D944" s="2755">
        <v>50000000</v>
      </c>
      <c r="E944" s="2559"/>
      <c r="F944" s="2584">
        <v>50000000</v>
      </c>
    </row>
    <row r="945" spans="1:6" x14ac:dyDescent="0.3">
      <c r="A945" s="2562" t="s">
        <v>3722</v>
      </c>
      <c r="B945" s="1981" t="s">
        <v>871</v>
      </c>
      <c r="C945" s="1981"/>
      <c r="D945" s="2755">
        <v>0</v>
      </c>
      <c r="E945" s="2559"/>
      <c r="F945" s="2584">
        <v>5000000</v>
      </c>
    </row>
    <row r="946" spans="1:6" x14ac:dyDescent="0.3">
      <c r="A946" s="2562" t="s">
        <v>3723</v>
      </c>
      <c r="B946" s="2582" t="s">
        <v>1979</v>
      </c>
      <c r="C946" s="2582"/>
      <c r="D946" s="2755"/>
      <c r="E946" s="2559"/>
      <c r="F946" s="2584">
        <v>5000000</v>
      </c>
    </row>
    <row r="947" spans="1:6" ht="19.5" thickBot="1" x14ac:dyDescent="0.35">
      <c r="A947" s="2602"/>
      <c r="B947" s="2706"/>
      <c r="C947" s="2707"/>
      <c r="D947" s="2616"/>
      <c r="E947" s="2698"/>
      <c r="F947" s="2616"/>
    </row>
    <row r="948" spans="1:6" ht="19.5" thickBot="1" x14ac:dyDescent="0.35">
      <c r="A948" s="2548"/>
      <c r="B948" s="2594" t="s">
        <v>2612</v>
      </c>
      <c r="C948" s="2594"/>
      <c r="D948" s="2595">
        <f>SUM(D936,D940)</f>
        <v>270000000</v>
      </c>
      <c r="E948" s="2595">
        <f t="shared" ref="E948:F948" si="66">SUM(E936,E940)</f>
        <v>3680000</v>
      </c>
      <c r="F948" s="2595">
        <f t="shared" si="66"/>
        <v>1870000000</v>
      </c>
    </row>
    <row r="949" spans="1:6" x14ac:dyDescent="0.3">
      <c r="A949" s="2596"/>
      <c r="B949" s="2577"/>
      <c r="C949" s="2577"/>
      <c r="D949" s="2578"/>
      <c r="E949" s="2578"/>
      <c r="F949" s="2578"/>
    </row>
    <row r="950" spans="1:6" x14ac:dyDescent="0.3">
      <c r="A950" s="2596"/>
      <c r="B950" s="2577"/>
      <c r="C950" s="2577"/>
      <c r="D950" s="2578"/>
      <c r="E950" s="2578"/>
      <c r="F950" s="2578"/>
    </row>
    <row r="951" spans="1:6" x14ac:dyDescent="0.3">
      <c r="A951" s="2596"/>
      <c r="B951" s="2577"/>
      <c r="C951" s="2577"/>
      <c r="D951" s="2578"/>
      <c r="E951" s="2578"/>
      <c r="F951" s="2578"/>
    </row>
    <row r="952" spans="1:6" x14ac:dyDescent="0.3">
      <c r="A952" s="3517" t="s">
        <v>80</v>
      </c>
      <c r="B952" s="3517"/>
      <c r="C952" s="3517"/>
      <c r="D952" s="3517"/>
      <c r="E952" s="3517"/>
      <c r="F952" s="3517"/>
    </row>
    <row r="953" spans="1:6" ht="19.5" thickBot="1" x14ac:dyDescent="0.35">
      <c r="A953" s="3516" t="s">
        <v>1460</v>
      </c>
      <c r="B953" s="3516"/>
      <c r="C953" s="3516"/>
      <c r="D953" s="3516"/>
      <c r="E953" s="3516"/>
      <c r="F953" s="3516"/>
    </row>
    <row r="954" spans="1:6" s="2549" customFormat="1" ht="57" thickBot="1" x14ac:dyDescent="0.25">
      <c r="A954" s="2548" t="s">
        <v>1</v>
      </c>
      <c r="B954" s="2290" t="s">
        <v>282</v>
      </c>
      <c r="C954" s="2548" t="s">
        <v>3197</v>
      </c>
      <c r="D954" s="2292" t="s">
        <v>1174</v>
      </c>
      <c r="E954" s="2292" t="s">
        <v>1145</v>
      </c>
      <c r="F954" s="2292" t="s">
        <v>3096</v>
      </c>
    </row>
    <row r="955" spans="1:6" s="2599" customFormat="1" x14ac:dyDescent="0.3">
      <c r="A955" s="2883">
        <v>32000000</v>
      </c>
      <c r="B955" s="2726" t="s">
        <v>462</v>
      </c>
      <c r="D955" s="2552"/>
      <c r="E955" s="2634"/>
      <c r="F955" s="2552"/>
    </row>
    <row r="956" spans="1:6" x14ac:dyDescent="0.3">
      <c r="A956" s="2596">
        <v>32010000</v>
      </c>
      <c r="B956" s="2558" t="s">
        <v>463</v>
      </c>
      <c r="C956" s="2586"/>
      <c r="D956" s="2559"/>
      <c r="E956" s="2559"/>
      <c r="F956" s="2559"/>
    </row>
    <row r="957" spans="1:6" x14ac:dyDescent="0.3">
      <c r="A957" s="2884">
        <v>32010100</v>
      </c>
      <c r="B957" s="2558" t="s">
        <v>471</v>
      </c>
      <c r="C957" s="2586"/>
      <c r="D957" s="2559"/>
      <c r="E957" s="2559"/>
      <c r="F957" s="2559"/>
    </row>
    <row r="958" spans="1:6" x14ac:dyDescent="0.3">
      <c r="A958" s="2885">
        <v>32010101</v>
      </c>
      <c r="B958" s="2557" t="s">
        <v>3212</v>
      </c>
      <c r="C958" s="2586"/>
      <c r="D958" s="2886">
        <f>SUM(D959:D961)</f>
        <v>320000000</v>
      </c>
      <c r="E958" s="2886">
        <f>SUM(E959:E961)</f>
        <v>89639387.120000005</v>
      </c>
      <c r="F958" s="2886">
        <f>SUM(F959:F961)</f>
        <v>1002500000</v>
      </c>
    </row>
    <row r="959" spans="1:6" x14ac:dyDescent="0.3">
      <c r="A959" s="2887" t="s">
        <v>3200</v>
      </c>
      <c r="B959" s="2563" t="s">
        <v>873</v>
      </c>
      <c r="C959" s="2586" t="s">
        <v>3368</v>
      </c>
      <c r="D959" s="2818">
        <v>250000000</v>
      </c>
      <c r="E959" s="2584">
        <v>38623856.369999997</v>
      </c>
      <c r="F959" s="2584">
        <v>262500000</v>
      </c>
    </row>
    <row r="960" spans="1:6" x14ac:dyDescent="0.3">
      <c r="A960" s="2887" t="s">
        <v>3201</v>
      </c>
      <c r="B960" s="2563" t="s">
        <v>874</v>
      </c>
      <c r="C960" s="2586" t="s">
        <v>3368</v>
      </c>
      <c r="D960" s="2818">
        <v>70000000</v>
      </c>
      <c r="E960" s="2584">
        <v>51015530.75</v>
      </c>
      <c r="F960" s="2584">
        <v>90000000</v>
      </c>
    </row>
    <row r="961" spans="1:6" x14ac:dyDescent="0.3">
      <c r="A961" s="2887" t="s">
        <v>3203</v>
      </c>
      <c r="B961" s="2563" t="s">
        <v>3009</v>
      </c>
      <c r="C961" s="2586" t="s">
        <v>3368</v>
      </c>
      <c r="D961" s="2820"/>
      <c r="E961" s="2584"/>
      <c r="F961" s="2612">
        <v>650000000</v>
      </c>
    </row>
    <row r="962" spans="1:6" x14ac:dyDescent="0.3">
      <c r="A962" s="2885">
        <v>32010102</v>
      </c>
      <c r="B962" s="2565" t="s">
        <v>3213</v>
      </c>
      <c r="C962" s="2888"/>
      <c r="D962" s="2820"/>
      <c r="E962" s="2681"/>
      <c r="F962" s="2772">
        <f>SUM(F963)</f>
        <v>100000000</v>
      </c>
    </row>
    <row r="963" spans="1:6" s="2893" customFormat="1" x14ac:dyDescent="0.3">
      <c r="A963" s="2887" t="s">
        <v>3204</v>
      </c>
      <c r="B963" s="2889" t="s">
        <v>3036</v>
      </c>
      <c r="C963" s="2890" t="s">
        <v>3198</v>
      </c>
      <c r="D963" s="2891"/>
      <c r="E963" s="2892"/>
      <c r="F963" s="2612">
        <v>100000000</v>
      </c>
    </row>
    <row r="964" spans="1:6" x14ac:dyDescent="0.3">
      <c r="A964" s="170">
        <v>32010200</v>
      </c>
      <c r="B964" s="2558" t="s">
        <v>465</v>
      </c>
      <c r="C964" s="2586"/>
      <c r="D964" s="2559"/>
      <c r="E964" s="2559"/>
      <c r="F964" s="2559"/>
    </row>
    <row r="965" spans="1:6" x14ac:dyDescent="0.3">
      <c r="A965" s="2885">
        <v>32010207</v>
      </c>
      <c r="B965" s="2557" t="s">
        <v>3202</v>
      </c>
      <c r="C965" s="2586"/>
      <c r="D965" s="2833">
        <f>D966</f>
        <v>0</v>
      </c>
      <c r="E965" s="2559"/>
      <c r="F965" s="2559">
        <f>F966</f>
        <v>0</v>
      </c>
    </row>
    <row r="966" spans="1:6" x14ac:dyDescent="0.3">
      <c r="A966" s="2887" t="s">
        <v>3207</v>
      </c>
      <c r="B966" s="2563" t="s">
        <v>875</v>
      </c>
      <c r="C966" s="2894" t="s">
        <v>3198</v>
      </c>
      <c r="D966" s="2818">
        <v>0</v>
      </c>
      <c r="E966" s="2584"/>
      <c r="F966" s="2667">
        <v>0</v>
      </c>
    </row>
    <row r="967" spans="1:6" x14ac:dyDescent="0.3">
      <c r="A967" s="2895">
        <v>32010211</v>
      </c>
      <c r="B967" s="2850" t="s">
        <v>3208</v>
      </c>
      <c r="C967" s="2896"/>
      <c r="D967" s="2600">
        <f>SUM(D968:D969)</f>
        <v>38587500</v>
      </c>
      <c r="E967" s="2600">
        <f>SUM(E968:E969)</f>
        <v>0</v>
      </c>
      <c r="F967" s="2600">
        <f>SUM(F968:F969)</f>
        <v>38587500</v>
      </c>
    </row>
    <row r="968" spans="1:6" x14ac:dyDescent="0.3">
      <c r="A968" s="2887" t="s">
        <v>3209</v>
      </c>
      <c r="B968" s="2563" t="s">
        <v>876</v>
      </c>
      <c r="C968" s="2890" t="s">
        <v>3198</v>
      </c>
      <c r="D968" s="2818">
        <v>38587500</v>
      </c>
      <c r="E968" s="2559"/>
      <c r="F968" s="2584">
        <v>38587500</v>
      </c>
    </row>
    <row r="969" spans="1:6" s="2893" customFormat="1" x14ac:dyDescent="0.3">
      <c r="A969" s="2887" t="s">
        <v>3210</v>
      </c>
      <c r="B969" s="2889" t="s">
        <v>877</v>
      </c>
      <c r="C969" s="2894" t="s">
        <v>3198</v>
      </c>
      <c r="D969" s="2897">
        <v>0</v>
      </c>
      <c r="E969" s="2670"/>
      <c r="F969" s="2667">
        <v>0</v>
      </c>
    </row>
    <row r="970" spans="1:6" x14ac:dyDescent="0.3">
      <c r="A970" s="2898">
        <v>32010300</v>
      </c>
      <c r="B970" s="2850" t="s">
        <v>466</v>
      </c>
      <c r="C970" s="2896"/>
      <c r="D970" s="2600"/>
      <c r="E970" s="2559"/>
      <c r="F970" s="2600"/>
    </row>
    <row r="971" spans="1:6" x14ac:dyDescent="0.3">
      <c r="A971" s="2596">
        <v>32010305</v>
      </c>
      <c r="B971" s="2850" t="s">
        <v>3206</v>
      </c>
      <c r="C971" s="2593"/>
      <c r="D971" s="2600">
        <f>D972</f>
        <v>50000000</v>
      </c>
      <c r="E971" s="2600">
        <f>E972</f>
        <v>119278032.05</v>
      </c>
      <c r="F971" s="2600">
        <f>F972</f>
        <v>50000000</v>
      </c>
    </row>
    <row r="972" spans="1:6" ht="19.5" thickBot="1" x14ac:dyDescent="0.35">
      <c r="A972" s="2887" t="s">
        <v>3211</v>
      </c>
      <c r="B972" s="2563" t="s">
        <v>3205</v>
      </c>
      <c r="C972" s="2890" t="s">
        <v>3198</v>
      </c>
      <c r="D972" s="2818">
        <v>50000000</v>
      </c>
      <c r="E972" s="2559">
        <v>119278032.05</v>
      </c>
      <c r="F972" s="2584">
        <v>50000000</v>
      </c>
    </row>
    <row r="973" spans="1:6" ht="19.5" thickBot="1" x14ac:dyDescent="0.35">
      <c r="A973" s="2899"/>
      <c r="B973" s="2900"/>
      <c r="C973" s="2901"/>
      <c r="D973" s="2835"/>
      <c r="E973" s="2835"/>
      <c r="F973" s="2735"/>
    </row>
    <row r="974" spans="1:6" ht="19.5" thickBot="1" x14ac:dyDescent="0.35">
      <c r="A974" s="2902"/>
      <c r="B974" s="2709" t="s">
        <v>2</v>
      </c>
      <c r="C974" s="2903"/>
      <c r="D974" s="2739">
        <f>SUM(D958+D962+D965+D967+D971)</f>
        <v>408587500</v>
      </c>
      <c r="E974" s="2739">
        <f>SUM(E958+E962+E965+E967+E971)</f>
        <v>208917419.17000002</v>
      </c>
      <c r="F974" s="2739">
        <f>SUM(F958+F962+F965+F967+F971)</f>
        <v>1191087500</v>
      </c>
    </row>
    <row r="975" spans="1:6" ht="19.5" thickBot="1" x14ac:dyDescent="0.35">
      <c r="A975" s="3534" t="s">
        <v>546</v>
      </c>
      <c r="B975" s="3534"/>
      <c r="C975" s="3516"/>
      <c r="D975" s="3516"/>
      <c r="E975" s="3534"/>
      <c r="F975" s="3534"/>
    </row>
    <row r="976" spans="1:6" s="2549" customFormat="1" ht="57" thickBot="1" x14ac:dyDescent="0.25">
      <c r="A976" s="2548" t="s">
        <v>1</v>
      </c>
      <c r="B976" s="2290" t="s">
        <v>282</v>
      </c>
      <c r="C976" s="2548" t="s">
        <v>3197</v>
      </c>
      <c r="D976" s="2292" t="s">
        <v>1174</v>
      </c>
      <c r="E976" s="2292" t="s">
        <v>1145</v>
      </c>
      <c r="F976" s="2292" t="s">
        <v>3096</v>
      </c>
    </row>
    <row r="977" spans="1:6" s="2599" customFormat="1" x14ac:dyDescent="0.3">
      <c r="A977" s="2664">
        <v>32000000</v>
      </c>
      <c r="B977" s="2579" t="s">
        <v>462</v>
      </c>
      <c r="D977" s="2580"/>
      <c r="E977" s="2580"/>
      <c r="F977" s="2580"/>
    </row>
    <row r="978" spans="1:6" x14ac:dyDescent="0.3">
      <c r="A978" s="170">
        <v>32010200</v>
      </c>
      <c r="B978" s="2558" t="s">
        <v>465</v>
      </c>
      <c r="C978" s="2586"/>
      <c r="D978" s="2559"/>
      <c r="E978" s="2559"/>
      <c r="F978" s="2559"/>
    </row>
    <row r="979" spans="1:6" x14ac:dyDescent="0.3">
      <c r="A979" s="170">
        <v>32010202</v>
      </c>
      <c r="B979" s="2558" t="s">
        <v>3199</v>
      </c>
      <c r="C979" s="2586"/>
      <c r="D979" s="2560">
        <f>SUM(D980:D1001,D1006:D1022)</f>
        <v>13952571290</v>
      </c>
      <c r="E979" s="2560">
        <f>SUM(E980:E1001,E1006:E1022)</f>
        <v>2281631219.98</v>
      </c>
      <c r="F979" s="2560">
        <f>SUM(F980:F1001,F1006:F1022)</f>
        <v>39514943989</v>
      </c>
    </row>
    <row r="980" spans="1:6" x14ac:dyDescent="0.3">
      <c r="A980" s="2904" t="s">
        <v>3158</v>
      </c>
      <c r="B980" s="2311" t="s">
        <v>482</v>
      </c>
      <c r="C980" s="2586"/>
      <c r="D980" s="2905">
        <v>300000000</v>
      </c>
      <c r="E980" s="2906">
        <v>217342450.88</v>
      </c>
      <c r="F980" s="2905">
        <v>0</v>
      </c>
    </row>
    <row r="981" spans="1:6" x14ac:dyDescent="0.3">
      <c r="A981" s="2904" t="s">
        <v>3159</v>
      </c>
      <c r="B981" s="2143" t="s">
        <v>3344</v>
      </c>
      <c r="C981" s="2586" t="s">
        <v>3368</v>
      </c>
      <c r="D981" s="2905">
        <v>500000000</v>
      </c>
      <c r="E981" s="2907" t="s">
        <v>179</v>
      </c>
      <c r="F981" s="2710">
        <v>1300000000</v>
      </c>
    </row>
    <row r="982" spans="1:6" x14ac:dyDescent="0.3">
      <c r="A982" s="2904" t="s">
        <v>3160</v>
      </c>
      <c r="B982" s="2143" t="s">
        <v>3345</v>
      </c>
      <c r="C982" s="2586" t="s">
        <v>3368</v>
      </c>
      <c r="D982" s="2905">
        <v>600000000</v>
      </c>
      <c r="E982" s="2906">
        <v>180503026.13999999</v>
      </c>
      <c r="F982" s="2710">
        <v>800000000</v>
      </c>
    </row>
    <row r="983" spans="1:6" x14ac:dyDescent="0.3">
      <c r="A983" s="2904" t="s">
        <v>3161</v>
      </c>
      <c r="B983" s="2143" t="s">
        <v>3346</v>
      </c>
      <c r="C983" s="2586" t="s">
        <v>3368</v>
      </c>
      <c r="D983" s="2905">
        <v>700000000</v>
      </c>
      <c r="E983" s="2907" t="s">
        <v>179</v>
      </c>
      <c r="F983" s="2710">
        <v>1600000000</v>
      </c>
    </row>
    <row r="984" spans="1:6" x14ac:dyDescent="0.3">
      <c r="A984" s="2904" t="s">
        <v>3162</v>
      </c>
      <c r="B984" s="2143" t="s">
        <v>3357</v>
      </c>
      <c r="C984" s="2586" t="s">
        <v>3368</v>
      </c>
      <c r="D984" s="2905">
        <v>0</v>
      </c>
      <c r="E984" s="2907" t="s">
        <v>179</v>
      </c>
      <c r="F984" s="2710">
        <v>600000000</v>
      </c>
    </row>
    <row r="985" spans="1:6" x14ac:dyDescent="0.3">
      <c r="A985" s="2904" t="s">
        <v>3163</v>
      </c>
      <c r="B985" s="2143" t="s">
        <v>3347</v>
      </c>
      <c r="C985" s="2586" t="s">
        <v>3368</v>
      </c>
      <c r="D985" s="2905">
        <v>800000000</v>
      </c>
      <c r="E985" s="2907" t="s">
        <v>179</v>
      </c>
      <c r="F985" s="2710">
        <v>1300000000</v>
      </c>
    </row>
    <row r="986" spans="1:6" x14ac:dyDescent="0.3">
      <c r="A986" s="2904" t="s">
        <v>3164</v>
      </c>
      <c r="B986" s="2143" t="s">
        <v>3358</v>
      </c>
      <c r="C986" s="2586" t="s">
        <v>3368</v>
      </c>
      <c r="D986" s="2905">
        <v>552195200</v>
      </c>
      <c r="E986" s="2906">
        <v>425900256.02999997</v>
      </c>
      <c r="F986" s="2710">
        <v>600000000</v>
      </c>
    </row>
    <row r="987" spans="1:6" x14ac:dyDescent="0.3">
      <c r="A987" s="2904" t="s">
        <v>3165</v>
      </c>
      <c r="B987" s="2143" t="s">
        <v>3077</v>
      </c>
      <c r="C987" s="2586" t="s">
        <v>3368</v>
      </c>
      <c r="D987" s="2905">
        <v>180000000</v>
      </c>
      <c r="E987" s="2907" t="s">
        <v>179</v>
      </c>
      <c r="F987" s="2710">
        <v>700000000</v>
      </c>
    </row>
    <row r="988" spans="1:6" x14ac:dyDescent="0.3">
      <c r="A988" s="2904" t="s">
        <v>3166</v>
      </c>
      <c r="B988" s="2143" t="s">
        <v>3038</v>
      </c>
      <c r="C988" s="2586" t="s">
        <v>3198</v>
      </c>
      <c r="D988" s="2905">
        <v>585000000</v>
      </c>
      <c r="E988" s="2907" t="s">
        <v>179</v>
      </c>
      <c r="F988" s="2710">
        <v>600000000</v>
      </c>
    </row>
    <row r="989" spans="1:6" x14ac:dyDescent="0.3">
      <c r="A989" s="2904" t="s">
        <v>3167</v>
      </c>
      <c r="B989" s="2143" t="s">
        <v>3039</v>
      </c>
      <c r="C989" s="2586" t="s">
        <v>3198</v>
      </c>
      <c r="D989" s="2905">
        <v>440000000</v>
      </c>
      <c r="E989" s="2907" t="s">
        <v>179</v>
      </c>
      <c r="F989" s="2710">
        <v>1100000000</v>
      </c>
    </row>
    <row r="990" spans="1:6" x14ac:dyDescent="0.3">
      <c r="A990" s="2904" t="s">
        <v>3168</v>
      </c>
      <c r="B990" s="2143" t="s">
        <v>3348</v>
      </c>
      <c r="C990" s="2586" t="s">
        <v>3368</v>
      </c>
      <c r="D990" s="2905">
        <v>500000000</v>
      </c>
      <c r="E990" s="2907" t="s">
        <v>179</v>
      </c>
      <c r="F990" s="2710">
        <v>550000000</v>
      </c>
    </row>
    <row r="991" spans="1:6" x14ac:dyDescent="0.3">
      <c r="A991" s="2904" t="s">
        <v>3169</v>
      </c>
      <c r="B991" s="2143" t="s">
        <v>3349</v>
      </c>
      <c r="C991" s="2586" t="s">
        <v>3368</v>
      </c>
      <c r="D991" s="2905">
        <v>502400000</v>
      </c>
      <c r="E991" s="2907" t="s">
        <v>179</v>
      </c>
      <c r="F991" s="2710">
        <v>1824943989</v>
      </c>
    </row>
    <row r="992" spans="1:6" x14ac:dyDescent="0.3">
      <c r="A992" s="2904" t="s">
        <v>3170</v>
      </c>
      <c r="B992" s="2143" t="s">
        <v>1944</v>
      </c>
      <c r="C992" s="2586"/>
      <c r="D992" s="2905">
        <v>450000000</v>
      </c>
      <c r="E992" s="2906">
        <v>650000228.41999996</v>
      </c>
      <c r="F992" s="2356">
        <v>0</v>
      </c>
    </row>
    <row r="993" spans="1:6" x14ac:dyDescent="0.3">
      <c r="A993" s="2904" t="s">
        <v>3171</v>
      </c>
      <c r="B993" s="2143" t="s">
        <v>3233</v>
      </c>
      <c r="C993" s="2586"/>
      <c r="D993" s="2905">
        <v>390000000</v>
      </c>
      <c r="E993" s="2907" t="s">
        <v>179</v>
      </c>
      <c r="F993" s="2710">
        <v>0</v>
      </c>
    </row>
    <row r="994" spans="1:6" x14ac:dyDescent="0.3">
      <c r="A994" s="2904" t="s">
        <v>3172</v>
      </c>
      <c r="B994" s="2143" t="s">
        <v>3075</v>
      </c>
      <c r="C994" s="2586" t="s">
        <v>3198</v>
      </c>
      <c r="D994" s="2905"/>
      <c r="E994" s="2907"/>
      <c r="F994" s="2710">
        <v>100000000</v>
      </c>
    </row>
    <row r="995" spans="1:6" x14ac:dyDescent="0.3">
      <c r="A995" s="2904" t="s">
        <v>3173</v>
      </c>
      <c r="B995" s="2143" t="s">
        <v>3359</v>
      </c>
      <c r="C995" s="2586" t="s">
        <v>3368</v>
      </c>
      <c r="D995" s="2905">
        <v>750000000</v>
      </c>
      <c r="E995" s="2906">
        <v>707574440.77999997</v>
      </c>
      <c r="F995" s="2710">
        <v>1900000000</v>
      </c>
    </row>
    <row r="996" spans="1:6" x14ac:dyDescent="0.3">
      <c r="A996" s="2904" t="s">
        <v>3174</v>
      </c>
      <c r="B996" s="2143" t="s">
        <v>3350</v>
      </c>
      <c r="C996" s="2586" t="s">
        <v>3368</v>
      </c>
      <c r="D996" s="2905">
        <v>150000000</v>
      </c>
      <c r="E996" s="2907" t="s">
        <v>179</v>
      </c>
      <c r="F996" s="2905">
        <v>270000000</v>
      </c>
    </row>
    <row r="997" spans="1:6" x14ac:dyDescent="0.3">
      <c r="A997" s="2904" t="s">
        <v>3175</v>
      </c>
      <c r="B997" s="2143" t="s">
        <v>3351</v>
      </c>
      <c r="C997" s="2586" t="s">
        <v>3368</v>
      </c>
      <c r="D997" s="2905">
        <v>500000000</v>
      </c>
      <c r="E997" s="2907" t="s">
        <v>179</v>
      </c>
      <c r="F997" s="2710">
        <v>1100000000</v>
      </c>
    </row>
    <row r="998" spans="1:6" x14ac:dyDescent="0.3">
      <c r="A998" s="2904" t="s">
        <v>3176</v>
      </c>
      <c r="B998" s="2143" t="s">
        <v>3360</v>
      </c>
      <c r="C998" s="2586" t="s">
        <v>3368</v>
      </c>
      <c r="D998" s="2905">
        <v>600000000</v>
      </c>
      <c r="E998" s="2907" t="s">
        <v>179</v>
      </c>
      <c r="F998" s="2710">
        <v>1100000000</v>
      </c>
    </row>
    <row r="999" spans="1:6" x14ac:dyDescent="0.3">
      <c r="A999" s="2904" t="s">
        <v>3177</v>
      </c>
      <c r="B999" s="2143" t="s">
        <v>3361</v>
      </c>
      <c r="C999" s="2586" t="s">
        <v>3368</v>
      </c>
      <c r="D999" s="2905">
        <v>500000000</v>
      </c>
      <c r="E999" s="171"/>
      <c r="F999" s="2710">
        <v>100000000</v>
      </c>
    </row>
    <row r="1000" spans="1:6" x14ac:dyDescent="0.3">
      <c r="A1000" s="2904" t="s">
        <v>3178</v>
      </c>
      <c r="B1000" s="2143" t="s">
        <v>3362</v>
      </c>
      <c r="C1000" s="2586" t="s">
        <v>3368</v>
      </c>
      <c r="D1000" s="2905">
        <v>1000000000</v>
      </c>
      <c r="E1000" s="2907" t="s">
        <v>179</v>
      </c>
      <c r="F1000" s="2710">
        <v>1100000000</v>
      </c>
    </row>
    <row r="1001" spans="1:6" x14ac:dyDescent="0.3">
      <c r="A1001" s="2904" t="s">
        <v>3179</v>
      </c>
      <c r="B1001" s="2143" t="s">
        <v>3352</v>
      </c>
      <c r="C1001" s="2586" t="s">
        <v>3368</v>
      </c>
      <c r="D1001" s="2905">
        <v>822976090</v>
      </c>
      <c r="E1001" s="2906">
        <v>0</v>
      </c>
      <c r="F1001" s="2710">
        <v>1800000000</v>
      </c>
    </row>
    <row r="1002" spans="1:6" x14ac:dyDescent="0.3">
      <c r="A1002" s="2576"/>
      <c r="B1002" s="2549"/>
      <c r="C1002" s="2549"/>
      <c r="D1002" s="2908"/>
      <c r="E1002" s="2908"/>
      <c r="F1002" s="2909"/>
    </row>
    <row r="1003" spans="1:6" x14ac:dyDescent="0.3">
      <c r="A1003" s="2576"/>
      <c r="B1003" s="2549"/>
      <c r="C1003" s="2549"/>
      <c r="D1003" s="2908"/>
      <c r="E1003" s="2908"/>
      <c r="F1003" s="2909"/>
    </row>
    <row r="1004" spans="1:6" ht="20.25" thickBot="1" x14ac:dyDescent="0.4">
      <c r="A1004" s="3533" t="s">
        <v>2613</v>
      </c>
      <c r="B1004" s="3533"/>
      <c r="C1004" s="3533"/>
      <c r="D1004" s="3533"/>
      <c r="E1004" s="3533"/>
      <c r="F1004" s="3533"/>
    </row>
    <row r="1005" spans="1:6" s="2549" customFormat="1" ht="57" thickBot="1" x14ac:dyDescent="0.25">
      <c r="A1005" s="2548" t="s">
        <v>1</v>
      </c>
      <c r="B1005" s="2290" t="s">
        <v>282</v>
      </c>
      <c r="C1005" s="2548" t="s">
        <v>3197</v>
      </c>
      <c r="D1005" s="2292" t="s">
        <v>1174</v>
      </c>
      <c r="E1005" s="2292" t="s">
        <v>1145</v>
      </c>
      <c r="F1005" s="2292" t="s">
        <v>3096</v>
      </c>
    </row>
    <row r="1006" spans="1:6" x14ac:dyDescent="0.3">
      <c r="A1006" s="2910" t="s">
        <v>3180</v>
      </c>
      <c r="B1006" s="2911" t="s">
        <v>3353</v>
      </c>
      <c r="C1006" s="2912" t="s">
        <v>3368</v>
      </c>
      <c r="D1006" s="2913">
        <v>500000000</v>
      </c>
      <c r="E1006" s="2906">
        <v>0</v>
      </c>
      <c r="F1006" s="2710">
        <v>1100000000</v>
      </c>
    </row>
    <row r="1007" spans="1:6" x14ac:dyDescent="0.3">
      <c r="A1007" s="2910" t="s">
        <v>3181</v>
      </c>
      <c r="B1007" s="2311" t="s">
        <v>3363</v>
      </c>
      <c r="C1007" s="2311" t="s">
        <v>3368</v>
      </c>
      <c r="D1007" s="2905">
        <v>530000000</v>
      </c>
      <c r="E1007" s="171"/>
      <c r="F1007" s="2710">
        <v>700000000</v>
      </c>
    </row>
    <row r="1008" spans="1:6" x14ac:dyDescent="0.3">
      <c r="A1008" s="2910" t="s">
        <v>3182</v>
      </c>
      <c r="B1008" s="2311" t="s">
        <v>3354</v>
      </c>
      <c r="C1008" s="2311" t="s">
        <v>3368</v>
      </c>
      <c r="D1008" s="2905">
        <v>600000000</v>
      </c>
      <c r="E1008" s="2906">
        <v>0</v>
      </c>
      <c r="F1008" s="2710">
        <v>1300000000</v>
      </c>
    </row>
    <row r="1009" spans="1:6" x14ac:dyDescent="0.3">
      <c r="A1009" s="2910" t="s">
        <v>3183</v>
      </c>
      <c r="B1009" s="2311" t="s">
        <v>3364</v>
      </c>
      <c r="C1009" s="2311" t="s">
        <v>3368</v>
      </c>
      <c r="D1009" s="2905">
        <v>700000000</v>
      </c>
      <c r="E1009" s="2906">
        <v>0</v>
      </c>
      <c r="F1009" s="2710">
        <v>1020000000</v>
      </c>
    </row>
    <row r="1010" spans="1:6" x14ac:dyDescent="0.3">
      <c r="A1010" s="2910" t="s">
        <v>3184</v>
      </c>
      <c r="B1010" s="2311" t="s">
        <v>3365</v>
      </c>
      <c r="C1010" s="2311" t="s">
        <v>3368</v>
      </c>
      <c r="D1010" s="2905">
        <v>300000000</v>
      </c>
      <c r="E1010" s="2906">
        <v>100310817.73</v>
      </c>
      <c r="F1010" s="2710">
        <v>500000000</v>
      </c>
    </row>
    <row r="1011" spans="1:6" x14ac:dyDescent="0.3">
      <c r="A1011" s="2910" t="s">
        <v>3185</v>
      </c>
      <c r="B1011" s="2311" t="s">
        <v>3366</v>
      </c>
      <c r="C1011" s="2311" t="s">
        <v>3368</v>
      </c>
      <c r="D1011" s="2905">
        <v>500000000</v>
      </c>
      <c r="E1011" s="2907" t="s">
        <v>179</v>
      </c>
      <c r="F1011" s="2710">
        <v>550000000</v>
      </c>
    </row>
    <row r="1012" spans="1:6" x14ac:dyDescent="0.3">
      <c r="A1012" s="2910" t="s">
        <v>3186</v>
      </c>
      <c r="B1012" s="2311" t="s">
        <v>3355</v>
      </c>
      <c r="C1012" s="2311" t="s">
        <v>3368</v>
      </c>
      <c r="D1012" s="2755"/>
      <c r="E1012" s="2914"/>
      <c r="F1012" s="2584">
        <v>1600000000</v>
      </c>
    </row>
    <row r="1013" spans="1:6" x14ac:dyDescent="0.3">
      <c r="A1013" s="2910" t="s">
        <v>3187</v>
      </c>
      <c r="B1013" s="2774" t="s">
        <v>3356</v>
      </c>
      <c r="C1013" s="2311" t="s">
        <v>3368</v>
      </c>
      <c r="D1013" s="2755"/>
      <c r="E1013" s="2914"/>
      <c r="F1013" s="2584">
        <v>1600000000</v>
      </c>
    </row>
    <row r="1014" spans="1:6" x14ac:dyDescent="0.3">
      <c r="A1014" s="2910" t="s">
        <v>3188</v>
      </c>
      <c r="B1014" s="2774" t="s">
        <v>3343</v>
      </c>
      <c r="C1014" s="2311" t="s">
        <v>3368</v>
      </c>
      <c r="D1014" s="2755"/>
      <c r="E1014" s="2914"/>
      <c r="F1014" s="2584">
        <v>1100000000</v>
      </c>
    </row>
    <row r="1015" spans="1:6" x14ac:dyDescent="0.3">
      <c r="A1015" s="2910" t="s">
        <v>3189</v>
      </c>
      <c r="B1015" s="2774" t="s">
        <v>3342</v>
      </c>
      <c r="C1015" s="2311" t="s">
        <v>3368</v>
      </c>
      <c r="D1015" s="2755"/>
      <c r="E1015" s="2914"/>
      <c r="F1015" s="2584">
        <v>1600000000</v>
      </c>
    </row>
    <row r="1016" spans="1:6" x14ac:dyDescent="0.3">
      <c r="A1016" s="2910" t="s">
        <v>3190</v>
      </c>
      <c r="B1016" s="2774" t="s">
        <v>3341</v>
      </c>
      <c r="C1016" s="2774" t="s">
        <v>3198</v>
      </c>
      <c r="D1016" s="2755"/>
      <c r="E1016" s="2914"/>
      <c r="F1016" s="2584">
        <v>1100000000</v>
      </c>
    </row>
    <row r="1017" spans="1:6" x14ac:dyDescent="0.3">
      <c r="A1017" s="2910" t="s">
        <v>3191</v>
      </c>
      <c r="B1017" s="2774" t="s">
        <v>3340</v>
      </c>
      <c r="C1017" s="2774" t="s">
        <v>3198</v>
      </c>
      <c r="D1017" s="2755"/>
      <c r="E1017" s="2914"/>
      <c r="F1017" s="2584">
        <v>600000000</v>
      </c>
    </row>
    <row r="1018" spans="1:6" x14ac:dyDescent="0.3">
      <c r="A1018" s="2910" t="s">
        <v>3192</v>
      </c>
      <c r="B1018" s="2774" t="s">
        <v>3339</v>
      </c>
      <c r="C1018" s="2774" t="s">
        <v>3198</v>
      </c>
      <c r="D1018" s="2755"/>
      <c r="E1018" s="2914"/>
      <c r="F1018" s="2584">
        <v>500000000</v>
      </c>
    </row>
    <row r="1019" spans="1:6" x14ac:dyDescent="0.3">
      <c r="A1019" s="2910" t="s">
        <v>3193</v>
      </c>
      <c r="B1019" s="2774" t="s">
        <v>4281</v>
      </c>
      <c r="C1019" s="2774" t="s">
        <v>3198</v>
      </c>
      <c r="D1019" s="2755"/>
      <c r="E1019" s="2915"/>
      <c r="F1019" s="2584">
        <v>4600000000</v>
      </c>
    </row>
    <row r="1020" spans="1:6" x14ac:dyDescent="0.3">
      <c r="A1020" s="2910" t="s">
        <v>3194</v>
      </c>
      <c r="B1020" s="2774" t="s">
        <v>3338</v>
      </c>
      <c r="C1020" s="2774" t="s">
        <v>3368</v>
      </c>
      <c r="D1020" s="2755"/>
      <c r="E1020" s="2914"/>
      <c r="F1020" s="2584">
        <v>3000000000</v>
      </c>
    </row>
    <row r="1021" spans="1:6" x14ac:dyDescent="0.3">
      <c r="A1021" s="2910" t="s">
        <v>3195</v>
      </c>
      <c r="B1021" s="2774" t="s">
        <v>3051</v>
      </c>
      <c r="C1021" s="2774" t="s">
        <v>3198</v>
      </c>
      <c r="D1021" s="2755"/>
      <c r="E1021" s="2914"/>
      <c r="F1021" s="2667">
        <v>0</v>
      </c>
    </row>
    <row r="1022" spans="1:6" x14ac:dyDescent="0.3">
      <c r="A1022" s="2582" t="s">
        <v>3196</v>
      </c>
      <c r="B1022" s="2774" t="s">
        <v>3071</v>
      </c>
      <c r="C1022" s="2774" t="s">
        <v>3198</v>
      </c>
      <c r="D1022" s="2755"/>
      <c r="E1022" s="2914"/>
      <c r="F1022" s="2584">
        <v>200000000</v>
      </c>
    </row>
    <row r="1023" spans="1:6" x14ac:dyDescent="0.3">
      <c r="A1023" s="2562"/>
      <c r="B1023" s="1981"/>
      <c r="C1023" s="1981"/>
      <c r="D1023" s="2584"/>
      <c r="E1023" s="2584"/>
      <c r="F1023" s="2584"/>
    </row>
    <row r="1024" spans="1:6" ht="19.5" thickBot="1" x14ac:dyDescent="0.35">
      <c r="A1024" s="2916"/>
      <c r="B1024" s="2566" t="s">
        <v>2530</v>
      </c>
      <c r="C1024" s="2566"/>
      <c r="D1024" s="2813">
        <f>SUM(D974,D979)</f>
        <v>14361158790</v>
      </c>
      <c r="E1024" s="2813">
        <f>SUM(E974,E979)</f>
        <v>2490548639.1500001</v>
      </c>
      <c r="F1024" s="2813">
        <f>SUM(F974,F979)</f>
        <v>40706031489</v>
      </c>
    </row>
    <row r="1025" spans="1:6" x14ac:dyDescent="0.3">
      <c r="A1025" s="2596"/>
      <c r="B1025" s="2577"/>
      <c r="C1025" s="2577"/>
      <c r="D1025" s="2578"/>
      <c r="E1025" s="2578"/>
      <c r="F1025" s="2578"/>
    </row>
    <row r="1026" spans="1:6" x14ac:dyDescent="0.3">
      <c r="A1026" s="2917"/>
      <c r="B1026" s="2918"/>
      <c r="C1026" s="2918"/>
      <c r="D1026" s="2919"/>
      <c r="E1026" s="2681"/>
      <c r="F1026" s="2919"/>
    </row>
    <row r="1027" spans="1:6" s="2775" customFormat="1" x14ac:dyDescent="0.3">
      <c r="A1027" s="2596"/>
      <c r="B1027" s="2577"/>
      <c r="C1027" s="2577"/>
      <c r="D1027" s="2578"/>
      <c r="E1027" s="2578"/>
      <c r="F1027" s="2578"/>
    </row>
    <row r="1028" spans="1:6" x14ac:dyDescent="0.3">
      <c r="A1028" s="3517" t="s">
        <v>80</v>
      </c>
      <c r="B1028" s="3517"/>
      <c r="C1028" s="3517"/>
      <c r="D1028" s="3517"/>
      <c r="E1028" s="3517"/>
      <c r="F1028" s="3517"/>
    </row>
    <row r="1029" spans="1:6" ht="19.5" thickBot="1" x14ac:dyDescent="0.35">
      <c r="A1029" s="3516" t="s">
        <v>1461</v>
      </c>
      <c r="B1029" s="3516"/>
      <c r="C1029" s="3516"/>
      <c r="D1029" s="3516"/>
      <c r="E1029" s="3516"/>
      <c r="F1029" s="3516"/>
    </row>
    <row r="1030" spans="1:6" s="2549" customFormat="1" ht="57" thickBot="1" x14ac:dyDescent="0.25">
      <c r="A1030" s="2548" t="s">
        <v>1</v>
      </c>
      <c r="B1030" s="2290" t="s">
        <v>282</v>
      </c>
      <c r="C1030" s="2548" t="s">
        <v>3197</v>
      </c>
      <c r="D1030" s="2292" t="s">
        <v>1174</v>
      </c>
      <c r="E1030" s="2292" t="s">
        <v>1145</v>
      </c>
      <c r="F1030" s="2292" t="s">
        <v>3096</v>
      </c>
    </row>
    <row r="1031" spans="1:6" s="2599" customFormat="1" x14ac:dyDescent="0.3">
      <c r="A1031" s="2630">
        <v>32000000</v>
      </c>
      <c r="B1031" s="2726" t="s">
        <v>462</v>
      </c>
      <c r="C1031" s="2726"/>
      <c r="D1031" s="2552"/>
      <c r="E1031" s="2552"/>
      <c r="F1031" s="2552"/>
    </row>
    <row r="1032" spans="1:6" x14ac:dyDescent="0.3">
      <c r="A1032" s="170">
        <v>32010200</v>
      </c>
      <c r="B1032" s="2557" t="s">
        <v>465</v>
      </c>
      <c r="C1032" s="2558"/>
      <c r="D1032" s="2559"/>
      <c r="E1032" s="2559"/>
      <c r="F1032" s="2559"/>
    </row>
    <row r="1033" spans="1:6" x14ac:dyDescent="0.3">
      <c r="A1033" s="170">
        <v>32010202</v>
      </c>
      <c r="B1033" s="2557" t="s">
        <v>3199</v>
      </c>
      <c r="C1033" s="2558"/>
      <c r="D1033" s="2560">
        <f>SUM(D1034:D1047)</f>
        <v>1244033120</v>
      </c>
      <c r="E1033" s="2560">
        <f>SUM(E1034:E1047)</f>
        <v>476652849</v>
      </c>
      <c r="F1033" s="2560">
        <f>SUM(F1034:F1047)</f>
        <v>3267966027</v>
      </c>
    </row>
    <row r="1034" spans="1:6" ht="20.100000000000001" customHeight="1" x14ac:dyDescent="0.3">
      <c r="A1034" s="2920" t="s">
        <v>3214</v>
      </c>
      <c r="B1034" s="2728" t="s">
        <v>1244</v>
      </c>
      <c r="C1034" s="1981"/>
      <c r="D1034" s="2755">
        <v>200000000</v>
      </c>
      <c r="E1034" s="2584">
        <v>73029466</v>
      </c>
      <c r="F1034" s="2584">
        <v>473000000</v>
      </c>
    </row>
    <row r="1035" spans="1:6" ht="20.100000000000001" customHeight="1" x14ac:dyDescent="0.3">
      <c r="A1035" s="2920" t="s">
        <v>3215</v>
      </c>
      <c r="B1035" s="2728" t="s">
        <v>1245</v>
      </c>
      <c r="C1035" s="1981"/>
      <c r="D1035" s="2755">
        <v>200000000</v>
      </c>
      <c r="E1035" s="2584">
        <v>92416923</v>
      </c>
      <c r="F1035" s="2584">
        <v>298589940</v>
      </c>
    </row>
    <row r="1036" spans="1:6" ht="20.100000000000001" customHeight="1" x14ac:dyDescent="0.3">
      <c r="A1036" s="2920" t="s">
        <v>3216</v>
      </c>
      <c r="B1036" s="2728" t="s">
        <v>1246</v>
      </c>
      <c r="C1036" s="1981"/>
      <c r="D1036" s="2755">
        <v>504033120</v>
      </c>
      <c r="E1036" s="2584">
        <v>108706460</v>
      </c>
      <c r="F1036" s="2584">
        <v>648072095</v>
      </c>
    </row>
    <row r="1037" spans="1:6" ht="20.100000000000001" customHeight="1" x14ac:dyDescent="0.3">
      <c r="A1037" s="2920" t="s">
        <v>3217</v>
      </c>
      <c r="B1037" s="2728" t="s">
        <v>881</v>
      </c>
      <c r="C1037" s="1981"/>
      <c r="D1037" s="2755">
        <v>100000000</v>
      </c>
      <c r="E1037" s="2584">
        <v>42500000</v>
      </c>
      <c r="F1037" s="2584">
        <v>150000000</v>
      </c>
    </row>
    <row r="1038" spans="1:6" ht="20.100000000000001" customHeight="1" x14ac:dyDescent="0.3">
      <c r="A1038" s="2920" t="s">
        <v>3218</v>
      </c>
      <c r="B1038" s="2921" t="s">
        <v>1985</v>
      </c>
      <c r="C1038" s="1981"/>
      <c r="D1038" s="2755">
        <v>0</v>
      </c>
      <c r="E1038" s="2584">
        <v>0</v>
      </c>
      <c r="F1038" s="2584">
        <v>55000000</v>
      </c>
    </row>
    <row r="1039" spans="1:6" ht="20.100000000000001" customHeight="1" x14ac:dyDescent="0.3">
      <c r="A1039" s="2920" t="s">
        <v>3219</v>
      </c>
      <c r="B1039" s="2921" t="s">
        <v>1986</v>
      </c>
      <c r="C1039" s="1981"/>
      <c r="D1039" s="2755">
        <v>0</v>
      </c>
      <c r="E1039" s="2584">
        <v>0</v>
      </c>
      <c r="F1039" s="2584">
        <v>300000000</v>
      </c>
    </row>
    <row r="1040" spans="1:6" ht="20.100000000000001" customHeight="1" x14ac:dyDescent="0.3">
      <c r="A1040" s="2920" t="s">
        <v>3220</v>
      </c>
      <c r="B1040" s="2921" t="s">
        <v>1987</v>
      </c>
      <c r="C1040" s="1981"/>
      <c r="D1040" s="2755">
        <v>0</v>
      </c>
      <c r="E1040" s="2584">
        <v>0</v>
      </c>
      <c r="F1040" s="2584">
        <v>68375492</v>
      </c>
    </row>
    <row r="1041" spans="1:7" ht="20.100000000000001" customHeight="1" x14ac:dyDescent="0.3">
      <c r="A1041" s="2920" t="s">
        <v>3221</v>
      </c>
      <c r="B1041" s="2728" t="s">
        <v>3040</v>
      </c>
      <c r="C1041" s="1981"/>
      <c r="D1041" s="2755">
        <v>120000000</v>
      </c>
      <c r="E1041" s="2584">
        <v>80000000</v>
      </c>
      <c r="F1041" s="2584">
        <v>612000000</v>
      </c>
    </row>
    <row r="1042" spans="1:7" ht="20.100000000000001" customHeight="1" x14ac:dyDescent="0.3">
      <c r="A1042" s="2920" t="s">
        <v>3222</v>
      </c>
      <c r="B1042" s="2728" t="s">
        <v>2544</v>
      </c>
      <c r="C1042" s="2704"/>
      <c r="D1042" s="2755">
        <v>120000000</v>
      </c>
      <c r="E1042" s="2584">
        <v>80000000</v>
      </c>
      <c r="F1042" s="2584">
        <v>240000000</v>
      </c>
    </row>
    <row r="1043" spans="1:7" ht="20.100000000000001" customHeight="1" x14ac:dyDescent="0.3">
      <c r="A1043" s="2920" t="s">
        <v>3223</v>
      </c>
      <c r="B1043" s="2728" t="s">
        <v>3041</v>
      </c>
      <c r="C1043" s="2704" t="s">
        <v>3198</v>
      </c>
      <c r="D1043" s="2755"/>
      <c r="E1043" s="2584"/>
      <c r="F1043" s="2584">
        <v>135928500</v>
      </c>
    </row>
    <row r="1044" spans="1:7" ht="20.100000000000001" customHeight="1" x14ac:dyDescent="0.3">
      <c r="A1044" s="2920" t="s">
        <v>3224</v>
      </c>
      <c r="B1044" s="2728" t="s">
        <v>3007</v>
      </c>
      <c r="C1044" s="2704" t="s">
        <v>3198</v>
      </c>
      <c r="D1044" s="2755"/>
      <c r="E1044" s="2584"/>
      <c r="F1044" s="2584">
        <v>137000000</v>
      </c>
    </row>
    <row r="1045" spans="1:7" ht="20.100000000000001" customHeight="1" x14ac:dyDescent="0.3">
      <c r="A1045" s="2920" t="s">
        <v>3225</v>
      </c>
      <c r="B1045" s="2728" t="s">
        <v>3072</v>
      </c>
      <c r="C1045" s="2704" t="s">
        <v>3198</v>
      </c>
      <c r="D1045" s="2755"/>
      <c r="E1045" s="2584"/>
      <c r="F1045" s="2584">
        <v>40000000</v>
      </c>
    </row>
    <row r="1046" spans="1:7" ht="20.100000000000001" customHeight="1" x14ac:dyDescent="0.3">
      <c r="A1046" s="2920" t="s">
        <v>3226</v>
      </c>
      <c r="B1046" s="2728" t="s">
        <v>3073</v>
      </c>
      <c r="C1046" s="2704" t="s">
        <v>3198</v>
      </c>
      <c r="D1046" s="2755"/>
      <c r="E1046" s="2584"/>
      <c r="F1046" s="2584">
        <v>60000000</v>
      </c>
    </row>
    <row r="1047" spans="1:7" ht="20.100000000000001" customHeight="1" x14ac:dyDescent="0.3">
      <c r="A1047" s="2920" t="s">
        <v>3227</v>
      </c>
      <c r="B1047" s="1981" t="s">
        <v>3076</v>
      </c>
      <c r="C1047" s="2704" t="s">
        <v>3198</v>
      </c>
      <c r="D1047" s="2757"/>
      <c r="E1047" s="2584"/>
      <c r="F1047" s="2584">
        <v>50000000</v>
      </c>
    </row>
    <row r="1048" spans="1:7" ht="20.100000000000001" customHeight="1" x14ac:dyDescent="0.3">
      <c r="A1048" s="170">
        <v>32010207</v>
      </c>
      <c r="B1048" s="2558" t="s">
        <v>3202</v>
      </c>
      <c r="C1048" s="2558"/>
      <c r="D1048" s="3070">
        <f>SUM(D1049)</f>
        <v>252160000</v>
      </c>
      <c r="E1048" s="2585">
        <f t="shared" ref="E1048:F1048" si="67">SUM(E1049)</f>
        <v>176722837.56999999</v>
      </c>
      <c r="F1048" s="2585">
        <f t="shared" si="67"/>
        <v>300000000</v>
      </c>
      <c r="G1048" s="2833"/>
    </row>
    <row r="1049" spans="1:7" ht="20.100000000000001" customHeight="1" x14ac:dyDescent="0.3">
      <c r="A1049" s="2920" t="s">
        <v>3228</v>
      </c>
      <c r="B1049" s="1981" t="s">
        <v>1988</v>
      </c>
      <c r="C1049" s="1981"/>
      <c r="D1049" s="2757">
        <v>252160000</v>
      </c>
      <c r="E1049" s="2584">
        <v>176722837.56999999</v>
      </c>
      <c r="F1049" s="2584">
        <v>300000000</v>
      </c>
      <c r="G1049" s="2922">
        <f>SUM(D1049:F1049)</f>
        <v>728882837.56999993</v>
      </c>
    </row>
    <row r="1050" spans="1:7" ht="20.100000000000001" customHeight="1" x14ac:dyDescent="0.3">
      <c r="A1050" s="170">
        <v>32010300</v>
      </c>
      <c r="B1050" s="2558" t="s">
        <v>466</v>
      </c>
      <c r="C1050" s="2558"/>
      <c r="D1050" s="2757"/>
      <c r="E1050" s="2559"/>
      <c r="F1050" s="2584"/>
    </row>
    <row r="1051" spans="1:7" ht="20.100000000000001" customHeight="1" x14ac:dyDescent="0.3">
      <c r="A1051" s="170">
        <v>32010305</v>
      </c>
      <c r="B1051" s="2558" t="s">
        <v>3206</v>
      </c>
      <c r="C1051" s="2558"/>
      <c r="D1051" s="3070">
        <f>SUM(D1052:D1053)</f>
        <v>30700000</v>
      </c>
      <c r="E1051" s="2585">
        <f>SUM(E1052:E1053)</f>
        <v>0</v>
      </c>
      <c r="F1051" s="2585">
        <f>SUM(F1052:F1053)</f>
        <v>290000000</v>
      </c>
    </row>
    <row r="1052" spans="1:7" ht="20.100000000000001" customHeight="1" x14ac:dyDescent="0.3">
      <c r="A1052" s="2920" t="s">
        <v>3229</v>
      </c>
      <c r="B1052" s="2669" t="s">
        <v>1989</v>
      </c>
      <c r="C1052" s="2669"/>
      <c r="D1052" s="2757">
        <v>0</v>
      </c>
      <c r="E1052" s="2559"/>
      <c r="F1052" s="2584">
        <v>240000000</v>
      </c>
    </row>
    <row r="1053" spans="1:7" ht="20.100000000000001" customHeight="1" x14ac:dyDescent="0.3">
      <c r="A1053" s="2920" t="s">
        <v>3230</v>
      </c>
      <c r="B1053" s="1981" t="s">
        <v>882</v>
      </c>
      <c r="C1053" s="1981"/>
      <c r="D1053" s="2757">
        <v>30700000</v>
      </c>
      <c r="E1053" s="2584"/>
      <c r="F1053" s="2584">
        <v>50000000</v>
      </c>
    </row>
    <row r="1054" spans="1:7" ht="20.100000000000001" customHeight="1" thickBot="1" x14ac:dyDescent="0.35">
      <c r="A1054" s="2562"/>
      <c r="B1054" s="1981"/>
      <c r="C1054" s="1981"/>
      <c r="D1054" s="2819"/>
      <c r="E1054" s="2677"/>
      <c r="F1054" s="2612"/>
    </row>
    <row r="1055" spans="1:7" ht="20.100000000000001" customHeight="1" thickBot="1" x14ac:dyDescent="0.35">
      <c r="A1055" s="2562"/>
      <c r="B1055" s="2566" t="s">
        <v>1033</v>
      </c>
      <c r="C1055" s="2566"/>
      <c r="D1055" s="2739">
        <f>SUM(D1033,D1048,D1051)</f>
        <v>1526893120</v>
      </c>
      <c r="E1055" s="2595">
        <f>SUM(E1033,E1048,E1051)</f>
        <v>653375686.56999993</v>
      </c>
      <c r="F1055" s="2595">
        <f>SUM(F1033,F1048,F1051)</f>
        <v>3857966027</v>
      </c>
    </row>
    <row r="1056" spans="1:7" x14ac:dyDescent="0.3">
      <c r="A1056" s="2576"/>
      <c r="B1056" s="2577"/>
      <c r="C1056" s="2577"/>
      <c r="D1056" s="2578"/>
      <c r="E1056" s="2578"/>
      <c r="F1056" s="2578"/>
    </row>
    <row r="1057" spans="1:6" x14ac:dyDescent="0.3">
      <c r="A1057" s="2576"/>
      <c r="B1057" s="2577"/>
      <c r="C1057" s="2577"/>
      <c r="D1057" s="2578"/>
      <c r="E1057" s="2578"/>
      <c r="F1057" s="2578"/>
    </row>
    <row r="1058" spans="1:6" x14ac:dyDescent="0.3">
      <c r="A1058" s="3517" t="s">
        <v>80</v>
      </c>
      <c r="B1058" s="3517"/>
      <c r="C1058" s="3517"/>
      <c r="D1058" s="3517"/>
      <c r="E1058" s="3517"/>
      <c r="F1058" s="3517"/>
    </row>
    <row r="1059" spans="1:6" ht="19.5" thickBot="1" x14ac:dyDescent="0.35">
      <c r="A1059" s="3516" t="s">
        <v>1242</v>
      </c>
      <c r="B1059" s="3516"/>
      <c r="C1059" s="3516"/>
      <c r="D1059" s="3516"/>
      <c r="E1059" s="3516"/>
      <c r="F1059" s="3516"/>
    </row>
    <row r="1060" spans="1:6" s="2549" customFormat="1" ht="57" thickBot="1" x14ac:dyDescent="0.25">
      <c r="A1060" s="2290" t="s">
        <v>1</v>
      </c>
      <c r="B1060" s="2290" t="s">
        <v>282</v>
      </c>
      <c r="C1060" s="2548" t="s">
        <v>3197</v>
      </c>
      <c r="D1060" s="2292" t="s">
        <v>1174</v>
      </c>
      <c r="E1060" s="2292" t="s">
        <v>1145</v>
      </c>
      <c r="F1060" s="2292" t="s">
        <v>3096</v>
      </c>
    </row>
    <row r="1061" spans="1:6" s="2599" customFormat="1" x14ac:dyDescent="0.3">
      <c r="A1061" s="2630">
        <v>32000000</v>
      </c>
      <c r="B1061" s="2631" t="s">
        <v>462</v>
      </c>
      <c r="C1061" s="2631"/>
      <c r="D1061" s="2552"/>
      <c r="E1061" s="2552"/>
      <c r="F1061" s="2552"/>
    </row>
    <row r="1062" spans="1:6" x14ac:dyDescent="0.3">
      <c r="A1062" s="170">
        <v>32010000</v>
      </c>
      <c r="B1062" s="2558" t="s">
        <v>463</v>
      </c>
      <c r="C1062" s="2558"/>
      <c r="D1062" s="2559"/>
      <c r="E1062" s="2559"/>
      <c r="F1062" s="2559"/>
    </row>
    <row r="1063" spans="1:6" x14ac:dyDescent="0.3">
      <c r="A1063" s="170">
        <v>32010100</v>
      </c>
      <c r="B1063" s="2703" t="s">
        <v>464</v>
      </c>
      <c r="C1063" s="2558"/>
      <c r="D1063" s="2559"/>
      <c r="E1063" s="2559"/>
      <c r="F1063" s="2559"/>
    </row>
    <row r="1064" spans="1:6" x14ac:dyDescent="0.3">
      <c r="A1064" s="170">
        <v>32010102</v>
      </c>
      <c r="B1064" s="2703" t="s">
        <v>3213</v>
      </c>
      <c r="C1064" s="2558"/>
      <c r="D1064" s="2560">
        <f>D1068</f>
        <v>1409918855</v>
      </c>
      <c r="E1064" s="2560">
        <f>E1068</f>
        <v>327657395.99000001</v>
      </c>
      <c r="F1064" s="2560">
        <f>F1068</f>
        <v>1082261459</v>
      </c>
    </row>
    <row r="1065" spans="1:6" x14ac:dyDescent="0.3">
      <c r="A1065" s="2704" t="s">
        <v>3231</v>
      </c>
      <c r="B1065" s="1981" t="s">
        <v>1243</v>
      </c>
      <c r="C1065" s="1981" t="s">
        <v>3368</v>
      </c>
      <c r="D1065" s="2584">
        <v>1409918855</v>
      </c>
      <c r="E1065" s="2710">
        <v>327657395.99000001</v>
      </c>
      <c r="F1065" s="2924">
        <v>1082261459</v>
      </c>
    </row>
    <row r="1066" spans="1:6" x14ac:dyDescent="0.3">
      <c r="A1066" s="2621" t="s">
        <v>3232</v>
      </c>
      <c r="B1066" s="1981" t="s">
        <v>3047</v>
      </c>
      <c r="C1066" s="1981" t="s">
        <v>3198</v>
      </c>
      <c r="D1066" s="2584"/>
      <c r="E1066" s="2710"/>
      <c r="F1066" s="2748">
        <v>0</v>
      </c>
    </row>
    <row r="1067" spans="1:6" ht="19.5" thickBot="1" x14ac:dyDescent="0.35">
      <c r="A1067" s="2621"/>
      <c r="B1067" s="1981"/>
      <c r="C1067" s="1981"/>
      <c r="D1067" s="2612"/>
      <c r="E1067" s="2925"/>
      <c r="F1067" s="2926"/>
    </row>
    <row r="1068" spans="1:6" ht="19.5" thickBot="1" x14ac:dyDescent="0.35">
      <c r="A1068" s="2766"/>
      <c r="B1068" s="2927" t="s">
        <v>2614</v>
      </c>
      <c r="C1068" s="2928"/>
      <c r="D1068" s="2735">
        <f>SUM(D1065:D1066)</f>
        <v>1409918855</v>
      </c>
      <c r="E1068" s="2835">
        <f>SUM(E1065:E1066)</f>
        <v>327657395.99000001</v>
      </c>
      <c r="F1068" s="2835">
        <f>SUM(F1065:F1066)</f>
        <v>1082261459</v>
      </c>
    </row>
    <row r="1070" spans="1:6" x14ac:dyDescent="0.3">
      <c r="A1070" s="3517" t="s">
        <v>80</v>
      </c>
      <c r="B1070" s="3517"/>
      <c r="C1070" s="3517"/>
      <c r="D1070" s="3517"/>
      <c r="E1070" s="3517"/>
      <c r="F1070" s="3517"/>
    </row>
    <row r="1071" spans="1:6" ht="19.5" thickBot="1" x14ac:dyDescent="0.35">
      <c r="A1071" s="3516" t="s">
        <v>141</v>
      </c>
      <c r="B1071" s="3516"/>
      <c r="C1071" s="3516"/>
      <c r="D1071" s="3516"/>
      <c r="E1071" s="3516"/>
      <c r="F1071" s="3516"/>
    </row>
    <row r="1072" spans="1:6" s="2549" customFormat="1" ht="57" thickBot="1" x14ac:dyDescent="0.25">
      <c r="A1072" s="2548" t="s">
        <v>1</v>
      </c>
      <c r="B1072" s="2290" t="s">
        <v>282</v>
      </c>
      <c r="C1072" s="2548" t="s">
        <v>3197</v>
      </c>
      <c r="D1072" s="2292" t="s">
        <v>1174</v>
      </c>
      <c r="E1072" s="2292" t="s">
        <v>1145</v>
      </c>
      <c r="F1072" s="2292" t="s">
        <v>3096</v>
      </c>
    </row>
    <row r="1073" spans="1:6" s="2599" customFormat="1" x14ac:dyDescent="0.3">
      <c r="A1073" s="2630">
        <v>32000000</v>
      </c>
      <c r="B1073" s="2726" t="s">
        <v>462</v>
      </c>
      <c r="C1073" s="2726"/>
      <c r="D1073" s="2773"/>
      <c r="E1073" s="2634"/>
      <c r="F1073" s="2552"/>
    </row>
    <row r="1074" spans="1:6" x14ac:dyDescent="0.3">
      <c r="A1074" s="170">
        <v>32010200</v>
      </c>
      <c r="B1074" s="2558" t="s">
        <v>465</v>
      </c>
      <c r="C1074" s="2558"/>
      <c r="D1074" s="2764"/>
      <c r="E1074" s="2559"/>
      <c r="F1074" s="2559"/>
    </row>
    <row r="1075" spans="1:6" x14ac:dyDescent="0.3">
      <c r="A1075" s="170">
        <v>32010208</v>
      </c>
      <c r="B1075" s="2566" t="s">
        <v>3702</v>
      </c>
      <c r="C1075" s="1981"/>
      <c r="D1075" s="2600">
        <f>SUM(D1076:D1082)</f>
        <v>2100000000</v>
      </c>
      <c r="E1075" s="2600">
        <f>SUM(E1076:E1082)</f>
        <v>268208134.97999999</v>
      </c>
      <c r="F1075" s="2600">
        <f>SUM(F1076:F1082)</f>
        <v>3335000000</v>
      </c>
    </row>
    <row r="1076" spans="1:6" x14ac:dyDescent="0.3">
      <c r="A1076" s="2562" t="s">
        <v>3725</v>
      </c>
      <c r="B1076" s="1981" t="s">
        <v>1952</v>
      </c>
      <c r="C1076" s="1981"/>
      <c r="D1076" s="2755">
        <v>1300000000</v>
      </c>
      <c r="E1076" s="2584"/>
      <c r="F1076" s="2584">
        <v>300000000</v>
      </c>
    </row>
    <row r="1077" spans="1:6" x14ac:dyDescent="0.3">
      <c r="A1077" s="2562" t="s">
        <v>3726</v>
      </c>
      <c r="B1077" s="1981" t="s">
        <v>1953</v>
      </c>
      <c r="C1077" s="1981"/>
      <c r="D1077" s="2755"/>
      <c r="E1077" s="2584"/>
      <c r="F1077" s="2584">
        <v>2300000000</v>
      </c>
    </row>
    <row r="1078" spans="1:6" x14ac:dyDescent="0.3">
      <c r="A1078" s="2562" t="s">
        <v>3727</v>
      </c>
      <c r="B1078" s="1981" t="s">
        <v>1955</v>
      </c>
      <c r="C1078" s="1981"/>
      <c r="D1078" s="2755">
        <v>500000000</v>
      </c>
      <c r="E1078" s="2584">
        <v>268208134.97999999</v>
      </c>
      <c r="F1078" s="2667">
        <v>0</v>
      </c>
    </row>
    <row r="1079" spans="1:6" x14ac:dyDescent="0.3">
      <c r="A1079" s="2562" t="s">
        <v>3728</v>
      </c>
      <c r="B1079" s="1981" t="s">
        <v>1956</v>
      </c>
      <c r="C1079" s="1981"/>
      <c r="D1079" s="2929">
        <v>100000000</v>
      </c>
      <c r="E1079" s="2584"/>
      <c r="F1079" s="2584">
        <v>400000000</v>
      </c>
    </row>
    <row r="1080" spans="1:6" x14ac:dyDescent="0.3">
      <c r="A1080" s="2562" t="s">
        <v>3729</v>
      </c>
      <c r="B1080" s="2563" t="s">
        <v>890</v>
      </c>
      <c r="C1080" s="1981"/>
      <c r="D1080" s="2929">
        <v>200000000</v>
      </c>
      <c r="E1080" s="2584"/>
      <c r="F1080" s="2584">
        <v>200000000</v>
      </c>
    </row>
    <row r="1081" spans="1:6" x14ac:dyDescent="0.3">
      <c r="A1081" s="2562" t="s">
        <v>3730</v>
      </c>
      <c r="B1081" s="1981" t="s">
        <v>2655</v>
      </c>
      <c r="C1081" s="1981"/>
      <c r="D1081" s="2929"/>
      <c r="E1081" s="2584"/>
      <c r="F1081" s="2584">
        <v>40000000</v>
      </c>
    </row>
    <row r="1082" spans="1:6" x14ac:dyDescent="0.3">
      <c r="A1082" s="2562" t="s">
        <v>3731</v>
      </c>
      <c r="B1082" s="1981" t="s">
        <v>2656</v>
      </c>
      <c r="C1082" s="1981"/>
      <c r="D1082" s="2929"/>
      <c r="E1082" s="2584"/>
      <c r="F1082" s="2584">
        <v>95000000</v>
      </c>
    </row>
    <row r="1083" spans="1:6" x14ac:dyDescent="0.3">
      <c r="A1083" s="170">
        <v>32010210</v>
      </c>
      <c r="B1083" s="2558" t="s">
        <v>3551</v>
      </c>
      <c r="C1083" s="2558"/>
      <c r="D1083" s="2930">
        <f>SUM(D1084:D1089)</f>
        <v>3376000000</v>
      </c>
      <c r="E1083" s="2930">
        <f>SUM(E1084:E1089)</f>
        <v>700941845</v>
      </c>
      <c r="F1083" s="2930">
        <f>SUM(F1084:F1089)</f>
        <v>11876000000</v>
      </c>
    </row>
    <row r="1084" spans="1:6" x14ac:dyDescent="0.3">
      <c r="A1084" s="2562" t="s">
        <v>3732</v>
      </c>
      <c r="B1084" s="1981" t="s">
        <v>1950</v>
      </c>
      <c r="C1084" s="1981"/>
      <c r="D1084" s="2755">
        <v>2076000000</v>
      </c>
      <c r="E1084" s="2584"/>
      <c r="F1084" s="2584">
        <v>3676000000</v>
      </c>
    </row>
    <row r="1085" spans="1:6" x14ac:dyDescent="0.3">
      <c r="A1085" s="2562" t="s">
        <v>3733</v>
      </c>
      <c r="B1085" s="2587" t="s">
        <v>2860</v>
      </c>
      <c r="C1085" s="2587"/>
      <c r="D1085" s="2755"/>
      <c r="E1085" s="2584"/>
      <c r="F1085" s="2584">
        <v>5000000000</v>
      </c>
    </row>
    <row r="1086" spans="1:6" x14ac:dyDescent="0.3">
      <c r="A1086" s="2562" t="s">
        <v>3734</v>
      </c>
      <c r="B1086" s="2311" t="s">
        <v>2861</v>
      </c>
      <c r="C1086" s="2311"/>
      <c r="D1086" s="2905"/>
      <c r="E1086" s="2710"/>
      <c r="F1086" s="2710">
        <v>1000000000</v>
      </c>
    </row>
    <row r="1087" spans="1:6" x14ac:dyDescent="0.3">
      <c r="A1087" s="2562" t="s">
        <v>3735</v>
      </c>
      <c r="B1087" s="1981" t="s">
        <v>889</v>
      </c>
      <c r="C1087" s="1981"/>
      <c r="D1087" s="2755">
        <v>1300000000</v>
      </c>
      <c r="E1087" s="2584">
        <v>700941845</v>
      </c>
      <c r="F1087" s="2584">
        <v>1200000000</v>
      </c>
    </row>
    <row r="1088" spans="1:6" x14ac:dyDescent="0.3">
      <c r="A1088" s="2562" t="s">
        <v>3736</v>
      </c>
      <c r="B1088" s="1981" t="s">
        <v>1951</v>
      </c>
      <c r="C1088" s="1981"/>
      <c r="D1088" s="2755"/>
      <c r="E1088" s="2584"/>
      <c r="F1088" s="2584">
        <v>500000000</v>
      </c>
    </row>
    <row r="1089" spans="1:6" x14ac:dyDescent="0.3">
      <c r="A1089" s="2562" t="s">
        <v>3737</v>
      </c>
      <c r="B1089" s="1981" t="s">
        <v>1954</v>
      </c>
      <c r="C1089" s="1981"/>
      <c r="D1089" s="2755"/>
      <c r="E1089" s="2584"/>
      <c r="F1089" s="2584">
        <v>500000000</v>
      </c>
    </row>
    <row r="1090" spans="1:6" x14ac:dyDescent="0.3">
      <c r="A1090" s="170">
        <v>32010501</v>
      </c>
      <c r="B1090" s="2558" t="s">
        <v>3639</v>
      </c>
      <c r="C1090" s="2558"/>
      <c r="D1090" s="2806">
        <f>SUM(D1091:D1091)</f>
        <v>0</v>
      </c>
      <c r="E1090" s="2560">
        <f>SUM(E1091:E1091)</f>
        <v>0</v>
      </c>
      <c r="F1090" s="2560">
        <f>SUM(F1091:F1091)</f>
        <v>10000000</v>
      </c>
    </row>
    <row r="1091" spans="1:6" x14ac:dyDescent="0.3">
      <c r="A1091" s="2562" t="s">
        <v>3738</v>
      </c>
      <c r="B1091" s="1981" t="s">
        <v>591</v>
      </c>
      <c r="C1091" s="1981"/>
      <c r="D1091" s="2755">
        <v>0</v>
      </c>
      <c r="E1091" s="2559"/>
      <c r="F1091" s="2584">
        <v>10000000</v>
      </c>
    </row>
    <row r="1092" spans="1:6" x14ac:dyDescent="0.3">
      <c r="A1092" s="170">
        <v>32010905</v>
      </c>
      <c r="B1092" s="2565" t="s">
        <v>470</v>
      </c>
      <c r="C1092" s="2566"/>
      <c r="D1092" s="2930">
        <f>SUM(D1093)</f>
        <v>1000000000</v>
      </c>
      <c r="E1092" s="2931">
        <f>SUM(E1093)</f>
        <v>265819794</v>
      </c>
      <c r="F1092" s="2931">
        <f>SUM(F1093)</f>
        <v>1200000000</v>
      </c>
    </row>
    <row r="1093" spans="1:6" x14ac:dyDescent="0.3">
      <c r="A1093" s="2562" t="s">
        <v>3739</v>
      </c>
      <c r="B1093" s="2563" t="s">
        <v>333</v>
      </c>
      <c r="C1093" s="1981"/>
      <c r="D1093" s="2929">
        <v>1000000000</v>
      </c>
      <c r="E1093" s="2584">
        <v>265819794</v>
      </c>
      <c r="F1093" s="2584">
        <v>1200000000</v>
      </c>
    </row>
    <row r="1094" spans="1:6" s="2599" customFormat="1" x14ac:dyDescent="0.3">
      <c r="A1094" s="170">
        <v>32030100</v>
      </c>
      <c r="B1094" s="2566" t="s">
        <v>472</v>
      </c>
      <c r="C1094" s="2566"/>
      <c r="D1094" s="2824"/>
      <c r="E1094" s="2665"/>
      <c r="F1094" s="2600"/>
    </row>
    <row r="1095" spans="1:6" s="2599" customFormat="1" x14ac:dyDescent="0.3">
      <c r="A1095" s="170">
        <v>32030109</v>
      </c>
      <c r="B1095" s="2566" t="s">
        <v>3517</v>
      </c>
      <c r="C1095" s="2566"/>
      <c r="D1095" s="2930">
        <f>SUM(D1096:D1097)</f>
        <v>1800000000</v>
      </c>
      <c r="E1095" s="2930">
        <f t="shared" ref="E1095" si="68">SUM(E1096:E1097)</f>
        <v>0</v>
      </c>
      <c r="F1095" s="2930">
        <f>SUM(F1096:F1098)</f>
        <v>1800000000</v>
      </c>
    </row>
    <row r="1096" spans="1:6" x14ac:dyDescent="0.3">
      <c r="A1096" s="2562" t="s">
        <v>3740</v>
      </c>
      <c r="B1096" s="1981" t="s">
        <v>1957</v>
      </c>
      <c r="C1096" s="1981"/>
      <c r="D1096" s="2755">
        <v>900000000</v>
      </c>
      <c r="E1096" s="2584"/>
      <c r="F1096" s="2584">
        <v>900000000</v>
      </c>
    </row>
    <row r="1097" spans="1:6" x14ac:dyDescent="0.3">
      <c r="A1097" s="2562" t="s">
        <v>3741</v>
      </c>
      <c r="B1097" s="1981" t="s">
        <v>1958</v>
      </c>
      <c r="C1097" s="1981"/>
      <c r="D1097" s="2755">
        <v>900000000</v>
      </c>
      <c r="E1097" s="2584"/>
      <c r="F1097" s="2584">
        <v>900000000</v>
      </c>
    </row>
    <row r="1098" spans="1:6" x14ac:dyDescent="0.3">
      <c r="A1098" s="2562" t="s">
        <v>3742</v>
      </c>
      <c r="B1098" s="1981" t="s">
        <v>3037</v>
      </c>
      <c r="C1098" s="1981"/>
      <c r="D1098" s="2755"/>
      <c r="E1098" s="2584"/>
      <c r="F1098" s="2667">
        <v>0</v>
      </c>
    </row>
    <row r="1099" spans="1:6" x14ac:dyDescent="0.3">
      <c r="A1099" s="2562"/>
      <c r="B1099" s="2566"/>
      <c r="C1099" s="2566"/>
      <c r="D1099" s="2600"/>
      <c r="E1099" s="2600"/>
      <c r="F1099" s="2600"/>
    </row>
    <row r="1100" spans="1:6" ht="19.5" thickBot="1" x14ac:dyDescent="0.35">
      <c r="A1100" s="170"/>
      <c r="B1100" s="2566" t="s">
        <v>2615</v>
      </c>
      <c r="C1100" s="2566"/>
      <c r="D1100" s="2823">
        <f>SUM(D1075,D1083,D1090,D1095,D1092)</f>
        <v>8276000000</v>
      </c>
      <c r="E1100" s="2823">
        <f>SUM(E1075,E1083,E1090,E1095,E1092)</f>
        <v>1234969773.98</v>
      </c>
      <c r="F1100" s="2823">
        <f>SUM(F1075,F1083,F1090,F1095,F1092)</f>
        <v>18221000000</v>
      </c>
    </row>
    <row r="1101" spans="1:6" x14ac:dyDescent="0.3">
      <c r="A1101" s="3517"/>
      <c r="B1101" s="3517"/>
      <c r="C1101" s="3517"/>
      <c r="D1101" s="3517"/>
      <c r="E1101" s="3517"/>
      <c r="F1101" s="3517"/>
    </row>
    <row r="1102" spans="1:6" x14ac:dyDescent="0.3">
      <c r="A1102" s="2724"/>
      <c r="B1102" s="2577"/>
      <c r="C1102" s="2577"/>
      <c r="D1102" s="2932"/>
      <c r="E1102" s="2933"/>
      <c r="F1102" s="2933"/>
    </row>
    <row r="1103" spans="1:6" x14ac:dyDescent="0.3">
      <c r="A1103" s="2724"/>
      <c r="B1103" s="2577"/>
      <c r="C1103" s="2577"/>
      <c r="D1103" s="2932"/>
      <c r="E1103" s="2933"/>
      <c r="F1103" s="2933"/>
    </row>
    <row r="1104" spans="1:6" x14ac:dyDescent="0.3">
      <c r="A1104" s="3517" t="s">
        <v>80</v>
      </c>
      <c r="B1104" s="3517"/>
      <c r="C1104" s="3517"/>
      <c r="D1104" s="3517"/>
      <c r="E1104" s="3517"/>
      <c r="F1104" s="3517"/>
    </row>
    <row r="1105" spans="1:6" ht="19.5" thickBot="1" x14ac:dyDescent="0.35">
      <c r="A1105" s="3516" t="s">
        <v>1258</v>
      </c>
      <c r="B1105" s="3516"/>
      <c r="C1105" s="3516"/>
      <c r="D1105" s="3516"/>
      <c r="E1105" s="3516"/>
      <c r="F1105" s="3516"/>
    </row>
    <row r="1106" spans="1:6" s="2549" customFormat="1" ht="57" thickBot="1" x14ac:dyDescent="0.25">
      <c r="A1106" s="2548" t="s">
        <v>1</v>
      </c>
      <c r="B1106" s="2290" t="s">
        <v>282</v>
      </c>
      <c r="C1106" s="2548" t="s">
        <v>3197</v>
      </c>
      <c r="D1106" s="2292" t="s">
        <v>1174</v>
      </c>
      <c r="E1106" s="2292" t="s">
        <v>1145</v>
      </c>
      <c r="F1106" s="2292" t="s">
        <v>3096</v>
      </c>
    </row>
    <row r="1107" spans="1:6" x14ac:dyDescent="0.3">
      <c r="A1107" s="2898">
        <v>32010200</v>
      </c>
      <c r="B1107" s="2685" t="s">
        <v>465</v>
      </c>
      <c r="C1107" s="2934"/>
      <c r="D1107" s="2935"/>
      <c r="E1107" s="2936"/>
      <c r="F1107" s="2937"/>
    </row>
    <row r="1108" spans="1:6" ht="19.5" thickBot="1" x14ac:dyDescent="0.35">
      <c r="A1108" s="2898">
        <v>32010208</v>
      </c>
      <c r="B1108" s="2685" t="s">
        <v>3702</v>
      </c>
      <c r="C1108" s="2934"/>
      <c r="D1108" s="2938">
        <f>SUM(D1109:D1129)</f>
        <v>715000000</v>
      </c>
      <c r="E1108" s="2938">
        <f>SUM(E1109:E1129)</f>
        <v>103473100.62</v>
      </c>
      <c r="F1108" s="2938">
        <f>SUM(F1109:F1129)</f>
        <v>1613601585</v>
      </c>
    </row>
    <row r="1109" spans="1:6" x14ac:dyDescent="0.3">
      <c r="A1109" s="2939" t="s">
        <v>3743</v>
      </c>
      <c r="B1109" s="2311" t="s">
        <v>1960</v>
      </c>
      <c r="C1109" s="2311"/>
      <c r="D1109" s="2905">
        <v>200000000</v>
      </c>
      <c r="E1109" s="2710">
        <v>22128711</v>
      </c>
      <c r="F1109" s="2924">
        <v>200000000</v>
      </c>
    </row>
    <row r="1110" spans="1:6" x14ac:dyDescent="0.3">
      <c r="A1110" s="2939" t="s">
        <v>3744</v>
      </c>
      <c r="B1110" s="2311" t="s">
        <v>1961</v>
      </c>
      <c r="C1110" s="2311"/>
      <c r="D1110" s="2905">
        <v>30000000</v>
      </c>
      <c r="E1110" s="2710">
        <v>13096333.449999999</v>
      </c>
      <c r="F1110" s="2924">
        <v>16903666</v>
      </c>
    </row>
    <row r="1111" spans="1:6" x14ac:dyDescent="0.3">
      <c r="A1111" s="2939" t="s">
        <v>3745</v>
      </c>
      <c r="B1111" s="2311" t="s">
        <v>1962</v>
      </c>
      <c r="C1111" s="2311"/>
      <c r="D1111" s="2905">
        <v>0</v>
      </c>
      <c r="E1111" s="2710"/>
      <c r="F1111" s="2924">
        <v>136500250</v>
      </c>
    </row>
    <row r="1112" spans="1:6" x14ac:dyDescent="0.3">
      <c r="A1112" s="2939" t="s">
        <v>3746</v>
      </c>
      <c r="B1112" s="2311" t="s">
        <v>1963</v>
      </c>
      <c r="C1112" s="2940"/>
      <c r="D1112" s="2941">
        <v>0</v>
      </c>
      <c r="F1112" s="2924">
        <v>125874300</v>
      </c>
    </row>
    <row r="1113" spans="1:6" x14ac:dyDescent="0.3">
      <c r="A1113" s="2939" t="s">
        <v>3747</v>
      </c>
      <c r="B1113" s="2311" t="s">
        <v>2540</v>
      </c>
      <c r="C1113" s="2311"/>
      <c r="D1113" s="2905">
        <v>50000000</v>
      </c>
      <c r="E1113" s="2710">
        <v>46194636.170000002</v>
      </c>
      <c r="F1113" s="2924">
        <v>47641200</v>
      </c>
    </row>
    <row r="1114" spans="1:6" x14ac:dyDescent="0.3">
      <c r="A1114" s="2939" t="s">
        <v>3748</v>
      </c>
      <c r="B1114" s="2311" t="s">
        <v>2541</v>
      </c>
      <c r="C1114" s="2311"/>
      <c r="D1114" s="2905">
        <v>65000000</v>
      </c>
      <c r="E1114" s="2710">
        <v>22053420</v>
      </c>
      <c r="F1114" s="2924">
        <v>25758000</v>
      </c>
    </row>
    <row r="1115" spans="1:6" x14ac:dyDescent="0.3">
      <c r="A1115" s="2939" t="s">
        <v>3749</v>
      </c>
      <c r="B1115" s="2311" t="s">
        <v>2542</v>
      </c>
      <c r="C1115" s="2311"/>
      <c r="D1115" s="2905">
        <v>50000000</v>
      </c>
      <c r="E1115" s="2710"/>
      <c r="F1115" s="2924">
        <v>61315500</v>
      </c>
    </row>
    <row r="1116" spans="1:6" x14ac:dyDescent="0.3">
      <c r="A1116" s="2939" t="s">
        <v>3750</v>
      </c>
      <c r="B1116" s="2311" t="s">
        <v>2543</v>
      </c>
      <c r="C1116" s="2311"/>
      <c r="D1116" s="2905">
        <v>50000000</v>
      </c>
      <c r="E1116" s="2710"/>
      <c r="F1116" s="2924">
        <v>98944440</v>
      </c>
    </row>
    <row r="1117" spans="1:6" x14ac:dyDescent="0.3">
      <c r="A1117" s="2939" t="s">
        <v>3751</v>
      </c>
      <c r="B1117" s="2311" t="s">
        <v>1964</v>
      </c>
      <c r="C1117" s="2311"/>
      <c r="D1117" s="2905">
        <v>50000000</v>
      </c>
      <c r="E1117" s="2710"/>
      <c r="F1117" s="2924">
        <v>0</v>
      </c>
    </row>
    <row r="1118" spans="1:6" x14ac:dyDescent="0.3">
      <c r="A1118" s="2939" t="s">
        <v>3752</v>
      </c>
      <c r="B1118" s="2311" t="s">
        <v>2862</v>
      </c>
      <c r="C1118" s="2311"/>
      <c r="D1118" s="2905"/>
      <c r="E1118" s="2710"/>
      <c r="F1118" s="2924">
        <v>20000000</v>
      </c>
    </row>
    <row r="1119" spans="1:6" x14ac:dyDescent="0.3">
      <c r="A1119" s="2939" t="s">
        <v>3753</v>
      </c>
      <c r="B1119" s="2311" t="s">
        <v>1965</v>
      </c>
      <c r="C1119" s="2311"/>
      <c r="D1119" s="2905">
        <v>0</v>
      </c>
      <c r="E1119" s="2710"/>
      <c r="F1119" s="2924">
        <v>13839708</v>
      </c>
    </row>
    <row r="1120" spans="1:6" x14ac:dyDescent="0.3">
      <c r="A1120" s="2939" t="s">
        <v>3754</v>
      </c>
      <c r="B1120" s="2311" t="s">
        <v>1966</v>
      </c>
      <c r="C1120" s="2311"/>
      <c r="D1120" s="2905">
        <v>0</v>
      </c>
      <c r="E1120" s="2710"/>
      <c r="F1120" s="2924">
        <v>56273300</v>
      </c>
    </row>
    <row r="1121" spans="1:6" x14ac:dyDescent="0.3">
      <c r="A1121" s="2939" t="s">
        <v>3755</v>
      </c>
      <c r="B1121" s="2311" t="s">
        <v>1967</v>
      </c>
      <c r="C1121" s="2311"/>
      <c r="D1121" s="2905">
        <v>0</v>
      </c>
      <c r="E1121" s="2710"/>
      <c r="F1121" s="2924">
        <v>28059750</v>
      </c>
    </row>
    <row r="1122" spans="1:6" x14ac:dyDescent="0.3">
      <c r="A1122" s="2939" t="s">
        <v>3756</v>
      </c>
      <c r="B1122" s="2311" t="s">
        <v>1968</v>
      </c>
      <c r="C1122" s="2311"/>
      <c r="D1122" s="2905">
        <v>50000000</v>
      </c>
      <c r="E1122" s="2710"/>
      <c r="F1122" s="2924">
        <v>53516600</v>
      </c>
    </row>
    <row r="1123" spans="1:6" x14ac:dyDescent="0.3">
      <c r="A1123" s="2939" t="s">
        <v>3757</v>
      </c>
      <c r="B1123" s="2311" t="s">
        <v>2538</v>
      </c>
      <c r="C1123" s="2311"/>
      <c r="D1123" s="2905">
        <v>50000000</v>
      </c>
      <c r="E1123" s="2710"/>
      <c r="F1123" s="2924">
        <v>81350250</v>
      </c>
    </row>
    <row r="1124" spans="1:6" x14ac:dyDescent="0.3">
      <c r="A1124" s="2939" t="s">
        <v>3758</v>
      </c>
      <c r="B1124" s="2311" t="s">
        <v>1969</v>
      </c>
      <c r="C1124" s="2311"/>
      <c r="D1124" s="2905">
        <v>70000000</v>
      </c>
      <c r="E1124" s="2710"/>
      <c r="F1124" s="2924">
        <v>59796943</v>
      </c>
    </row>
    <row r="1125" spans="1:6" x14ac:dyDescent="0.3">
      <c r="A1125" s="2939" t="s">
        <v>3759</v>
      </c>
      <c r="B1125" s="2311" t="s">
        <v>1970</v>
      </c>
      <c r="C1125" s="2311"/>
      <c r="D1125" s="2905">
        <v>0</v>
      </c>
      <c r="E1125" s="2710"/>
      <c r="F1125" s="2924">
        <v>47189795</v>
      </c>
    </row>
    <row r="1126" spans="1:6" x14ac:dyDescent="0.3">
      <c r="A1126" s="2939" t="s">
        <v>3760</v>
      </c>
      <c r="B1126" s="2311" t="s">
        <v>2539</v>
      </c>
      <c r="C1126" s="2311"/>
      <c r="D1126" s="2905">
        <v>50000000</v>
      </c>
      <c r="E1126" s="2710"/>
      <c r="F1126" s="2710">
        <v>153397083</v>
      </c>
    </row>
    <row r="1127" spans="1:6" x14ac:dyDescent="0.3">
      <c r="A1127" s="2939" t="s">
        <v>3761</v>
      </c>
      <c r="B1127" s="2311" t="s">
        <v>2097</v>
      </c>
      <c r="C1127" s="2311"/>
      <c r="D1127" s="2905"/>
      <c r="E1127" s="2710"/>
      <c r="F1127" s="2710">
        <v>34465000</v>
      </c>
    </row>
    <row r="1128" spans="1:6" x14ac:dyDescent="0.3">
      <c r="A1128" s="2939" t="s">
        <v>3762</v>
      </c>
      <c r="B1128" s="2311" t="s">
        <v>2096</v>
      </c>
      <c r="C1128" s="2311"/>
      <c r="D1128" s="2905"/>
      <c r="E1128" s="2710"/>
      <c r="F1128" s="2710">
        <v>95550300</v>
      </c>
    </row>
    <row r="1129" spans="1:6" x14ac:dyDescent="0.3">
      <c r="A1129" s="2562" t="s">
        <v>3763</v>
      </c>
      <c r="B1129" s="2311" t="s">
        <v>2863</v>
      </c>
      <c r="C1129" s="2311"/>
      <c r="D1129" s="2905"/>
      <c r="E1129" s="2710"/>
      <c r="F1129" s="2710">
        <v>257225500</v>
      </c>
    </row>
    <row r="1130" spans="1:6" x14ac:dyDescent="0.3">
      <c r="A1130" s="2562"/>
      <c r="B1130" s="2311"/>
      <c r="C1130" s="2311"/>
      <c r="D1130" s="2905"/>
      <c r="E1130" s="2710"/>
      <c r="F1130" s="2710"/>
    </row>
    <row r="1131" spans="1:6" ht="19.5" thickBot="1" x14ac:dyDescent="0.35">
      <c r="A1131" s="2942"/>
      <c r="B1131" s="2943" t="s">
        <v>2616</v>
      </c>
      <c r="C1131" s="2944"/>
      <c r="D1131" s="2938">
        <f>SUM(D1109:D1129)</f>
        <v>715000000</v>
      </c>
      <c r="E1131" s="2945">
        <f>SUM(E1109:E1126)</f>
        <v>103473100.62</v>
      </c>
      <c r="F1131" s="2946">
        <f>SUM(F1109:F1129)</f>
        <v>1613601585</v>
      </c>
    </row>
    <row r="1132" spans="1:6" s="2775" customFormat="1" x14ac:dyDescent="0.3">
      <c r="A1132" s="2576"/>
      <c r="B1132" s="2947"/>
      <c r="C1132" s="2947"/>
      <c r="D1132" s="2948"/>
      <c r="E1132" s="2949"/>
      <c r="F1132" s="2949"/>
    </row>
    <row r="1133" spans="1:6" s="2775" customFormat="1" x14ac:dyDescent="0.3">
      <c r="A1133" s="2576"/>
      <c r="B1133" s="2947"/>
      <c r="C1133" s="2947"/>
      <c r="D1133" s="2948"/>
      <c r="E1133" s="2949"/>
      <c r="F1133" s="2949"/>
    </row>
    <row r="1134" spans="1:6" s="2775" customFormat="1" x14ac:dyDescent="0.3">
      <c r="A1134" s="3517" t="s">
        <v>80</v>
      </c>
      <c r="B1134" s="3517"/>
      <c r="C1134" s="3517"/>
      <c r="D1134" s="3517"/>
      <c r="E1134" s="3517"/>
      <c r="F1134" s="3517"/>
    </row>
    <row r="1135" spans="1:6" s="2775" customFormat="1" ht="19.5" thickBot="1" x14ac:dyDescent="0.35">
      <c r="A1135" s="3520" t="s">
        <v>1972</v>
      </c>
      <c r="B1135" s="3520"/>
      <c r="C1135" s="3520"/>
      <c r="D1135" s="3520"/>
      <c r="E1135" s="3520"/>
      <c r="F1135" s="3520"/>
    </row>
    <row r="1136" spans="1:6" s="2549" customFormat="1" ht="57" thickBot="1" x14ac:dyDescent="0.25">
      <c r="A1136" s="2548" t="s">
        <v>1</v>
      </c>
      <c r="B1136" s="2290" t="s">
        <v>282</v>
      </c>
      <c r="C1136" s="2548" t="s">
        <v>3197</v>
      </c>
      <c r="D1136" s="2292" t="s">
        <v>1174</v>
      </c>
      <c r="E1136" s="2292" t="s">
        <v>1145</v>
      </c>
      <c r="F1136" s="2292" t="s">
        <v>3096</v>
      </c>
    </row>
    <row r="1137" spans="1:6" x14ac:dyDescent="0.3">
      <c r="A1137" s="2841"/>
      <c r="B1137" s="2934"/>
      <c r="C1137" s="2934"/>
      <c r="D1137" s="2935"/>
      <c r="E1137" s="2683"/>
      <c r="F1137" s="2936"/>
    </row>
    <row r="1138" spans="1:6" x14ac:dyDescent="0.3">
      <c r="A1138" s="2898">
        <v>32010208</v>
      </c>
      <c r="B1138" s="2685" t="s">
        <v>3702</v>
      </c>
      <c r="C1138" s="2934"/>
      <c r="D1138" s="2935"/>
      <c r="E1138" s="2936"/>
      <c r="F1138" s="2937"/>
    </row>
    <row r="1139" spans="1:6" x14ac:dyDescent="0.3">
      <c r="A1139" s="2562" t="s">
        <v>3764</v>
      </c>
      <c r="B1139" s="2950" t="s">
        <v>647</v>
      </c>
      <c r="C1139" s="2950"/>
      <c r="D1139" s="2905">
        <v>400000000</v>
      </c>
      <c r="E1139" s="2686">
        <v>5928775</v>
      </c>
      <c r="F1139" s="2710">
        <v>396000000</v>
      </c>
    </row>
    <row r="1140" spans="1:6" x14ac:dyDescent="0.3">
      <c r="A1140" s="2562" t="s">
        <v>3765</v>
      </c>
      <c r="B1140" s="2950" t="s">
        <v>2458</v>
      </c>
      <c r="C1140" s="2950"/>
      <c r="D1140" s="2905">
        <v>650000000</v>
      </c>
      <c r="E1140" s="2686">
        <v>150000000</v>
      </c>
      <c r="F1140" s="2710">
        <v>650000000</v>
      </c>
    </row>
    <row r="1141" spans="1:6" ht="37.5" x14ac:dyDescent="0.3">
      <c r="A1141" s="2562" t="s">
        <v>3766</v>
      </c>
      <c r="B1141" s="2950" t="s">
        <v>1259</v>
      </c>
      <c r="C1141" s="2950"/>
      <c r="D1141" s="2905">
        <v>268000000</v>
      </c>
      <c r="E1141" s="2686">
        <v>251400679.25</v>
      </c>
      <c r="F1141" s="2710">
        <v>268000000</v>
      </c>
    </row>
    <row r="1142" spans="1:6" ht="37.5" x14ac:dyDescent="0.3">
      <c r="A1142" s="2562" t="s">
        <v>3767</v>
      </c>
      <c r="B1142" s="2950" t="s">
        <v>2459</v>
      </c>
      <c r="C1142" s="2950"/>
      <c r="D1142" s="2905">
        <v>300000000</v>
      </c>
      <c r="E1142" s="2686">
        <v>180097755.75</v>
      </c>
      <c r="F1142" s="2710">
        <v>300000000</v>
      </c>
    </row>
    <row r="1143" spans="1:6" ht="37.5" x14ac:dyDescent="0.3">
      <c r="A1143" s="2562" t="s">
        <v>3768</v>
      </c>
      <c r="B1143" s="2950" t="s">
        <v>1262</v>
      </c>
      <c r="C1143" s="2950"/>
      <c r="D1143" s="2905">
        <v>300000000</v>
      </c>
      <c r="E1143" s="2686">
        <v>202000794.93000001</v>
      </c>
      <c r="F1143" s="2710">
        <v>300000000</v>
      </c>
    </row>
    <row r="1144" spans="1:6" ht="37.5" x14ac:dyDescent="0.3">
      <c r="A1144" s="2562" t="s">
        <v>3769</v>
      </c>
      <c r="B1144" s="2950" t="s">
        <v>1260</v>
      </c>
      <c r="C1144" s="2950"/>
      <c r="D1144" s="2905">
        <v>300000000</v>
      </c>
      <c r="E1144" s="2686"/>
      <c r="F1144" s="2710">
        <v>300000000</v>
      </c>
    </row>
    <row r="1145" spans="1:6" ht="38.25" thickBot="1" x14ac:dyDescent="0.35">
      <c r="A1145" s="3071" t="s">
        <v>3770</v>
      </c>
      <c r="B1145" s="2951" t="s">
        <v>1261</v>
      </c>
      <c r="C1145" s="2951"/>
      <c r="D1145" s="3072">
        <v>200000000</v>
      </c>
      <c r="E1145" s="3073">
        <v>71370</v>
      </c>
      <c r="F1145" s="2925">
        <v>200000000</v>
      </c>
    </row>
    <row r="1146" spans="1:6" ht="19.5" thickBot="1" x14ac:dyDescent="0.35">
      <c r="A1146" s="2562"/>
      <c r="B1146" s="2685" t="s">
        <v>2512</v>
      </c>
      <c r="C1146" s="3074"/>
      <c r="D1146" s="3075">
        <f>SUM(D1139:D1145)</f>
        <v>2418000000</v>
      </c>
      <c r="E1146" s="3076">
        <f>SUM(E1139:E1145)</f>
        <v>789499374.93000007</v>
      </c>
      <c r="F1146" s="3077">
        <f>SUM(F1139:F1145)</f>
        <v>2414000000</v>
      </c>
    </row>
    <row r="1147" spans="1:6" x14ac:dyDescent="0.3">
      <c r="A1147" s="2596"/>
      <c r="B1147" s="2577"/>
      <c r="C1147" s="2577"/>
      <c r="D1147" s="2578"/>
      <c r="E1147" s="2578"/>
      <c r="F1147" s="2578"/>
    </row>
    <row r="1148" spans="1:6" x14ac:dyDescent="0.3">
      <c r="A1148" s="2596"/>
      <c r="B1148" s="2577"/>
      <c r="C1148" s="2577"/>
      <c r="D1148" s="2578"/>
      <c r="E1148" s="2578"/>
      <c r="F1148" s="2578"/>
    </row>
    <row r="1149" spans="1:6" x14ac:dyDescent="0.3">
      <c r="A1149" s="2596"/>
      <c r="B1149" s="2577"/>
      <c r="C1149" s="2577"/>
      <c r="D1149" s="2578"/>
      <c r="E1149" s="2578"/>
      <c r="F1149" s="2578"/>
    </row>
    <row r="1150" spans="1:6" x14ac:dyDescent="0.3">
      <c r="A1150" s="3517" t="s">
        <v>147</v>
      </c>
      <c r="B1150" s="3517"/>
      <c r="C1150" s="3517"/>
      <c r="D1150" s="3517"/>
      <c r="E1150" s="3517"/>
      <c r="F1150" s="3517"/>
    </row>
    <row r="1151" spans="1:6" ht="19.5" thickBot="1" x14ac:dyDescent="0.35">
      <c r="A1151" s="3516" t="s">
        <v>152</v>
      </c>
      <c r="B1151" s="3516"/>
      <c r="C1151" s="3516"/>
      <c r="D1151" s="3516"/>
      <c r="E1151" s="3516"/>
      <c r="F1151" s="3516"/>
    </row>
    <row r="1152" spans="1:6" s="2549" customFormat="1" ht="57" thickBot="1" x14ac:dyDescent="0.25">
      <c r="A1152" s="2548" t="s">
        <v>1</v>
      </c>
      <c r="B1152" s="2290" t="s">
        <v>282</v>
      </c>
      <c r="C1152" s="2548" t="s">
        <v>3197</v>
      </c>
      <c r="D1152" s="2292" t="s">
        <v>1174</v>
      </c>
      <c r="E1152" s="2292" t="s">
        <v>1145</v>
      </c>
      <c r="F1152" s="2292" t="s">
        <v>3096</v>
      </c>
    </row>
    <row r="1153" spans="1:6" s="2599" customFormat="1" x14ac:dyDescent="0.3">
      <c r="A1153" s="2630">
        <v>32000000</v>
      </c>
      <c r="B1153" s="2726" t="s">
        <v>462</v>
      </c>
      <c r="C1153" s="2726"/>
      <c r="D1153" s="2552"/>
      <c r="E1153" s="2634"/>
      <c r="F1153" s="2552"/>
    </row>
    <row r="1154" spans="1:6" x14ac:dyDescent="0.3">
      <c r="A1154" s="170">
        <v>32010000</v>
      </c>
      <c r="B1154" s="2558" t="s">
        <v>463</v>
      </c>
      <c r="C1154" s="2558"/>
      <c r="D1154" s="2559"/>
      <c r="E1154" s="2559"/>
      <c r="F1154" s="2559"/>
    </row>
    <row r="1155" spans="1:6" x14ac:dyDescent="0.3">
      <c r="A1155" s="170">
        <v>32010100</v>
      </c>
      <c r="B1155" s="2557" t="s">
        <v>471</v>
      </c>
      <c r="C1155" s="2558"/>
      <c r="D1155" s="2559"/>
      <c r="E1155" s="2559"/>
      <c r="F1155" s="2559"/>
    </row>
    <row r="1156" spans="1:6" x14ac:dyDescent="0.3">
      <c r="A1156" s="170">
        <v>32010101</v>
      </c>
      <c r="B1156" s="2557" t="s">
        <v>3212</v>
      </c>
      <c r="C1156" s="2558"/>
      <c r="D1156" s="2560">
        <f>SUM(D1157)</f>
        <v>0</v>
      </c>
      <c r="E1156" s="2560">
        <f t="shared" ref="E1156:F1156" si="69">SUM(E1157)</f>
        <v>0</v>
      </c>
      <c r="F1156" s="2560">
        <f t="shared" si="69"/>
        <v>10500000</v>
      </c>
    </row>
    <row r="1157" spans="1:6" x14ac:dyDescent="0.3">
      <c r="A1157" s="2562" t="s">
        <v>3772</v>
      </c>
      <c r="B1157" s="2952" t="s">
        <v>295</v>
      </c>
      <c r="C1157" s="2582"/>
      <c r="D1157" s="2584"/>
      <c r="E1157" s="2584"/>
      <c r="F1157" s="2584">
        <v>10500000</v>
      </c>
    </row>
    <row r="1158" spans="1:6" x14ac:dyDescent="0.3">
      <c r="A1158" s="2562" t="s">
        <v>3773</v>
      </c>
      <c r="B1158" s="2952" t="s">
        <v>897</v>
      </c>
      <c r="C1158" s="2582"/>
      <c r="D1158" s="2584"/>
      <c r="E1158" s="2584"/>
      <c r="F1158" s="2584">
        <v>0</v>
      </c>
    </row>
    <row r="1159" spans="1:6" x14ac:dyDescent="0.3">
      <c r="A1159" s="170">
        <v>32010102</v>
      </c>
      <c r="B1159" s="2557" t="s">
        <v>3213</v>
      </c>
      <c r="C1159" s="2582"/>
      <c r="D1159" s="2560">
        <f>SUM(D1160)</f>
        <v>6500000</v>
      </c>
      <c r="E1159" s="2560">
        <f t="shared" ref="E1159:F1159" si="70">SUM(E1160)</f>
        <v>0</v>
      </c>
      <c r="F1159" s="2560">
        <f t="shared" si="70"/>
        <v>0</v>
      </c>
    </row>
    <row r="1160" spans="1:6" x14ac:dyDescent="0.3">
      <c r="A1160" s="2562" t="s">
        <v>3771</v>
      </c>
      <c r="B1160" s="2952" t="s">
        <v>896</v>
      </c>
      <c r="C1160" s="2582"/>
      <c r="D1160" s="2584">
        <v>6500000</v>
      </c>
      <c r="E1160" s="2584"/>
      <c r="F1160" s="2584">
        <v>0</v>
      </c>
    </row>
    <row r="1161" spans="1:6" x14ac:dyDescent="0.3">
      <c r="A1161" s="170">
        <v>32010400</v>
      </c>
      <c r="B1161" s="2557" t="s">
        <v>467</v>
      </c>
      <c r="C1161" s="2558"/>
      <c r="D1161" s="2559"/>
      <c r="E1161" s="2559"/>
      <c r="F1161" s="2559"/>
    </row>
    <row r="1162" spans="1:6" x14ac:dyDescent="0.3">
      <c r="A1162" s="170">
        <v>32010405</v>
      </c>
      <c r="B1162" s="2557" t="s">
        <v>3452</v>
      </c>
      <c r="C1162" s="2558"/>
      <c r="D1162" s="2560">
        <f>SUM(D1163:D1163)</f>
        <v>11500000</v>
      </c>
      <c r="E1162" s="2560">
        <f>SUM(E1163:E1163)</f>
        <v>6160000</v>
      </c>
      <c r="F1162" s="2560">
        <f>SUM(F1163:F1163)</f>
        <v>5340000</v>
      </c>
    </row>
    <row r="1163" spans="1:6" x14ac:dyDescent="0.3">
      <c r="A1163" s="2562" t="s">
        <v>3774</v>
      </c>
      <c r="B1163" s="2952" t="s">
        <v>318</v>
      </c>
      <c r="C1163" s="2582"/>
      <c r="D1163" s="2584">
        <v>11500000</v>
      </c>
      <c r="E1163" s="2584">
        <v>6160000</v>
      </c>
      <c r="F1163" s="2584">
        <v>5340000</v>
      </c>
    </row>
    <row r="1164" spans="1:6" x14ac:dyDescent="0.3">
      <c r="A1164" s="170">
        <v>32010500</v>
      </c>
      <c r="B1164" s="2557" t="s">
        <v>468</v>
      </c>
      <c r="C1164" s="2558"/>
      <c r="D1164" s="2559"/>
      <c r="E1164" s="2559"/>
      <c r="F1164" s="2559"/>
    </row>
    <row r="1165" spans="1:6" x14ac:dyDescent="0.3">
      <c r="A1165" s="170">
        <v>32010501</v>
      </c>
      <c r="B1165" s="2557" t="s">
        <v>3413</v>
      </c>
      <c r="C1165" s="2558"/>
      <c r="D1165" s="2560">
        <f>SUM(D1166:D1166)</f>
        <v>10500000</v>
      </c>
      <c r="E1165" s="2560">
        <f>SUM(E1166:E1166)</f>
        <v>0</v>
      </c>
      <c r="F1165" s="2560">
        <f>SUM(F1166:F1166)</f>
        <v>10500000</v>
      </c>
    </row>
    <row r="1166" spans="1:6" x14ac:dyDescent="0.3">
      <c r="A1166" s="2562" t="s">
        <v>3775</v>
      </c>
      <c r="B1166" s="2582" t="s">
        <v>517</v>
      </c>
      <c r="C1166" s="2953"/>
      <c r="D1166" s="2584">
        <v>10500000</v>
      </c>
      <c r="E1166" s="2559"/>
      <c r="F1166" s="2584">
        <v>10500000</v>
      </c>
    </row>
    <row r="1167" spans="1:6" ht="19.5" thickBot="1" x14ac:dyDescent="0.35">
      <c r="A1167" s="2562"/>
      <c r="B1167" s="1981"/>
      <c r="C1167" s="2601"/>
      <c r="D1167" s="2612"/>
      <c r="E1167" s="2677"/>
      <c r="F1167" s="2612"/>
    </row>
    <row r="1168" spans="1:6" ht="19.5" thickBot="1" x14ac:dyDescent="0.35">
      <c r="A1168" s="2562"/>
      <c r="B1168" s="2566" t="s">
        <v>1353</v>
      </c>
      <c r="C1168" s="2779"/>
      <c r="D1168" s="2595">
        <f>SUM(D1156,D1159,D1162,D1165)</f>
        <v>28500000</v>
      </c>
      <c r="E1168" s="2595">
        <f>SUM(E1156,E1159,E1162,E1165)</f>
        <v>6160000</v>
      </c>
      <c r="F1168" s="2595">
        <f>SUM(F1156,F1159,F1162,F1165)</f>
        <v>26340000</v>
      </c>
    </row>
    <row r="1169" spans="1:6" x14ac:dyDescent="0.3">
      <c r="A1169" s="3517"/>
      <c r="B1169" s="3517"/>
      <c r="C1169" s="3519"/>
      <c r="D1169" s="3519"/>
      <c r="E1169" s="3519"/>
      <c r="F1169" s="3519"/>
    </row>
    <row r="1170" spans="1:6" x14ac:dyDescent="0.3">
      <c r="A1170" s="3517"/>
      <c r="B1170" s="3517"/>
      <c r="C1170" s="3517"/>
      <c r="D1170" s="3517"/>
      <c r="E1170" s="3517"/>
      <c r="F1170" s="3517"/>
    </row>
    <row r="1171" spans="1:6" x14ac:dyDescent="0.3">
      <c r="A1171" s="3517"/>
      <c r="B1171" s="3517"/>
      <c r="C1171" s="3517"/>
      <c r="D1171" s="3517"/>
      <c r="E1171" s="3517"/>
      <c r="F1171" s="3517"/>
    </row>
    <row r="1172" spans="1:6" x14ac:dyDescent="0.3">
      <c r="A1172" s="3517" t="s">
        <v>147</v>
      </c>
      <c r="B1172" s="3517"/>
      <c r="C1172" s="3517"/>
      <c r="D1172" s="3517"/>
      <c r="E1172" s="3517"/>
      <c r="F1172" s="3517"/>
    </row>
    <row r="1173" spans="1:6" ht="19.5" thickBot="1" x14ac:dyDescent="0.35">
      <c r="A1173" s="3516" t="s">
        <v>148</v>
      </c>
      <c r="B1173" s="3516"/>
      <c r="C1173" s="3516"/>
      <c r="D1173" s="3516"/>
      <c r="E1173" s="3516"/>
      <c r="F1173" s="3516"/>
    </row>
    <row r="1174" spans="1:6" s="2549" customFormat="1" ht="57" thickBot="1" x14ac:dyDescent="0.25">
      <c r="A1174" s="2548" t="s">
        <v>1</v>
      </c>
      <c r="B1174" s="2290" t="s">
        <v>282</v>
      </c>
      <c r="C1174" s="2548" t="s">
        <v>3197</v>
      </c>
      <c r="D1174" s="2292" t="s">
        <v>1174</v>
      </c>
      <c r="E1174" s="2292" t="s">
        <v>1145</v>
      </c>
      <c r="F1174" s="2292" t="s">
        <v>3096</v>
      </c>
    </row>
    <row r="1175" spans="1:6" s="2599" customFormat="1" x14ac:dyDescent="0.3">
      <c r="A1175" s="2954"/>
      <c r="B1175" s="2955"/>
      <c r="C1175" s="2956"/>
      <c r="D1175" s="2634"/>
      <c r="E1175" s="2552"/>
      <c r="F1175" s="2634"/>
    </row>
    <row r="1176" spans="1:6" x14ac:dyDescent="0.3">
      <c r="A1176" s="2553">
        <v>32000000</v>
      </c>
      <c r="B1176" s="2555" t="s">
        <v>462</v>
      </c>
      <c r="C1176" s="2555"/>
      <c r="D1176" s="2556"/>
      <c r="E1176" s="2556"/>
      <c r="F1176" s="2556"/>
    </row>
    <row r="1177" spans="1:6" x14ac:dyDescent="0.3">
      <c r="A1177" s="2624">
        <v>32010200</v>
      </c>
      <c r="B1177" s="2558" t="s">
        <v>465</v>
      </c>
      <c r="C1177" s="2558"/>
      <c r="D1177" s="2559"/>
      <c r="E1177" s="2559"/>
      <c r="F1177" s="2559"/>
    </row>
    <row r="1178" spans="1:6" x14ac:dyDescent="0.3">
      <c r="A1178" s="2624">
        <v>32010201</v>
      </c>
      <c r="B1178" s="2566" t="s">
        <v>3212</v>
      </c>
      <c r="C1178" s="1981"/>
      <c r="D1178" s="2600">
        <f>SUM(D1179:D1179)</f>
        <v>0</v>
      </c>
      <c r="E1178" s="2600">
        <f t="shared" ref="E1178:F1178" si="71">SUM(E1179:E1179)</f>
        <v>0</v>
      </c>
      <c r="F1178" s="2600">
        <f t="shared" si="71"/>
        <v>0</v>
      </c>
    </row>
    <row r="1179" spans="1:6" x14ac:dyDescent="0.3">
      <c r="A1179" s="2766" t="s">
        <v>3780</v>
      </c>
      <c r="B1179" s="1981" t="s">
        <v>2985</v>
      </c>
      <c r="C1179" s="1981"/>
      <c r="D1179" s="2584">
        <v>0</v>
      </c>
      <c r="E1179" s="2584"/>
      <c r="F1179" s="2584">
        <v>0</v>
      </c>
    </row>
    <row r="1180" spans="1:6" x14ac:dyDescent="0.3">
      <c r="A1180" s="2666">
        <v>32030100</v>
      </c>
      <c r="B1180" s="2558" t="s">
        <v>467</v>
      </c>
      <c r="C1180" s="2558"/>
      <c r="D1180" s="2560">
        <f>SUM(D1181:D1181)</f>
        <v>15000000</v>
      </c>
      <c r="E1180" s="2560">
        <f>SUM(E1181:E1181)</f>
        <v>0</v>
      </c>
      <c r="F1180" s="2560">
        <f>SUM(F1181:F1181)</f>
        <v>15000000</v>
      </c>
    </row>
    <row r="1181" spans="1:6" x14ac:dyDescent="0.3">
      <c r="A1181" s="2766" t="s">
        <v>3782</v>
      </c>
      <c r="B1181" s="1981" t="s">
        <v>2986</v>
      </c>
      <c r="C1181" s="1981"/>
      <c r="D1181" s="2584">
        <v>15000000</v>
      </c>
      <c r="E1181" s="2559"/>
      <c r="F1181" s="2584">
        <v>15000000</v>
      </c>
    </row>
    <row r="1182" spans="1:6" s="2599" customFormat="1" x14ac:dyDescent="0.3">
      <c r="A1182" s="170">
        <v>32030510</v>
      </c>
      <c r="B1182" s="2558" t="s">
        <v>3453</v>
      </c>
      <c r="C1182" s="2558"/>
      <c r="D1182" s="2560">
        <f>SUM(D1183:D1183)</f>
        <v>10000000</v>
      </c>
      <c r="E1182" s="2560">
        <f>SUM(E1183:E1183)</f>
        <v>0</v>
      </c>
      <c r="F1182" s="2560">
        <f>SUM(F1183:F1183)</f>
        <v>10000000</v>
      </c>
    </row>
    <row r="1183" spans="1:6" x14ac:dyDescent="0.3">
      <c r="A1183" s="2789" t="s">
        <v>3777</v>
      </c>
      <c r="B1183" s="2563" t="s">
        <v>610</v>
      </c>
      <c r="C1183" s="1981"/>
      <c r="D1183" s="2584">
        <v>10000000</v>
      </c>
      <c r="E1183" s="2584"/>
      <c r="F1183" s="2584">
        <v>10000000</v>
      </c>
    </row>
    <row r="1184" spans="1:6" s="1984" customFormat="1" ht="20.25" x14ac:dyDescent="0.2">
      <c r="A1184" s="2957">
        <v>22020700</v>
      </c>
      <c r="B1184" s="2958" t="s">
        <v>70</v>
      </c>
      <c r="C1184" s="1893"/>
      <c r="D1184" s="1893"/>
      <c r="E1184" s="152"/>
      <c r="F1184" s="2024"/>
    </row>
    <row r="1185" spans="1:6" s="1984" customFormat="1" ht="20.25" x14ac:dyDescent="0.2">
      <c r="A1185" s="2957">
        <v>22020707</v>
      </c>
      <c r="B1185" s="2958" t="s">
        <v>4222</v>
      </c>
      <c r="C1185" s="1893"/>
      <c r="D1185" s="2560">
        <f>SUM(D1186:D1187)</f>
        <v>110000000</v>
      </c>
      <c r="E1185" s="2560">
        <f t="shared" ref="E1185:F1185" si="72">SUM(E1186:E1187)</f>
        <v>17000000</v>
      </c>
      <c r="F1185" s="2560">
        <f t="shared" si="72"/>
        <v>110000000</v>
      </c>
    </row>
    <row r="1186" spans="1:6" x14ac:dyDescent="0.3">
      <c r="A1186" s="2766" t="s">
        <v>3781</v>
      </c>
      <c r="B1186" s="1981" t="s">
        <v>900</v>
      </c>
      <c r="C1186" s="1981"/>
      <c r="D1186" s="2584">
        <v>10000000</v>
      </c>
      <c r="E1186" s="2622"/>
      <c r="F1186" s="2584">
        <v>10000000</v>
      </c>
    </row>
    <row r="1187" spans="1:6" x14ac:dyDescent="0.3">
      <c r="A1187" s="2766" t="s">
        <v>3776</v>
      </c>
      <c r="B1187" s="1981" t="s">
        <v>898</v>
      </c>
      <c r="C1187" s="1981"/>
      <c r="D1187" s="2584">
        <v>100000000</v>
      </c>
      <c r="E1187" s="2584">
        <v>17000000</v>
      </c>
      <c r="F1187" s="2584">
        <v>100000000</v>
      </c>
    </row>
    <row r="1188" spans="1:6" s="2963" customFormat="1" ht="16.5" x14ac:dyDescent="0.2">
      <c r="A1188" s="2957">
        <v>22020300</v>
      </c>
      <c r="B1188" s="2959" t="s">
        <v>66</v>
      </c>
      <c r="C1188" s="2960"/>
      <c r="D1188" s="2960"/>
      <c r="E1188" s="2961"/>
      <c r="F1188" s="2962"/>
    </row>
    <row r="1189" spans="1:6" s="2963" customFormat="1" x14ac:dyDescent="0.2">
      <c r="A1189" s="2957">
        <v>22020302</v>
      </c>
      <c r="B1189" s="2959" t="s">
        <v>1196</v>
      </c>
      <c r="C1189" s="2964"/>
      <c r="D1189" s="2560">
        <f>SUM(D1190:D1191)</f>
        <v>15000000</v>
      </c>
      <c r="E1189" s="2964"/>
      <c r="F1189" s="2560">
        <f>SUM(F1190:F1191)</f>
        <v>15000000</v>
      </c>
    </row>
    <row r="1190" spans="1:6" x14ac:dyDescent="0.3">
      <c r="A1190" s="2562" t="s">
        <v>3778</v>
      </c>
      <c r="B1190" s="1981" t="s">
        <v>899</v>
      </c>
      <c r="C1190" s="1981"/>
      <c r="D1190" s="2584">
        <v>10000000</v>
      </c>
      <c r="E1190" s="2584"/>
      <c r="F1190" s="2584">
        <v>10000000</v>
      </c>
    </row>
    <row r="1191" spans="1:6" x14ac:dyDescent="0.3">
      <c r="A1191" s="2562" t="s">
        <v>3779</v>
      </c>
      <c r="B1191" s="1981" t="s">
        <v>296</v>
      </c>
      <c r="C1191" s="1981"/>
      <c r="D1191" s="2584">
        <v>5000000</v>
      </c>
      <c r="E1191" s="2584"/>
      <c r="F1191" s="2584">
        <v>5000000</v>
      </c>
    </row>
    <row r="1192" spans="1:6" ht="19.5" thickBot="1" x14ac:dyDescent="0.35">
      <c r="A1192" s="2562"/>
      <c r="B1192" s="1981"/>
      <c r="C1192" s="1981"/>
      <c r="D1192" s="2612"/>
      <c r="E1192" s="2676"/>
      <c r="F1192" s="2612"/>
    </row>
    <row r="1193" spans="1:6" ht="19.5" thickBot="1" x14ac:dyDescent="0.35">
      <c r="A1193" s="170"/>
      <c r="B1193" s="2566" t="s">
        <v>2617</v>
      </c>
      <c r="C1193" s="2565"/>
      <c r="D1193" s="2595">
        <f>SUM(D1178,D1180,D1182,D1185,D1189)</f>
        <v>150000000</v>
      </c>
      <c r="E1193" s="2739">
        <f t="shared" ref="E1193:F1193" si="73">SUM(E1178,E1180,E1182,E1185,E1189)</f>
        <v>17000000</v>
      </c>
      <c r="F1193" s="2739">
        <f t="shared" si="73"/>
        <v>150000000</v>
      </c>
    </row>
    <row r="1194" spans="1:6" x14ac:dyDescent="0.3">
      <c r="A1194" s="3517"/>
      <c r="B1194" s="3517"/>
      <c r="C1194" s="3517"/>
      <c r="D1194" s="3519"/>
      <c r="E1194" s="3519"/>
      <c r="F1194" s="3519"/>
    </row>
    <row r="1195" spans="1:6" s="2635" customFormat="1" ht="16.5" x14ac:dyDescent="0.25">
      <c r="A1195" s="3521" t="s">
        <v>147</v>
      </c>
      <c r="B1195" s="3521"/>
      <c r="C1195" s="3521"/>
      <c r="D1195" s="3521"/>
      <c r="E1195" s="3521"/>
      <c r="F1195" s="3521"/>
    </row>
    <row r="1196" spans="1:6" s="2635" customFormat="1" ht="17.25" thickBot="1" x14ac:dyDescent="0.3">
      <c r="A1196" s="3523" t="s">
        <v>550</v>
      </c>
      <c r="B1196" s="3523"/>
      <c r="C1196" s="3523"/>
      <c r="D1196" s="3523"/>
      <c r="E1196" s="3523"/>
      <c r="F1196" s="3523"/>
    </row>
    <row r="1197" spans="1:6" s="3080" customFormat="1" ht="41.25" customHeight="1" thickBot="1" x14ac:dyDescent="0.25">
      <c r="A1197" s="2661" t="s">
        <v>1</v>
      </c>
      <c r="B1197" s="3078" t="s">
        <v>282</v>
      </c>
      <c r="C1197" s="2661" t="s">
        <v>3197</v>
      </c>
      <c r="D1197" s="3079" t="s">
        <v>1174</v>
      </c>
      <c r="E1197" s="3079" t="s">
        <v>1145</v>
      </c>
      <c r="F1197" s="3079" t="s">
        <v>3096</v>
      </c>
    </row>
    <row r="1198" spans="1:6" s="2635" customFormat="1" ht="16.5" x14ac:dyDescent="0.25">
      <c r="A1198" s="2639">
        <v>32010100</v>
      </c>
      <c r="B1198" s="2640" t="s">
        <v>464</v>
      </c>
      <c r="C1198" s="3081"/>
      <c r="D1198" s="3082"/>
      <c r="E1198" s="3082"/>
      <c r="F1198" s="3082"/>
    </row>
    <row r="1199" spans="1:6" s="2635" customFormat="1" ht="16.5" x14ac:dyDescent="0.25">
      <c r="A1199" s="2639">
        <v>32010101</v>
      </c>
      <c r="B1199" s="2640" t="s">
        <v>3212</v>
      </c>
      <c r="C1199" s="3083"/>
      <c r="D1199" s="3084">
        <f>SUM(D1200:D1205)</f>
        <v>220500000</v>
      </c>
      <c r="E1199" s="3084">
        <f>SUM(E1200:E1205)</f>
        <v>104995400</v>
      </c>
      <c r="F1199" s="3084">
        <f>SUM(F1200:F1205)</f>
        <v>248500000</v>
      </c>
    </row>
    <row r="1200" spans="1:6" s="2635" customFormat="1" ht="16.5" x14ac:dyDescent="0.25">
      <c r="A1200" s="2642" t="s">
        <v>3783</v>
      </c>
      <c r="B1200" s="2643" t="s">
        <v>901</v>
      </c>
      <c r="C1200" s="2647"/>
      <c r="D1200" s="2644">
        <v>50000000</v>
      </c>
      <c r="E1200" s="2641">
        <v>44995400</v>
      </c>
      <c r="F1200" s="2644">
        <v>50000000</v>
      </c>
    </row>
    <row r="1201" spans="1:6" s="2635" customFormat="1" ht="16.5" x14ac:dyDescent="0.25">
      <c r="A1201" s="2642" t="s">
        <v>3784</v>
      </c>
      <c r="B1201" s="2643" t="s">
        <v>1864</v>
      </c>
      <c r="C1201" s="2647"/>
      <c r="D1201" s="2644">
        <v>30000000</v>
      </c>
      <c r="E1201" s="2641"/>
      <c r="F1201" s="2644">
        <v>30000000</v>
      </c>
    </row>
    <row r="1202" spans="1:6" s="2635" customFormat="1" ht="16.5" x14ac:dyDescent="0.25">
      <c r="A1202" s="2642" t="s">
        <v>3785</v>
      </c>
      <c r="B1202" s="2643" t="s">
        <v>902</v>
      </c>
      <c r="C1202" s="2647"/>
      <c r="D1202" s="2644">
        <v>50000000</v>
      </c>
      <c r="E1202" s="2644">
        <v>17000000</v>
      </c>
      <c r="F1202" s="2644">
        <v>50000000</v>
      </c>
    </row>
    <row r="1203" spans="1:6" s="2635" customFormat="1" ht="16.5" x14ac:dyDescent="0.25">
      <c r="A1203" s="2642" t="s">
        <v>3786</v>
      </c>
      <c r="B1203" s="2643" t="s">
        <v>596</v>
      </c>
      <c r="C1203" s="2647"/>
      <c r="D1203" s="2644">
        <v>20000000</v>
      </c>
      <c r="E1203" s="2644"/>
      <c r="F1203" s="2644">
        <v>20000000</v>
      </c>
    </row>
    <row r="1204" spans="1:6" s="2635" customFormat="1" ht="16.5" x14ac:dyDescent="0.25">
      <c r="A1204" s="2642" t="s">
        <v>3787</v>
      </c>
      <c r="B1204" s="2643" t="s">
        <v>1865</v>
      </c>
      <c r="C1204" s="2647"/>
      <c r="D1204" s="2644">
        <v>20000000</v>
      </c>
      <c r="E1204" s="2644"/>
      <c r="F1204" s="2644">
        <v>48000000</v>
      </c>
    </row>
    <row r="1205" spans="1:6" s="2635" customFormat="1" ht="16.5" x14ac:dyDescent="0.25">
      <c r="A1205" s="2642" t="s">
        <v>3788</v>
      </c>
      <c r="B1205" s="2643" t="s">
        <v>904</v>
      </c>
      <c r="C1205" s="2647"/>
      <c r="D1205" s="2644">
        <v>50500000</v>
      </c>
      <c r="E1205" s="2644">
        <v>43000000</v>
      </c>
      <c r="F1205" s="2644">
        <v>50500000</v>
      </c>
    </row>
    <row r="1206" spans="1:6" s="2635" customFormat="1" ht="16.5" x14ac:dyDescent="0.25">
      <c r="A1206" s="2639">
        <v>32010102</v>
      </c>
      <c r="B1206" s="2640" t="s">
        <v>3213</v>
      </c>
      <c r="C1206" s="2647"/>
      <c r="D1206" s="2648">
        <f>SUM(D1207:D1210)</f>
        <v>140000000</v>
      </c>
      <c r="E1206" s="2648">
        <f>SUM(E1207:E1210)</f>
        <v>10000000</v>
      </c>
      <c r="F1206" s="2648">
        <f>SUM(F1207:F1210)</f>
        <v>140000000</v>
      </c>
    </row>
    <row r="1207" spans="1:6" s="2635" customFormat="1" ht="16.5" x14ac:dyDescent="0.25">
      <c r="A1207" s="2642" t="s">
        <v>3789</v>
      </c>
      <c r="B1207" s="2643" t="s">
        <v>515</v>
      </c>
      <c r="C1207" s="2647"/>
      <c r="D1207" s="2644">
        <v>50000000</v>
      </c>
      <c r="E1207" s="2644"/>
      <c r="F1207" s="2644">
        <v>50000000</v>
      </c>
    </row>
    <row r="1208" spans="1:6" s="2635" customFormat="1" ht="16.5" x14ac:dyDescent="0.25">
      <c r="A1208" s="2642" t="s">
        <v>3790</v>
      </c>
      <c r="B1208" s="2643" t="s">
        <v>903</v>
      </c>
      <c r="C1208" s="2647"/>
      <c r="D1208" s="2644">
        <v>20000000</v>
      </c>
      <c r="E1208" s="2644"/>
      <c r="F1208" s="2644">
        <v>20000000</v>
      </c>
    </row>
    <row r="1209" spans="1:6" s="2635" customFormat="1" ht="16.5" x14ac:dyDescent="0.25">
      <c r="A1209" s="2642" t="s">
        <v>3791</v>
      </c>
      <c r="B1209" s="2643" t="s">
        <v>905</v>
      </c>
      <c r="C1209" s="2647"/>
      <c r="D1209" s="2644">
        <v>20000000</v>
      </c>
      <c r="E1209" s="2644">
        <v>10000000</v>
      </c>
      <c r="F1209" s="2644">
        <v>20000000</v>
      </c>
    </row>
    <row r="1210" spans="1:6" s="2635" customFormat="1" ht="16.5" x14ac:dyDescent="0.25">
      <c r="A1210" s="2642" t="s">
        <v>3792</v>
      </c>
      <c r="B1210" s="2643" t="s">
        <v>906</v>
      </c>
      <c r="C1210" s="3085"/>
      <c r="D1210" s="2644">
        <v>50000000</v>
      </c>
      <c r="E1210" s="2644"/>
      <c r="F1210" s="2644">
        <v>50000000</v>
      </c>
    </row>
    <row r="1211" spans="1:6" s="2635" customFormat="1" ht="16.5" x14ac:dyDescent="0.25">
      <c r="A1211" s="2639">
        <v>32010300</v>
      </c>
      <c r="B1211" s="2645" t="s">
        <v>466</v>
      </c>
      <c r="C1211" s="2645"/>
      <c r="D1211" s="2644"/>
      <c r="E1211" s="2644"/>
      <c r="F1211" s="2644"/>
    </row>
    <row r="1212" spans="1:6" s="2635" customFormat="1" ht="16.5" x14ac:dyDescent="0.25">
      <c r="A1212" s="2639">
        <v>32010305</v>
      </c>
      <c r="B1212" s="2645" t="s">
        <v>3206</v>
      </c>
      <c r="C1212" s="2645"/>
      <c r="D1212" s="2646">
        <f>SUM(D1213:D1213)</f>
        <v>10000000</v>
      </c>
      <c r="E1212" s="2646">
        <f>SUM(E1213:E1213)</f>
        <v>10000000</v>
      </c>
      <c r="F1212" s="2646">
        <f>SUM(F1213:F1213)</f>
        <v>15000000</v>
      </c>
    </row>
    <row r="1213" spans="1:6" s="2635" customFormat="1" ht="16.5" x14ac:dyDescent="0.25">
      <c r="A1213" s="2642" t="s">
        <v>3793</v>
      </c>
      <c r="B1213" s="2647" t="s">
        <v>299</v>
      </c>
      <c r="C1213" s="2647"/>
      <c r="D1213" s="2644">
        <v>10000000</v>
      </c>
      <c r="E1213" s="2644">
        <v>10000000</v>
      </c>
      <c r="F1213" s="2644">
        <v>15000000</v>
      </c>
    </row>
    <row r="1214" spans="1:6" s="2635" customFormat="1" ht="16.5" x14ac:dyDescent="0.25">
      <c r="A1214" s="2639">
        <v>32010400</v>
      </c>
      <c r="B1214" s="2645" t="s">
        <v>467</v>
      </c>
      <c r="C1214" s="2645"/>
      <c r="D1214" s="2641"/>
      <c r="E1214" s="2644"/>
      <c r="F1214" s="2641"/>
    </row>
    <row r="1215" spans="1:6" s="2635" customFormat="1" ht="16.5" x14ac:dyDescent="0.25">
      <c r="A1215" s="2639">
        <v>32010405</v>
      </c>
      <c r="B1215" s="2645" t="s">
        <v>3452</v>
      </c>
      <c r="C1215" s="2645"/>
      <c r="D1215" s="2648">
        <f>SUM(D1216:D1216)</f>
        <v>120000000</v>
      </c>
      <c r="E1215" s="2648">
        <f>SUM(E1216:E1216)</f>
        <v>120000000</v>
      </c>
      <c r="F1215" s="2648">
        <f>SUM(F1216:F1216)</f>
        <v>100000000</v>
      </c>
    </row>
    <row r="1216" spans="1:6" s="2635" customFormat="1" ht="16.5" x14ac:dyDescent="0.25">
      <c r="A1216" s="2642" t="s">
        <v>3794</v>
      </c>
      <c r="B1216" s="2647" t="s">
        <v>297</v>
      </c>
      <c r="C1216" s="2647"/>
      <c r="D1216" s="2644">
        <v>120000000</v>
      </c>
      <c r="E1216" s="2644">
        <v>120000000</v>
      </c>
      <c r="F1216" s="2644">
        <v>100000000</v>
      </c>
    </row>
    <row r="1217" spans="1:6" s="2635" customFormat="1" ht="16.5" x14ac:dyDescent="0.25">
      <c r="A1217" s="2639">
        <v>32010500</v>
      </c>
      <c r="B1217" s="2645" t="s">
        <v>468</v>
      </c>
      <c r="C1217" s="2645"/>
      <c r="D1217" s="2641"/>
      <c r="E1217" s="2644"/>
      <c r="F1217" s="2641"/>
    </row>
    <row r="1218" spans="1:6" s="2635" customFormat="1" ht="16.5" x14ac:dyDescent="0.25">
      <c r="A1218" s="2639">
        <v>32010501</v>
      </c>
      <c r="B1218" s="2645" t="s">
        <v>3414</v>
      </c>
      <c r="C1218" s="2645"/>
      <c r="D1218" s="2648">
        <f>SUM(D1219:D1219)</f>
        <v>5000000</v>
      </c>
      <c r="E1218" s="2648">
        <f>SUM(E1219:E1219)</f>
        <v>5000000</v>
      </c>
      <c r="F1218" s="2648">
        <f>SUM(F1219:F1219)</f>
        <v>5000000</v>
      </c>
    </row>
    <row r="1219" spans="1:6" s="2635" customFormat="1" ht="16.5" x14ac:dyDescent="0.25">
      <c r="A1219" s="2642" t="s">
        <v>3795</v>
      </c>
      <c r="B1219" s="2647" t="s">
        <v>298</v>
      </c>
      <c r="C1219" s="2647"/>
      <c r="D1219" s="2644">
        <v>5000000</v>
      </c>
      <c r="E1219" s="2641">
        <v>5000000</v>
      </c>
      <c r="F1219" s="2644">
        <v>5000000</v>
      </c>
    </row>
    <row r="1220" spans="1:6" s="2654" customFormat="1" ht="16.5" x14ac:dyDescent="0.25">
      <c r="A1220" s="2639">
        <v>32030510</v>
      </c>
      <c r="B1220" s="2640" t="s">
        <v>3453</v>
      </c>
      <c r="C1220" s="2640"/>
      <c r="D1220" s="2646">
        <f>SUM(D1221:D1222)</f>
        <v>30000000</v>
      </c>
      <c r="E1220" s="2646">
        <f>SUM(E1221:E1222)</f>
        <v>7019600</v>
      </c>
      <c r="F1220" s="2646">
        <f>SUM(F1221:F1222)</f>
        <v>30000000</v>
      </c>
    </row>
    <row r="1221" spans="1:6" s="2635" customFormat="1" ht="16.5" x14ac:dyDescent="0.25">
      <c r="A1221" s="2642" t="s">
        <v>3796</v>
      </c>
      <c r="B1221" s="2643" t="s">
        <v>597</v>
      </c>
      <c r="C1221" s="2647"/>
      <c r="D1221" s="2644">
        <v>20000000</v>
      </c>
      <c r="E1221" s="2641"/>
      <c r="F1221" s="2644">
        <v>20000000</v>
      </c>
    </row>
    <row r="1222" spans="1:6" s="2635" customFormat="1" ht="16.5" x14ac:dyDescent="0.25">
      <c r="A1222" s="2642" t="s">
        <v>3797</v>
      </c>
      <c r="B1222" s="2643" t="s">
        <v>302</v>
      </c>
      <c r="C1222" s="3086"/>
      <c r="D1222" s="2644">
        <v>10000000</v>
      </c>
      <c r="E1222" s="2641">
        <v>7019600</v>
      </c>
      <c r="F1222" s="2644">
        <v>10000000</v>
      </c>
    </row>
    <row r="1223" spans="1:6" s="2635" customFormat="1" ht="16.5" x14ac:dyDescent="0.25">
      <c r="A1223" s="2639">
        <v>32030100</v>
      </c>
      <c r="B1223" s="2650" t="s">
        <v>472</v>
      </c>
      <c r="C1223" s="2650"/>
      <c r="D1223" s="2644"/>
      <c r="E1223" s="2641"/>
      <c r="F1223" s="2644"/>
    </row>
    <row r="1224" spans="1:6" s="2635" customFormat="1" ht="16.5" x14ac:dyDescent="0.25">
      <c r="A1224" s="2639">
        <v>32030109</v>
      </c>
      <c r="B1224" s="2650" t="s">
        <v>3517</v>
      </c>
      <c r="C1224" s="2650"/>
      <c r="D1224" s="2646">
        <f>SUM(D1225:D1229)</f>
        <v>70000000</v>
      </c>
      <c r="E1224" s="2646">
        <f>SUM(E1225:E1229)</f>
        <v>2660000</v>
      </c>
      <c r="F1224" s="2646">
        <f>SUM(F1225:F1229)</f>
        <v>275500000</v>
      </c>
    </row>
    <row r="1225" spans="1:6" s="2635" customFormat="1" ht="16.5" x14ac:dyDescent="0.25">
      <c r="A1225" s="2642" t="s">
        <v>3798</v>
      </c>
      <c r="B1225" s="2647" t="s">
        <v>907</v>
      </c>
      <c r="C1225" s="2647"/>
      <c r="D1225" s="2644">
        <v>0</v>
      </c>
      <c r="E1225" s="2644"/>
      <c r="F1225" s="2644">
        <v>100000000</v>
      </c>
    </row>
    <row r="1226" spans="1:6" s="2635" customFormat="1" ht="16.5" x14ac:dyDescent="0.25">
      <c r="A1226" s="2642" t="s">
        <v>3799</v>
      </c>
      <c r="B1226" s="2647" t="s">
        <v>301</v>
      </c>
      <c r="C1226" s="2647"/>
      <c r="D1226" s="2644">
        <v>20000000</v>
      </c>
      <c r="E1226" s="2644">
        <v>2660000</v>
      </c>
      <c r="F1226" s="2644">
        <v>20000000</v>
      </c>
    </row>
    <row r="1227" spans="1:6" s="2635" customFormat="1" ht="16.5" x14ac:dyDescent="0.25">
      <c r="A1227" s="2642" t="s">
        <v>3800</v>
      </c>
      <c r="B1227" s="2647" t="s">
        <v>1862</v>
      </c>
      <c r="C1227" s="2647"/>
      <c r="D1227" s="2644">
        <v>25000000</v>
      </c>
      <c r="E1227" s="2638"/>
      <c r="F1227" s="2644">
        <v>25000000</v>
      </c>
    </row>
    <row r="1228" spans="1:6" s="2635" customFormat="1" ht="16.5" x14ac:dyDescent="0.25">
      <c r="A1228" s="2642" t="s">
        <v>3801</v>
      </c>
      <c r="B1228" s="2647" t="s">
        <v>2618</v>
      </c>
      <c r="C1228" s="2647"/>
      <c r="D1228" s="2644">
        <v>25000000</v>
      </c>
      <c r="E1228" s="2638"/>
      <c r="F1228" s="2644">
        <v>25000000</v>
      </c>
    </row>
    <row r="1229" spans="1:6" s="2635" customFormat="1" ht="16.5" x14ac:dyDescent="0.25">
      <c r="A1229" s="2642" t="s">
        <v>3802</v>
      </c>
      <c r="B1229" s="2643" t="s">
        <v>1863</v>
      </c>
      <c r="C1229" s="2643"/>
      <c r="D1229" s="2644"/>
      <c r="E1229" s="2644"/>
      <c r="F1229" s="2644">
        <v>105500000</v>
      </c>
    </row>
    <row r="1230" spans="1:6" s="2963" customFormat="1" ht="16.5" x14ac:dyDescent="0.2">
      <c r="A1230" s="2957">
        <v>22020300</v>
      </c>
      <c r="B1230" s="2959" t="s">
        <v>66</v>
      </c>
      <c r="C1230" s="2961"/>
      <c r="D1230" s="2960"/>
      <c r="E1230" s="2961"/>
      <c r="F1230" s="2962"/>
    </row>
    <row r="1231" spans="1:6" s="2963" customFormat="1" ht="16.5" x14ac:dyDescent="0.25">
      <c r="A1231" s="2957">
        <v>22020302</v>
      </c>
      <c r="B1231" s="2959" t="s">
        <v>1196</v>
      </c>
      <c r="C1231" s="2964"/>
      <c r="D1231" s="2646">
        <f>SUM(D1232:D1232)</f>
        <v>60000000</v>
      </c>
      <c r="E1231" s="2646">
        <f>SUM(E1232:E1232)</f>
        <v>51000000</v>
      </c>
      <c r="F1231" s="2646">
        <f t="shared" ref="F1231" si="74">SUM(F1232:F1232)</f>
        <v>60000000</v>
      </c>
    </row>
    <row r="1232" spans="1:6" s="2635" customFormat="1" ht="16.5" x14ac:dyDescent="0.25">
      <c r="A1232" s="2642" t="s">
        <v>4223</v>
      </c>
      <c r="B1232" s="2643" t="s">
        <v>300</v>
      </c>
      <c r="C1232" s="2643"/>
      <c r="D1232" s="2644">
        <v>60000000</v>
      </c>
      <c r="E1232" s="2644">
        <v>51000000</v>
      </c>
      <c r="F1232" s="2644">
        <v>60000000</v>
      </c>
    </row>
    <row r="1233" spans="1:6" s="2654" customFormat="1" ht="17.25" thickBot="1" x14ac:dyDescent="0.3">
      <c r="A1233" s="2639"/>
      <c r="B1233" s="2653"/>
      <c r="C1233" s="2653"/>
      <c r="D1233" s="3087"/>
      <c r="E1233" s="3088"/>
      <c r="F1233" s="3088"/>
    </row>
    <row r="1234" spans="1:6" ht="19.5" thickBot="1" x14ac:dyDescent="0.35">
      <c r="A1234" s="2562"/>
      <c r="B1234" s="2566" t="s">
        <v>1355</v>
      </c>
      <c r="C1234" s="2566"/>
      <c r="D1234" s="2739">
        <f>SUM(D1199,D1206,D1212,D1215,D1218,D1220,D1224,D1231)</f>
        <v>655500000</v>
      </c>
      <c r="E1234" s="2739">
        <f>SUM(E1199,E1206,E1212,E1215,E1218,E1220,E1224,E1231)</f>
        <v>310675000</v>
      </c>
      <c r="F1234" s="2739">
        <f>SUM(F1199,F1206,F1212,F1215,F1218,F1220,F1224,F1231)</f>
        <v>874000000</v>
      </c>
    </row>
    <row r="1235" spans="1:6" x14ac:dyDescent="0.3">
      <c r="A1235" s="3517"/>
      <c r="B1235" s="3517"/>
      <c r="C1235" s="3517"/>
      <c r="D1235" s="3517"/>
      <c r="E1235" s="3517"/>
      <c r="F1235" s="3517"/>
    </row>
    <row r="1236" spans="1:6" x14ac:dyDescent="0.3">
      <c r="A1236" s="3517"/>
      <c r="B1236" s="3517"/>
      <c r="C1236" s="3517"/>
      <c r="D1236" s="3517"/>
      <c r="E1236" s="3517"/>
      <c r="F1236" s="3517"/>
    </row>
    <row r="1237" spans="1:6" x14ac:dyDescent="0.3">
      <c r="A1237" s="3517" t="s">
        <v>147</v>
      </c>
      <c r="B1237" s="3517"/>
      <c r="C1237" s="3517"/>
      <c r="D1237" s="3517"/>
      <c r="E1237" s="3517"/>
      <c r="F1237" s="3517"/>
    </row>
    <row r="1238" spans="1:6" ht="19.5" thickBot="1" x14ac:dyDescent="0.35">
      <c r="A1238" s="3516" t="s">
        <v>551</v>
      </c>
      <c r="B1238" s="3516"/>
      <c r="C1238" s="3516"/>
      <c r="D1238" s="3516"/>
      <c r="E1238" s="3516"/>
      <c r="F1238" s="3516"/>
    </row>
    <row r="1239" spans="1:6" s="2549" customFormat="1" ht="57" thickBot="1" x14ac:dyDescent="0.25">
      <c r="A1239" s="2548" t="s">
        <v>1</v>
      </c>
      <c r="B1239" s="2290" t="s">
        <v>282</v>
      </c>
      <c r="C1239" s="2548" t="s">
        <v>3197</v>
      </c>
      <c r="D1239" s="2292" t="s">
        <v>1174</v>
      </c>
      <c r="E1239" s="2292" t="s">
        <v>1145</v>
      </c>
      <c r="F1239" s="2292" t="s">
        <v>3096</v>
      </c>
    </row>
    <row r="1240" spans="1:6" x14ac:dyDescent="0.3">
      <c r="A1240" s="2630">
        <v>32000000</v>
      </c>
      <c r="B1240" s="2726" t="s">
        <v>462</v>
      </c>
      <c r="C1240" s="2726"/>
      <c r="D1240" s="2969"/>
      <c r="E1240" s="2634"/>
      <c r="F1240" s="2969"/>
    </row>
    <row r="1241" spans="1:6" x14ac:dyDescent="0.3">
      <c r="A1241" s="170">
        <v>32010000</v>
      </c>
      <c r="B1241" s="2558" t="s">
        <v>463</v>
      </c>
      <c r="C1241" s="2558"/>
      <c r="D1241" s="2622"/>
      <c r="E1241" s="2559"/>
      <c r="F1241" s="2622"/>
    </row>
    <row r="1242" spans="1:6" x14ac:dyDescent="0.3">
      <c r="A1242" s="170">
        <v>32010100</v>
      </c>
      <c r="B1242" s="2558" t="s">
        <v>464</v>
      </c>
      <c r="C1242" s="2558"/>
      <c r="D1242" s="2622"/>
      <c r="E1242" s="2559"/>
      <c r="F1242" s="2622"/>
    </row>
    <row r="1243" spans="1:6" x14ac:dyDescent="0.3">
      <c r="A1243" s="170">
        <v>32010101</v>
      </c>
      <c r="B1243" s="2558" t="s">
        <v>3212</v>
      </c>
      <c r="C1243" s="2558"/>
      <c r="D1243" s="2560">
        <f>SUM(D1244:D1245)</f>
        <v>30000000</v>
      </c>
      <c r="E1243" s="2560">
        <f t="shared" ref="E1243:F1243" si="75">SUM(E1244:E1245)</f>
        <v>11350000</v>
      </c>
      <c r="F1243" s="2560">
        <f t="shared" si="75"/>
        <v>45000000</v>
      </c>
    </row>
    <row r="1244" spans="1:6" x14ac:dyDescent="0.3">
      <c r="A1244" s="2562" t="s">
        <v>3803</v>
      </c>
      <c r="B1244" s="2970" t="s">
        <v>913</v>
      </c>
      <c r="C1244" s="2970"/>
      <c r="D1244" s="2622">
        <v>30000000</v>
      </c>
      <c r="E1244" s="2559">
        <v>11350000</v>
      </c>
      <c r="F1244" s="2622">
        <v>20000000</v>
      </c>
    </row>
    <row r="1245" spans="1:6" x14ac:dyDescent="0.3">
      <c r="A1245" s="2562" t="s">
        <v>3804</v>
      </c>
      <c r="B1245" s="2970" t="s">
        <v>914</v>
      </c>
      <c r="C1245" s="2970"/>
      <c r="D1245" s="2622">
        <v>0</v>
      </c>
      <c r="E1245" s="2559"/>
      <c r="F1245" s="2622">
        <v>25000000</v>
      </c>
    </row>
    <row r="1246" spans="1:6" x14ac:dyDescent="0.3">
      <c r="A1246" s="170">
        <v>32010102</v>
      </c>
      <c r="B1246" s="2558" t="s">
        <v>3213</v>
      </c>
      <c r="C1246" s="2970"/>
      <c r="D1246" s="2560">
        <f>SUM(D1247:D1249)</f>
        <v>30000000</v>
      </c>
      <c r="E1246" s="2560">
        <f t="shared" ref="E1246:F1246" si="76">SUM(E1247:E1249)</f>
        <v>13500000</v>
      </c>
      <c r="F1246" s="2560">
        <f t="shared" si="76"/>
        <v>60000000</v>
      </c>
    </row>
    <row r="1247" spans="1:6" x14ac:dyDescent="0.3">
      <c r="A1247" s="2562" t="s">
        <v>3805</v>
      </c>
      <c r="B1247" s="2970" t="s">
        <v>1866</v>
      </c>
      <c r="C1247" s="2970"/>
      <c r="D1247" s="2622">
        <v>0</v>
      </c>
      <c r="E1247" s="2559"/>
      <c r="F1247" s="2622">
        <v>45000000</v>
      </c>
    </row>
    <row r="1248" spans="1:6" x14ac:dyDescent="0.3">
      <c r="A1248" s="2562" t="s">
        <v>3806</v>
      </c>
      <c r="B1248" s="2970" t="s">
        <v>516</v>
      </c>
      <c r="C1248" s="2970"/>
      <c r="D1248" s="2622">
        <v>15000000</v>
      </c>
      <c r="E1248" s="2559">
        <v>13500000</v>
      </c>
      <c r="F1248" s="2622">
        <v>0</v>
      </c>
    </row>
    <row r="1249" spans="1:6" x14ac:dyDescent="0.3">
      <c r="A1249" s="2562" t="s">
        <v>3807</v>
      </c>
      <c r="B1249" s="2970" t="s">
        <v>915</v>
      </c>
      <c r="C1249" s="2970"/>
      <c r="D1249" s="2622">
        <v>15000000</v>
      </c>
      <c r="E1249" s="2584"/>
      <c r="F1249" s="2622">
        <v>15000000</v>
      </c>
    </row>
    <row r="1250" spans="1:6" x14ac:dyDescent="0.3">
      <c r="A1250" s="170">
        <v>32010200</v>
      </c>
      <c r="B1250" s="2558" t="s">
        <v>465</v>
      </c>
      <c r="C1250" s="2558"/>
      <c r="D1250" s="2559"/>
      <c r="E1250" s="2559"/>
      <c r="F1250" s="2559"/>
    </row>
    <row r="1251" spans="1:6" x14ac:dyDescent="0.3">
      <c r="A1251" s="170">
        <v>32010214</v>
      </c>
      <c r="B1251" s="2558" t="s">
        <v>3836</v>
      </c>
      <c r="C1251" s="2558"/>
      <c r="D1251" s="2600">
        <f>SUM(D1252)</f>
        <v>5000000</v>
      </c>
      <c r="E1251" s="2600">
        <f t="shared" ref="E1251:F1251" si="77">SUM(E1252)</f>
        <v>4200000</v>
      </c>
      <c r="F1251" s="2600">
        <f t="shared" si="77"/>
        <v>5000000</v>
      </c>
    </row>
    <row r="1252" spans="1:6" x14ac:dyDescent="0.3">
      <c r="A1252" s="2562" t="s">
        <v>3808</v>
      </c>
      <c r="B1252" s="2970" t="s">
        <v>2545</v>
      </c>
      <c r="C1252" s="2970"/>
      <c r="D1252" s="2622">
        <v>5000000</v>
      </c>
      <c r="E1252" s="2584">
        <v>4200000</v>
      </c>
      <c r="F1252" s="2622">
        <v>5000000</v>
      </c>
    </row>
    <row r="1253" spans="1:6" s="2963" customFormat="1" ht="16.5" x14ac:dyDescent="0.2">
      <c r="A1253" s="2957">
        <v>22020300</v>
      </c>
      <c r="B1253" s="2959" t="s">
        <v>66</v>
      </c>
      <c r="C1253" s="2960"/>
      <c r="D1253" s="2960"/>
      <c r="E1253" s="2960"/>
      <c r="F1253" s="2962"/>
    </row>
    <row r="1254" spans="1:6" s="2963" customFormat="1" x14ac:dyDescent="0.3">
      <c r="A1254" s="2957">
        <v>22020302</v>
      </c>
      <c r="B1254" s="2959" t="s">
        <v>1196</v>
      </c>
      <c r="C1254" s="2964"/>
      <c r="D1254" s="2600">
        <f>SUM(D1255:D1256)</f>
        <v>22500000</v>
      </c>
      <c r="E1254" s="2600">
        <f t="shared" ref="E1254:F1254" si="78">SUM(E1255:E1256)</f>
        <v>11700000</v>
      </c>
      <c r="F1254" s="2600">
        <f t="shared" si="78"/>
        <v>17500000</v>
      </c>
    </row>
    <row r="1255" spans="1:6" x14ac:dyDescent="0.3">
      <c r="A1255" s="2562" t="s">
        <v>3809</v>
      </c>
      <c r="B1255" s="1981" t="s">
        <v>304</v>
      </c>
      <c r="C1255" s="1981"/>
      <c r="D1255" s="2584">
        <v>15000000</v>
      </c>
      <c r="E1255" s="2584">
        <v>7000000</v>
      </c>
      <c r="F1255" s="2584">
        <v>10000000</v>
      </c>
    </row>
    <row r="1256" spans="1:6" x14ac:dyDescent="0.3">
      <c r="A1256" s="2562" t="s">
        <v>3810</v>
      </c>
      <c r="B1256" s="1981" t="s">
        <v>916</v>
      </c>
      <c r="C1256" s="1981"/>
      <c r="D1256" s="2584">
        <v>7500000</v>
      </c>
      <c r="E1256" s="2584">
        <v>4700000</v>
      </c>
      <c r="F1256" s="2584">
        <v>7500000</v>
      </c>
    </row>
    <row r="1257" spans="1:6" x14ac:dyDescent="0.3">
      <c r="A1257" s="170">
        <v>32010300</v>
      </c>
      <c r="B1257" s="2558" t="s">
        <v>466</v>
      </c>
      <c r="C1257" s="2558"/>
      <c r="D1257" s="2584"/>
      <c r="E1257" s="2559"/>
      <c r="F1257" s="2584"/>
    </row>
    <row r="1258" spans="1:6" x14ac:dyDescent="0.3">
      <c r="A1258" s="170">
        <v>32010305</v>
      </c>
      <c r="B1258" s="2558" t="s">
        <v>3206</v>
      </c>
      <c r="C1258" s="2558"/>
      <c r="D1258" s="2600">
        <f>SUM(D1259:D1259)</f>
        <v>25000000</v>
      </c>
      <c r="E1258" s="2600">
        <f>SUM(E1259:E1259)</f>
        <v>0</v>
      </c>
      <c r="F1258" s="2600">
        <v>25000000</v>
      </c>
    </row>
    <row r="1259" spans="1:6" x14ac:dyDescent="0.3">
      <c r="A1259" s="2562" t="s">
        <v>3811</v>
      </c>
      <c r="B1259" s="1981" t="s">
        <v>918</v>
      </c>
      <c r="C1259" s="1981"/>
      <c r="D1259" s="2584">
        <v>25000000</v>
      </c>
      <c r="E1259" s="2584">
        <v>0</v>
      </c>
      <c r="F1259" s="2584">
        <v>25000000</v>
      </c>
    </row>
    <row r="1260" spans="1:6" x14ac:dyDescent="0.3">
      <c r="A1260" s="170">
        <v>32010400</v>
      </c>
      <c r="B1260" s="2558" t="s">
        <v>467</v>
      </c>
      <c r="C1260" s="2558"/>
      <c r="D1260" s="2559"/>
      <c r="E1260" s="2559"/>
      <c r="F1260" s="2559"/>
    </row>
    <row r="1261" spans="1:6" x14ac:dyDescent="0.3">
      <c r="A1261" s="170">
        <v>32010405</v>
      </c>
      <c r="B1261" s="2558" t="s">
        <v>3452</v>
      </c>
      <c r="C1261" s="2558"/>
      <c r="D1261" s="2560">
        <f>SUM(D1262:D1262)</f>
        <v>50000000</v>
      </c>
      <c r="E1261" s="2560">
        <f>SUM(E1262:E1262)</f>
        <v>48500000</v>
      </c>
      <c r="F1261" s="2560">
        <f>SUM(F1262:F1262)</f>
        <v>40000000</v>
      </c>
    </row>
    <row r="1262" spans="1:6" x14ac:dyDescent="0.3">
      <c r="A1262" s="2562" t="s">
        <v>3812</v>
      </c>
      <c r="B1262" s="1981" t="s">
        <v>303</v>
      </c>
      <c r="C1262" s="1981"/>
      <c r="D1262" s="2584">
        <v>50000000</v>
      </c>
      <c r="E1262" s="2584">
        <v>48500000</v>
      </c>
      <c r="F1262" s="2584">
        <v>40000000</v>
      </c>
    </row>
    <row r="1263" spans="1:6" s="2257" customFormat="1" x14ac:dyDescent="0.3">
      <c r="A1263" s="2965">
        <v>32010501</v>
      </c>
      <c r="B1263" s="2967" t="s">
        <v>3414</v>
      </c>
      <c r="C1263" s="2967"/>
      <c r="D1263" s="2600">
        <f>SUM(D1264)</f>
        <v>0</v>
      </c>
      <c r="E1263" s="2600">
        <f>SUM(E1264)</f>
        <v>0</v>
      </c>
      <c r="F1263" s="2600">
        <f>SUM(F1264)</f>
        <v>10000000</v>
      </c>
    </row>
    <row r="1264" spans="1:6" x14ac:dyDescent="0.3">
      <c r="A1264" s="2562" t="s">
        <v>3813</v>
      </c>
      <c r="B1264" s="1981" t="s">
        <v>917</v>
      </c>
      <c r="C1264" s="1981"/>
      <c r="D1264" s="2584">
        <v>0</v>
      </c>
      <c r="E1264" s="2584"/>
      <c r="F1264" s="2584">
        <v>10000000</v>
      </c>
    </row>
    <row r="1265" spans="1:6" x14ac:dyDescent="0.3">
      <c r="A1265" s="170">
        <v>32010600</v>
      </c>
      <c r="B1265" s="2558" t="s">
        <v>3837</v>
      </c>
      <c r="C1265" s="2558"/>
      <c r="D1265" s="2559"/>
      <c r="E1265" s="2559"/>
      <c r="F1265" s="2559"/>
    </row>
    <row r="1266" spans="1:6" x14ac:dyDescent="0.3">
      <c r="A1266" s="170">
        <v>32010601</v>
      </c>
      <c r="B1266" s="2558" t="s">
        <v>3479</v>
      </c>
      <c r="C1266" s="2558"/>
      <c r="D1266" s="2560">
        <f>SUM(D1267:D1268)</f>
        <v>40000000</v>
      </c>
      <c r="E1266" s="2560">
        <f>SUM(E1267:E1268)</f>
        <v>14000000</v>
      </c>
      <c r="F1266" s="2560">
        <f>SUM(F1267:F1268)</f>
        <v>25000000</v>
      </c>
    </row>
    <row r="1267" spans="1:6" x14ac:dyDescent="0.3">
      <c r="A1267" s="2562" t="s">
        <v>3814</v>
      </c>
      <c r="B1267" s="1981" t="s">
        <v>919</v>
      </c>
      <c r="C1267" s="1981"/>
      <c r="D1267" s="2584">
        <v>25000000</v>
      </c>
      <c r="E1267" s="2584">
        <v>14000000</v>
      </c>
      <c r="F1267" s="2584">
        <v>15000000</v>
      </c>
    </row>
    <row r="1268" spans="1:6" x14ac:dyDescent="0.3">
      <c r="A1268" s="2562" t="s">
        <v>3815</v>
      </c>
      <c r="B1268" s="1981" t="s">
        <v>920</v>
      </c>
      <c r="C1268" s="1981"/>
      <c r="D1268" s="2584">
        <v>15000000</v>
      </c>
      <c r="E1268" s="2584"/>
      <c r="F1268" s="2584">
        <v>10000000</v>
      </c>
    </row>
    <row r="1269" spans="1:6" ht="19.5" thickBot="1" x14ac:dyDescent="0.35">
      <c r="A1269" s="2562"/>
      <c r="B1269" s="1981"/>
      <c r="C1269" s="1981"/>
      <c r="D1269" s="2612"/>
      <c r="E1269" s="2677"/>
      <c r="F1269" s="2612"/>
    </row>
    <row r="1270" spans="1:6" ht="19.5" thickBot="1" x14ac:dyDescent="0.35">
      <c r="A1270" s="2562"/>
      <c r="B1270" s="2566" t="s">
        <v>1356</v>
      </c>
      <c r="C1270" s="2565"/>
      <c r="D1270" s="2595">
        <f>SUM(D1243,D1246,D1251,D1254,D1258,D1261,D1263,D1266)</f>
        <v>202500000</v>
      </c>
      <c r="E1270" s="2595">
        <f t="shared" ref="E1270:F1270" si="79">SUM(E1243,E1246,E1251,E1254,E1258,E1261,E1263,E1266)</f>
        <v>103250000</v>
      </c>
      <c r="F1270" s="2595">
        <f t="shared" si="79"/>
        <v>227500000</v>
      </c>
    </row>
    <row r="1271" spans="1:6" x14ac:dyDescent="0.3">
      <c r="A1271" s="2576"/>
      <c r="B1271" s="2577"/>
      <c r="C1271" s="2577"/>
      <c r="D1271" s="2578"/>
      <c r="E1271" s="2578"/>
      <c r="F1271" s="2578"/>
    </row>
    <row r="1272" spans="1:6" x14ac:dyDescent="0.3">
      <c r="A1272" s="3518" t="s">
        <v>147</v>
      </c>
      <c r="B1272" s="3518"/>
      <c r="C1272" s="3518"/>
      <c r="D1272" s="3518"/>
      <c r="E1272" s="3518"/>
      <c r="F1272" s="3518"/>
    </row>
    <row r="1273" spans="1:6" ht="19.5" thickBot="1" x14ac:dyDescent="0.35">
      <c r="A1273" s="3516" t="s">
        <v>2987</v>
      </c>
      <c r="B1273" s="3516"/>
      <c r="C1273" s="3516"/>
      <c r="D1273" s="3516"/>
      <c r="E1273" s="3516"/>
      <c r="F1273" s="3516"/>
    </row>
    <row r="1274" spans="1:6" s="2549" customFormat="1" ht="57" thickBot="1" x14ac:dyDescent="0.25">
      <c r="A1274" s="2548" t="s">
        <v>1</v>
      </c>
      <c r="B1274" s="2290" t="s">
        <v>282</v>
      </c>
      <c r="C1274" s="2548" t="s">
        <v>3197</v>
      </c>
      <c r="D1274" s="2292" t="s">
        <v>1174</v>
      </c>
      <c r="E1274" s="2292" t="s">
        <v>1145</v>
      </c>
      <c r="F1274" s="2292" t="s">
        <v>3096</v>
      </c>
    </row>
    <row r="1275" spans="1:6" s="2599" customFormat="1" x14ac:dyDescent="0.3">
      <c r="A1275" s="2803"/>
      <c r="B1275" s="2815"/>
      <c r="C1275" s="2956"/>
      <c r="D1275" s="2634"/>
      <c r="E1275" s="2552"/>
      <c r="F1275" s="2634"/>
    </row>
    <row r="1276" spans="1:6" x14ac:dyDescent="0.3">
      <c r="A1276" s="2838">
        <v>32000000</v>
      </c>
      <c r="B1276" s="2555" t="s">
        <v>462</v>
      </c>
      <c r="C1276" s="2555"/>
      <c r="D1276" s="2556"/>
      <c r="E1276" s="2556"/>
      <c r="F1276" s="2556"/>
    </row>
    <row r="1277" spans="1:6" x14ac:dyDescent="0.3">
      <c r="A1277" s="2624">
        <v>32010000</v>
      </c>
      <c r="B1277" s="2558" t="s">
        <v>463</v>
      </c>
      <c r="C1277" s="2558"/>
      <c r="D1277" s="2559"/>
      <c r="E1277" s="2559"/>
      <c r="F1277" s="2559"/>
    </row>
    <row r="1278" spans="1:6" x14ac:dyDescent="0.3">
      <c r="A1278" s="2624">
        <v>32010100</v>
      </c>
      <c r="B1278" s="2558" t="s">
        <v>464</v>
      </c>
      <c r="C1278" s="2558"/>
      <c r="D1278" s="2559"/>
      <c r="E1278" s="2559"/>
      <c r="F1278" s="2559"/>
    </row>
    <row r="1279" spans="1:6" x14ac:dyDescent="0.3">
      <c r="A1279" s="2624">
        <v>32010101</v>
      </c>
      <c r="B1279" s="2557" t="s">
        <v>3212</v>
      </c>
      <c r="C1279" s="2558"/>
      <c r="D1279" s="2600">
        <f>SUM(D1280:D1280)</f>
        <v>20000000</v>
      </c>
      <c r="E1279" s="2600">
        <f>SUM(E1280:E1280)</f>
        <v>10000000</v>
      </c>
      <c r="F1279" s="2971">
        <f>SUM(F1280:F1280)</f>
        <v>0</v>
      </c>
    </row>
    <row r="1280" spans="1:6" x14ac:dyDescent="0.3">
      <c r="A1280" s="2562" t="s">
        <v>3816</v>
      </c>
      <c r="B1280" s="1981" t="s">
        <v>908</v>
      </c>
      <c r="C1280" s="1981"/>
      <c r="D1280" s="2818">
        <v>20000000</v>
      </c>
      <c r="E1280" s="2584">
        <v>10000000</v>
      </c>
      <c r="F1280" s="2667">
        <v>0</v>
      </c>
    </row>
    <row r="1281" spans="1:6" x14ac:dyDescent="0.3">
      <c r="A1281" s="2562" t="s">
        <v>3817</v>
      </c>
      <c r="B1281" s="1981" t="s">
        <v>2990</v>
      </c>
      <c r="C1281" s="1981"/>
      <c r="D1281" s="2818"/>
      <c r="E1281" s="2584"/>
      <c r="F1281" s="2667"/>
    </row>
    <row r="1282" spans="1:6" x14ac:dyDescent="0.3">
      <c r="A1282" s="170">
        <v>32010400</v>
      </c>
      <c r="B1282" s="2558" t="s">
        <v>467</v>
      </c>
      <c r="C1282" s="2558"/>
      <c r="D1282" s="2818"/>
      <c r="E1282" s="2556"/>
      <c r="F1282" s="2584"/>
    </row>
    <row r="1283" spans="1:6" x14ac:dyDescent="0.3">
      <c r="A1283" s="170">
        <v>32010405</v>
      </c>
      <c r="B1283" s="2558" t="s">
        <v>3452</v>
      </c>
      <c r="C1283" s="2558"/>
      <c r="D1283" s="2756">
        <f>SUM(D1284:D1284)</f>
        <v>0</v>
      </c>
      <c r="E1283" s="2600">
        <f>SUM(E1284:E1284)</f>
        <v>0</v>
      </c>
      <c r="F1283" s="2600">
        <f>SUM(F1284:F1284)</f>
        <v>14000000</v>
      </c>
    </row>
    <row r="1284" spans="1:6" x14ac:dyDescent="0.3">
      <c r="A1284" s="2562" t="s">
        <v>3818</v>
      </c>
      <c r="B1284" s="2582" t="s">
        <v>1521</v>
      </c>
      <c r="C1284" s="2582"/>
      <c r="D1284" s="2818">
        <v>0</v>
      </c>
      <c r="E1284" s="2556"/>
      <c r="F1284" s="2584">
        <v>14000000</v>
      </c>
    </row>
    <row r="1285" spans="1:6" x14ac:dyDescent="0.3">
      <c r="A1285" s="170">
        <v>320301</v>
      </c>
      <c r="B1285" s="2566" t="s">
        <v>472</v>
      </c>
      <c r="C1285" s="2566"/>
      <c r="D1285" s="2818"/>
      <c r="E1285" s="2556"/>
      <c r="F1285" s="2584"/>
    </row>
    <row r="1286" spans="1:6" x14ac:dyDescent="0.3">
      <c r="A1286" s="170">
        <v>32030109</v>
      </c>
      <c r="B1286" s="2566" t="s">
        <v>3517</v>
      </c>
      <c r="C1286" s="2566"/>
      <c r="D1286" s="2756">
        <f>SUM(D1287:D1287)</f>
        <v>5000000</v>
      </c>
      <c r="E1286" s="2600">
        <f>SUM(E1287:E1287)</f>
        <v>3000000</v>
      </c>
      <c r="F1286" s="2600">
        <f>SUM(F1287:F1287)</f>
        <v>5000000</v>
      </c>
    </row>
    <row r="1287" spans="1:6" x14ac:dyDescent="0.3">
      <c r="A1287" s="2562" t="s">
        <v>3819</v>
      </c>
      <c r="B1287" s="1981" t="s">
        <v>344</v>
      </c>
      <c r="C1287" s="1981"/>
      <c r="D1287" s="2818">
        <v>5000000</v>
      </c>
      <c r="E1287" s="2559">
        <v>3000000</v>
      </c>
      <c r="F1287" s="2584">
        <v>5000000</v>
      </c>
    </row>
    <row r="1288" spans="1:6" ht="19.5" thickBot="1" x14ac:dyDescent="0.35">
      <c r="A1288" s="2562"/>
      <c r="B1288" s="2566"/>
      <c r="C1288" s="2566"/>
      <c r="D1288" s="2771"/>
      <c r="E1288" s="2772"/>
      <c r="F1288" s="2772"/>
    </row>
    <row r="1289" spans="1:6" ht="19.5" thickBot="1" x14ac:dyDescent="0.35">
      <c r="A1289" s="170"/>
      <c r="B1289" s="2566" t="s">
        <v>2989</v>
      </c>
      <c r="C1289" s="2565"/>
      <c r="D1289" s="2595">
        <f>SUM(D1279,D1283,D1286)</f>
        <v>25000000</v>
      </c>
      <c r="E1289" s="2595">
        <f>SUM(E1279,E1283,E1286)</f>
        <v>13000000</v>
      </c>
      <c r="F1289" s="2595">
        <f>SUM(F1279,F1283,F1286)</f>
        <v>19000000</v>
      </c>
    </row>
    <row r="1290" spans="1:6" x14ac:dyDescent="0.3">
      <c r="A1290" s="2576"/>
      <c r="B1290" s="2577"/>
      <c r="C1290" s="2577"/>
      <c r="D1290" s="2578"/>
      <c r="E1290" s="2578"/>
      <c r="F1290" s="2578"/>
    </row>
    <row r="1291" spans="1:6" x14ac:dyDescent="0.3">
      <c r="A1291" s="2576"/>
      <c r="B1291" s="2577"/>
      <c r="C1291" s="2577"/>
      <c r="D1291" s="2578"/>
      <c r="E1291" s="2578"/>
      <c r="F1291" s="2578"/>
    </row>
    <row r="1292" spans="1:6" x14ac:dyDescent="0.3">
      <c r="A1292" s="3524" t="s">
        <v>1758</v>
      </c>
      <c r="B1292" s="3524"/>
      <c r="C1292" s="3524"/>
      <c r="D1292" s="3524"/>
      <c r="E1292" s="3524"/>
      <c r="F1292" s="3524"/>
    </row>
    <row r="1293" spans="1:6" ht="19.5" thickBot="1" x14ac:dyDescent="0.35">
      <c r="A1293" s="3513" t="s">
        <v>1759</v>
      </c>
      <c r="B1293" s="3513"/>
      <c r="C1293" s="3513"/>
      <c r="D1293" s="3513"/>
      <c r="E1293" s="3513"/>
      <c r="F1293" s="3513"/>
    </row>
    <row r="1294" spans="1:6" s="2549" customFormat="1" ht="57" thickBot="1" x14ac:dyDescent="0.25">
      <c r="A1294" s="2548" t="s">
        <v>1</v>
      </c>
      <c r="B1294" s="2290" t="s">
        <v>282</v>
      </c>
      <c r="C1294" s="2548" t="s">
        <v>3197</v>
      </c>
      <c r="D1294" s="2292" t="s">
        <v>1174</v>
      </c>
      <c r="E1294" s="2292" t="s">
        <v>1145</v>
      </c>
      <c r="F1294" s="2292" t="s">
        <v>3096</v>
      </c>
    </row>
    <row r="1295" spans="1:6" s="2599" customFormat="1" x14ac:dyDescent="0.3">
      <c r="A1295" s="2630">
        <v>32000000</v>
      </c>
      <c r="B1295" s="2726" t="s">
        <v>462</v>
      </c>
      <c r="C1295" s="2726"/>
      <c r="D1295" s="2552"/>
      <c r="E1295" s="2552"/>
      <c r="F1295" s="2552"/>
    </row>
    <row r="1296" spans="1:6" x14ac:dyDescent="0.3">
      <c r="A1296" s="170">
        <v>32010100</v>
      </c>
      <c r="B1296" s="2557" t="s">
        <v>471</v>
      </c>
      <c r="C1296" s="2558"/>
      <c r="D1296" s="2559"/>
      <c r="E1296" s="2559"/>
      <c r="F1296" s="2559"/>
    </row>
    <row r="1297" spans="1:6" s="2599" customFormat="1" x14ac:dyDescent="0.3">
      <c r="A1297" s="170">
        <v>3201000</v>
      </c>
      <c r="B1297" s="2565" t="s">
        <v>1760</v>
      </c>
      <c r="C1297" s="2566"/>
      <c r="D1297" s="2600"/>
      <c r="E1297" s="2600"/>
      <c r="F1297" s="2600"/>
    </row>
    <row r="1298" spans="1:6" x14ac:dyDescent="0.3">
      <c r="A1298" s="2624">
        <v>32010101</v>
      </c>
      <c r="B1298" s="2557" t="s">
        <v>3212</v>
      </c>
      <c r="C1298" s="2558"/>
      <c r="D1298" s="2560">
        <f>SUM(D1299:D1306)</f>
        <v>503862500</v>
      </c>
      <c r="E1298" s="2560">
        <f>SUM(E1299:E1306)</f>
        <v>113322052</v>
      </c>
      <c r="F1298" s="2560">
        <f>SUM(F1299:F1306)</f>
        <v>604528900</v>
      </c>
    </row>
    <row r="1299" spans="1:6" ht="37.5" x14ac:dyDescent="0.3">
      <c r="A1299" s="2562" t="s">
        <v>3820</v>
      </c>
      <c r="B1299" s="2563" t="s">
        <v>1507</v>
      </c>
      <c r="C1299" s="1981"/>
      <c r="D1299" s="2584">
        <v>50000000</v>
      </c>
      <c r="E1299" s="2584"/>
      <c r="F1299" s="2584" t="s">
        <v>179</v>
      </c>
    </row>
    <row r="1300" spans="1:6" ht="37.5" x14ac:dyDescent="0.3">
      <c r="A1300" s="2562" t="s">
        <v>3821</v>
      </c>
      <c r="B1300" s="2972" t="s">
        <v>1761</v>
      </c>
      <c r="C1300" s="2589"/>
      <c r="D1300" s="2584">
        <v>50000000</v>
      </c>
      <c r="E1300" s="2584">
        <v>29877000</v>
      </c>
      <c r="F1300" s="2584" t="s">
        <v>179</v>
      </c>
    </row>
    <row r="1301" spans="1:6" x14ac:dyDescent="0.3">
      <c r="A1301" s="2562" t="s">
        <v>3822</v>
      </c>
      <c r="B1301" s="2972" t="s">
        <v>1762</v>
      </c>
      <c r="C1301" s="2589"/>
      <c r="D1301" s="2584">
        <v>30000000</v>
      </c>
      <c r="E1301" s="2584"/>
      <c r="F1301" s="2584">
        <v>0</v>
      </c>
    </row>
    <row r="1302" spans="1:6" ht="37.5" x14ac:dyDescent="0.3">
      <c r="A1302" s="2562" t="s">
        <v>3823</v>
      </c>
      <c r="B1302" s="2563" t="s">
        <v>922</v>
      </c>
      <c r="C1302" s="1981"/>
      <c r="D1302" s="2710">
        <v>100000000</v>
      </c>
      <c r="E1302" s="2710">
        <v>83445052</v>
      </c>
      <c r="F1302" s="2710">
        <v>156000000</v>
      </c>
    </row>
    <row r="1303" spans="1:6" x14ac:dyDescent="0.3">
      <c r="A1303" s="2562" t="s">
        <v>3824</v>
      </c>
      <c r="B1303" s="2563" t="s">
        <v>3034</v>
      </c>
      <c r="C1303" s="1981"/>
      <c r="D1303" s="2584">
        <v>100000000</v>
      </c>
      <c r="E1303" s="2584"/>
      <c r="F1303" s="2584">
        <v>245880800</v>
      </c>
    </row>
    <row r="1304" spans="1:6" x14ac:dyDescent="0.3">
      <c r="A1304" s="2562" t="s">
        <v>3825</v>
      </c>
      <c r="B1304" s="2972" t="s">
        <v>923</v>
      </c>
      <c r="C1304" s="2589"/>
      <c r="D1304" s="2584">
        <v>5000000</v>
      </c>
      <c r="E1304" s="2584"/>
      <c r="F1304" s="2584">
        <v>15000000</v>
      </c>
    </row>
    <row r="1305" spans="1:6" ht="37.5" x14ac:dyDescent="0.3">
      <c r="A1305" s="2562" t="s">
        <v>3826</v>
      </c>
      <c r="B1305" s="2563" t="s">
        <v>1508</v>
      </c>
      <c r="C1305" s="1981"/>
      <c r="D1305" s="2584">
        <v>150000000</v>
      </c>
      <c r="E1305" s="2584"/>
      <c r="F1305" s="2584">
        <v>159648100</v>
      </c>
    </row>
    <row r="1306" spans="1:6" x14ac:dyDescent="0.3">
      <c r="A1306" s="2562" t="s">
        <v>3827</v>
      </c>
      <c r="B1306" s="2563" t="s">
        <v>924</v>
      </c>
      <c r="C1306" s="1981"/>
      <c r="D1306" s="2584">
        <v>18862500</v>
      </c>
      <c r="E1306" s="2584"/>
      <c r="F1306" s="2584">
        <v>28000000</v>
      </c>
    </row>
    <row r="1307" spans="1:6" x14ac:dyDescent="0.3">
      <c r="A1307" s="2624">
        <v>32010102</v>
      </c>
      <c r="B1307" s="2557" t="s">
        <v>3213</v>
      </c>
      <c r="C1307" s="2589"/>
      <c r="D1307" s="2600">
        <f>SUM(D1308)</f>
        <v>30000000</v>
      </c>
      <c r="E1307" s="2600">
        <f t="shared" ref="E1307:F1307" si="80">SUM(E1308)</f>
        <v>0</v>
      </c>
      <c r="F1307" s="2600">
        <f t="shared" si="80"/>
        <v>0</v>
      </c>
    </row>
    <row r="1308" spans="1:6" x14ac:dyDescent="0.3">
      <c r="A1308" s="2562" t="s">
        <v>3828</v>
      </c>
      <c r="B1308" s="2563" t="s">
        <v>921</v>
      </c>
      <c r="C1308" s="1981"/>
      <c r="D1308" s="2584">
        <v>30000000</v>
      </c>
      <c r="E1308" s="2584" t="s">
        <v>179</v>
      </c>
      <c r="F1308" s="2584">
        <v>0</v>
      </c>
    </row>
    <row r="1309" spans="1:6" x14ac:dyDescent="0.3">
      <c r="A1309" s="170">
        <v>32010211</v>
      </c>
      <c r="B1309" s="2565" t="s">
        <v>3838</v>
      </c>
      <c r="C1309" s="1981"/>
      <c r="D1309" s="2600">
        <f>SUM(D1310)</f>
        <v>5000000</v>
      </c>
      <c r="E1309" s="2600">
        <f t="shared" ref="E1309:F1309" si="81">SUM(E1310)</f>
        <v>3500000</v>
      </c>
      <c r="F1309" s="2600">
        <f t="shared" si="81"/>
        <v>5000000</v>
      </c>
    </row>
    <row r="1310" spans="1:6" x14ac:dyDescent="0.3">
      <c r="A1310" s="2562" t="s">
        <v>3829</v>
      </c>
      <c r="B1310" s="2563" t="s">
        <v>925</v>
      </c>
      <c r="C1310" s="1981"/>
      <c r="D1310" s="2584">
        <v>5000000</v>
      </c>
      <c r="E1310" s="2559">
        <v>3500000</v>
      </c>
      <c r="F1310" s="2584">
        <v>5000000</v>
      </c>
    </row>
    <row r="1311" spans="1:6" x14ac:dyDescent="0.3">
      <c r="A1311" s="170">
        <v>32010400</v>
      </c>
      <c r="B1311" s="2557" t="s">
        <v>467</v>
      </c>
      <c r="C1311" s="2558"/>
      <c r="D1311" s="2584"/>
      <c r="E1311" s="2560"/>
      <c r="F1311" s="2584"/>
    </row>
    <row r="1312" spans="1:6" x14ac:dyDescent="0.3">
      <c r="A1312" s="170">
        <v>32010405</v>
      </c>
      <c r="B1312" s="2557" t="s">
        <v>3452</v>
      </c>
      <c r="C1312" s="2558"/>
      <c r="D1312" s="2600">
        <f>SUM(D1313)</f>
        <v>60000000</v>
      </c>
      <c r="E1312" s="2600">
        <f t="shared" ref="E1312:F1312" si="82">SUM(E1313)</f>
        <v>0</v>
      </c>
      <c r="F1312" s="2600">
        <f t="shared" si="82"/>
        <v>0</v>
      </c>
    </row>
    <row r="1313" spans="1:6" x14ac:dyDescent="0.3">
      <c r="A1313" s="2562" t="s">
        <v>3830</v>
      </c>
      <c r="B1313" s="2563" t="s">
        <v>927</v>
      </c>
      <c r="C1313" s="1981"/>
      <c r="D1313" s="2584">
        <v>60000000</v>
      </c>
      <c r="E1313" s="2560"/>
      <c r="F1313" s="2667">
        <v>0</v>
      </c>
    </row>
    <row r="1314" spans="1:6" x14ac:dyDescent="0.3">
      <c r="A1314" s="170">
        <v>320301</v>
      </c>
      <c r="B1314" s="2565" t="s">
        <v>472</v>
      </c>
      <c r="C1314" s="2566"/>
      <c r="D1314" s="2584"/>
      <c r="E1314" s="2560"/>
      <c r="F1314" s="2584"/>
    </row>
    <row r="1315" spans="1:6" x14ac:dyDescent="0.3">
      <c r="A1315" s="170">
        <v>32030109</v>
      </c>
      <c r="B1315" s="2565" t="s">
        <v>3517</v>
      </c>
      <c r="C1315" s="2566"/>
      <c r="D1315" s="2600">
        <f>SUM(D1316:D1317)</f>
        <v>150000000</v>
      </c>
      <c r="E1315" s="2600">
        <f t="shared" ref="E1315" si="83">SUM(E1316:E1317)</f>
        <v>42300000</v>
      </c>
      <c r="F1315" s="2600">
        <f>SUM(F1316:F1317)</f>
        <v>334000000</v>
      </c>
    </row>
    <row r="1316" spans="1:6" x14ac:dyDescent="0.3">
      <c r="A1316" s="2562" t="s">
        <v>3831</v>
      </c>
      <c r="B1316" s="1981" t="s">
        <v>926</v>
      </c>
      <c r="C1316" s="1981"/>
      <c r="D1316" s="2584">
        <v>50000000</v>
      </c>
      <c r="E1316" s="2559">
        <v>42300000</v>
      </c>
      <c r="F1316" s="2584">
        <v>34000000</v>
      </c>
    </row>
    <row r="1317" spans="1:6" x14ac:dyDescent="0.3">
      <c r="A1317" s="2562" t="s">
        <v>3832</v>
      </c>
      <c r="B1317" s="1981" t="s">
        <v>1264</v>
      </c>
      <c r="C1317" s="1981"/>
      <c r="D1317" s="2584">
        <v>100000000</v>
      </c>
      <c r="E1317" s="2584"/>
      <c r="F1317" s="2584">
        <v>300000000</v>
      </c>
    </row>
    <row r="1318" spans="1:6" ht="19.5" thickBot="1" x14ac:dyDescent="0.35">
      <c r="A1318" s="2562"/>
      <c r="B1318" s="2566"/>
      <c r="C1318" s="2566"/>
      <c r="D1318" s="2772"/>
      <c r="E1318" s="2738"/>
      <c r="F1318" s="2772"/>
    </row>
    <row r="1319" spans="1:6" ht="19.5" thickBot="1" x14ac:dyDescent="0.35">
      <c r="A1319" s="2562"/>
      <c r="B1319" s="2566" t="s">
        <v>2620</v>
      </c>
      <c r="C1319" s="2565"/>
      <c r="D1319" s="2595">
        <f>SUM(D1298,D1307,D1309,D1312,D1315)</f>
        <v>748862500</v>
      </c>
      <c r="E1319" s="2739">
        <f t="shared" ref="E1319:F1319" si="84">SUM(E1298,E1307,E1309,E1312,E1315)</f>
        <v>159122052</v>
      </c>
      <c r="F1319" s="2739">
        <f t="shared" si="84"/>
        <v>943528900</v>
      </c>
    </row>
    <row r="1320" spans="1:6" x14ac:dyDescent="0.3">
      <c r="A1320" s="169"/>
    </row>
    <row r="1321" spans="1:6" x14ac:dyDescent="0.3">
      <c r="A1321" s="2724"/>
      <c r="B1321" s="2724"/>
      <c r="C1321" s="2724"/>
      <c r="D1321" s="2725"/>
      <c r="E1321" s="2725"/>
      <c r="F1321" s="2725"/>
    </row>
    <row r="1322" spans="1:6" x14ac:dyDescent="0.3">
      <c r="A1322" s="2724"/>
      <c r="B1322" s="2724"/>
      <c r="C1322" s="2724"/>
      <c r="D1322" s="2725"/>
      <c r="E1322" s="2725"/>
      <c r="F1322" s="2725"/>
    </row>
    <row r="1323" spans="1:6" x14ac:dyDescent="0.3">
      <c r="A1323" s="2724"/>
      <c r="B1323" s="2724"/>
      <c r="C1323" s="2724"/>
      <c r="D1323" s="2725"/>
      <c r="E1323" s="2725"/>
      <c r="F1323" s="2725"/>
    </row>
    <row r="1324" spans="1:6" x14ac:dyDescent="0.3">
      <c r="A1324" s="2724"/>
      <c r="B1324" s="2724"/>
      <c r="C1324" s="2724"/>
      <c r="D1324" s="2725"/>
      <c r="E1324" s="2725"/>
      <c r="F1324" s="2725"/>
    </row>
    <row r="1325" spans="1:6" x14ac:dyDescent="0.3">
      <c r="A1325" s="3518" t="s">
        <v>81</v>
      </c>
      <c r="B1325" s="3518"/>
      <c r="C1325" s="3518"/>
      <c r="D1325" s="3518"/>
      <c r="E1325" s="3518"/>
      <c r="F1325" s="3518"/>
    </row>
    <row r="1326" spans="1:6" ht="19.5" thickBot="1" x14ac:dyDescent="0.35">
      <c r="A1326" s="3516" t="s">
        <v>1178</v>
      </c>
      <c r="B1326" s="3516"/>
      <c r="C1326" s="3516"/>
      <c r="D1326" s="3516"/>
      <c r="E1326" s="3516"/>
      <c r="F1326" s="3516"/>
    </row>
    <row r="1327" spans="1:6" s="2549" customFormat="1" ht="57" thickBot="1" x14ac:dyDescent="0.25">
      <c r="A1327" s="2548" t="s">
        <v>1</v>
      </c>
      <c r="B1327" s="2290" t="s">
        <v>282</v>
      </c>
      <c r="C1327" s="2548" t="s">
        <v>3197</v>
      </c>
      <c r="D1327" s="2292" t="s">
        <v>1174</v>
      </c>
      <c r="E1327" s="2292" t="s">
        <v>1145</v>
      </c>
      <c r="F1327" s="2292" t="s">
        <v>3096</v>
      </c>
    </row>
    <row r="1328" spans="1:6" x14ac:dyDescent="0.3">
      <c r="A1328" s="2553">
        <v>32000000</v>
      </c>
      <c r="B1328" s="2555" t="s">
        <v>462</v>
      </c>
      <c r="C1328" s="2555"/>
      <c r="D1328" s="2695"/>
      <c r="E1328" s="2556"/>
      <c r="F1328" s="2695"/>
    </row>
    <row r="1329" spans="1:6" x14ac:dyDescent="0.3">
      <c r="A1329" s="2624">
        <v>32010100</v>
      </c>
      <c r="B1329" s="2565" t="s">
        <v>3839</v>
      </c>
      <c r="C1329" s="2566"/>
      <c r="D1329" s="2600"/>
      <c r="E1329" s="2600"/>
      <c r="F1329" s="2600"/>
    </row>
    <row r="1330" spans="1:6" x14ac:dyDescent="0.3">
      <c r="A1330" s="2624">
        <v>32010101</v>
      </c>
      <c r="B1330" s="2565" t="s">
        <v>3212</v>
      </c>
      <c r="C1330" s="2566"/>
      <c r="D1330" s="2600">
        <f>SUM(D1331)</f>
        <v>100000000</v>
      </c>
      <c r="E1330" s="2600">
        <f t="shared" ref="E1330" si="85">SUM(E1331)</f>
        <v>0</v>
      </c>
      <c r="F1330" s="2600">
        <f t="shared" ref="F1330" si="86">SUM(F1331)</f>
        <v>100000000</v>
      </c>
    </row>
    <row r="1331" spans="1:6" x14ac:dyDescent="0.3">
      <c r="A1331" s="2562" t="s">
        <v>3833</v>
      </c>
      <c r="B1331" s="2563" t="s">
        <v>799</v>
      </c>
      <c r="C1331" s="1981"/>
      <c r="D1331" s="2584">
        <v>100000000</v>
      </c>
      <c r="E1331" s="2584"/>
      <c r="F1331" s="2584">
        <v>100000000</v>
      </c>
    </row>
    <row r="1332" spans="1:6" x14ac:dyDescent="0.3">
      <c r="A1332" s="2624">
        <v>32010102</v>
      </c>
      <c r="B1332" s="2557" t="s">
        <v>3213</v>
      </c>
      <c r="C1332" s="2589"/>
      <c r="D1332" s="2600">
        <f>SUM(D1333)</f>
        <v>100000000</v>
      </c>
      <c r="E1332" s="2600">
        <f t="shared" ref="E1332" si="87">SUM(E1333)</f>
        <v>0</v>
      </c>
      <c r="F1332" s="2600">
        <f t="shared" ref="F1332" si="88">SUM(F1333)</f>
        <v>100000000</v>
      </c>
    </row>
    <row r="1333" spans="1:6" x14ac:dyDescent="0.3">
      <c r="A1333" s="2562" t="s">
        <v>3834</v>
      </c>
      <c r="B1333" s="2563" t="s">
        <v>800</v>
      </c>
      <c r="C1333" s="1981"/>
      <c r="D1333" s="2584">
        <v>100000000</v>
      </c>
      <c r="E1333" s="2584"/>
      <c r="F1333" s="2584">
        <v>100000000</v>
      </c>
    </row>
    <row r="1334" spans="1:6" x14ac:dyDescent="0.3">
      <c r="A1334" s="170">
        <v>32030100</v>
      </c>
      <c r="B1334" s="2566" t="s">
        <v>472</v>
      </c>
      <c r="C1334" s="2566"/>
      <c r="D1334" s="2559"/>
      <c r="E1334" s="2559"/>
      <c r="F1334" s="2559"/>
    </row>
    <row r="1335" spans="1:6" x14ac:dyDescent="0.3">
      <c r="A1335" s="170">
        <v>32030109</v>
      </c>
      <c r="B1335" s="2566" t="s">
        <v>3517</v>
      </c>
      <c r="C1335" s="2566"/>
      <c r="D1335" s="2600">
        <f>SUM(D1336)</f>
        <v>450000000</v>
      </c>
      <c r="E1335" s="2600">
        <f t="shared" ref="E1335:F1335" si="89">SUM(E1336)</f>
        <v>62609540</v>
      </c>
      <c r="F1335" s="2600">
        <f t="shared" si="89"/>
        <v>450000000</v>
      </c>
    </row>
    <row r="1336" spans="1:6" x14ac:dyDescent="0.3">
      <c r="A1336" s="2562" t="s">
        <v>3835</v>
      </c>
      <c r="B1336" s="1981" t="s">
        <v>342</v>
      </c>
      <c r="C1336" s="1981"/>
      <c r="D1336" s="2584">
        <v>450000000</v>
      </c>
      <c r="E1336" s="2584">
        <v>62609540</v>
      </c>
      <c r="F1336" s="2584">
        <v>450000000</v>
      </c>
    </row>
    <row r="1337" spans="1:6" x14ac:dyDescent="0.3">
      <c r="A1337" s="2562"/>
      <c r="B1337" s="2558"/>
      <c r="C1337" s="2558"/>
      <c r="D1337" s="2560"/>
      <c r="E1337" s="2560"/>
      <c r="F1337" s="2560"/>
    </row>
    <row r="1338" spans="1:6" s="2599" customFormat="1" ht="19.5" thickBot="1" x14ac:dyDescent="0.35">
      <c r="A1338" s="170"/>
      <c r="B1338" s="2566" t="s">
        <v>2619</v>
      </c>
      <c r="C1338" s="2566"/>
      <c r="D1338" s="2813">
        <f>SUM(D1330,D1332,D1335)</f>
        <v>650000000</v>
      </c>
      <c r="E1338" s="2813">
        <f t="shared" ref="E1338:F1338" si="90">SUM(E1330,E1332,E1335)</f>
        <v>62609540</v>
      </c>
      <c r="F1338" s="2813">
        <f t="shared" si="90"/>
        <v>650000000</v>
      </c>
    </row>
    <row r="1339" spans="1:6" s="2599" customFormat="1" x14ac:dyDescent="0.3">
      <c r="A1339" s="2596"/>
      <c r="B1339" s="2577"/>
      <c r="C1339" s="2577"/>
      <c r="D1339" s="2578"/>
      <c r="E1339" s="2578"/>
      <c r="F1339" s="2578"/>
    </row>
    <row r="1340" spans="1:6" s="2599" customFormat="1" x14ac:dyDescent="0.3">
      <c r="A1340" s="2596"/>
      <c r="B1340" s="2577"/>
      <c r="C1340" s="2577"/>
      <c r="D1340" s="2578"/>
      <c r="E1340" s="2578"/>
      <c r="F1340" s="2578"/>
    </row>
    <row r="1341" spans="1:6" s="2599" customFormat="1" x14ac:dyDescent="0.3">
      <c r="A1341" s="2596"/>
      <c r="B1341" s="2577"/>
      <c r="C1341" s="2577"/>
      <c r="D1341" s="2578"/>
      <c r="E1341" s="2578"/>
      <c r="F1341" s="2578"/>
    </row>
    <row r="1342" spans="1:6" s="2599" customFormat="1" x14ac:dyDescent="0.3">
      <c r="A1342" s="2596"/>
      <c r="B1342" s="2577"/>
      <c r="C1342" s="2577"/>
      <c r="D1342" s="2578"/>
      <c r="E1342" s="2578"/>
      <c r="F1342" s="2578"/>
    </row>
    <row r="1343" spans="1:6" x14ac:dyDescent="0.3">
      <c r="A1343" s="3517"/>
      <c r="B1343" s="3517"/>
      <c r="C1343" s="3517"/>
      <c r="D1343" s="3517"/>
      <c r="E1343" s="3517"/>
      <c r="F1343" s="3517"/>
    </row>
    <row r="1344" spans="1:6" x14ac:dyDescent="0.3">
      <c r="A1344" s="3517" t="s">
        <v>81</v>
      </c>
      <c r="B1344" s="3517"/>
      <c r="C1344" s="3517"/>
      <c r="D1344" s="3517"/>
      <c r="E1344" s="3517"/>
      <c r="F1344" s="3517"/>
    </row>
    <row r="1345" spans="1:6" ht="19.5" thickBot="1" x14ac:dyDescent="0.35">
      <c r="A1345" s="3516" t="s">
        <v>1176</v>
      </c>
      <c r="B1345" s="3516"/>
      <c r="C1345" s="3516"/>
      <c r="D1345" s="3516"/>
      <c r="E1345" s="3516"/>
      <c r="F1345" s="3516"/>
    </row>
    <row r="1346" spans="1:6" s="2549" customFormat="1" ht="57" thickBot="1" x14ac:dyDescent="0.25">
      <c r="A1346" s="2548" t="s">
        <v>1</v>
      </c>
      <c r="B1346" s="2290" t="s">
        <v>282</v>
      </c>
      <c r="C1346" s="2548" t="s">
        <v>3197</v>
      </c>
      <c r="D1346" s="2292" t="s">
        <v>1174</v>
      </c>
      <c r="E1346" s="2292" t="s">
        <v>1145</v>
      </c>
      <c r="F1346" s="2292" t="s">
        <v>3096</v>
      </c>
    </row>
    <row r="1347" spans="1:6" x14ac:dyDescent="0.3">
      <c r="A1347" s="2744">
        <v>32000000</v>
      </c>
      <c r="B1347" s="2745" t="s">
        <v>462</v>
      </c>
      <c r="C1347" s="2745"/>
      <c r="D1347" s="2552"/>
      <c r="E1347" s="2634"/>
      <c r="F1347" s="2552"/>
    </row>
    <row r="1348" spans="1:6" x14ac:dyDescent="0.3">
      <c r="A1348" s="170">
        <v>32010000</v>
      </c>
      <c r="B1348" s="2558" t="s">
        <v>463</v>
      </c>
      <c r="C1348" s="2558"/>
      <c r="D1348" s="2559"/>
      <c r="E1348" s="2559"/>
      <c r="F1348" s="2559"/>
    </row>
    <row r="1349" spans="1:6" x14ac:dyDescent="0.3">
      <c r="A1349" s="170">
        <v>32010100</v>
      </c>
      <c r="B1349" s="2558" t="s">
        <v>464</v>
      </c>
      <c r="C1349" s="2558"/>
      <c r="D1349" s="2559"/>
      <c r="E1349" s="2559"/>
      <c r="F1349" s="2559"/>
    </row>
    <row r="1350" spans="1:6" x14ac:dyDescent="0.3">
      <c r="A1350" s="170">
        <v>32010101</v>
      </c>
      <c r="B1350" s="2558" t="s">
        <v>3212</v>
      </c>
      <c r="C1350" s="2558"/>
      <c r="D1350" s="2560">
        <f>SUM(D1351:D1351)</f>
        <v>20000000</v>
      </c>
      <c r="E1350" s="2560">
        <v>5500000</v>
      </c>
      <c r="F1350" s="2560">
        <f>SUM(F1351:F1351)</f>
        <v>20000000</v>
      </c>
    </row>
    <row r="1351" spans="1:6" x14ac:dyDescent="0.3">
      <c r="A1351" s="2562" t="s">
        <v>3840</v>
      </c>
      <c r="B1351" s="2582" t="s">
        <v>649</v>
      </c>
      <c r="C1351" s="2582"/>
      <c r="D1351" s="2584">
        <v>20000000</v>
      </c>
      <c r="E1351" s="2584">
        <v>5500000</v>
      </c>
      <c r="F1351" s="2584">
        <v>20000000</v>
      </c>
    </row>
    <row r="1352" spans="1:6" x14ac:dyDescent="0.3">
      <c r="A1352" s="170">
        <v>32030100</v>
      </c>
      <c r="B1352" s="2566" t="s">
        <v>472</v>
      </c>
      <c r="C1352" s="2566"/>
      <c r="D1352" s="2584"/>
      <c r="E1352" s="2556"/>
      <c r="F1352" s="2584"/>
    </row>
    <row r="1353" spans="1:6" x14ac:dyDescent="0.3">
      <c r="A1353" s="170">
        <v>32030109</v>
      </c>
      <c r="B1353" s="2566" t="s">
        <v>3517</v>
      </c>
      <c r="C1353" s="2566"/>
      <c r="D1353" s="2600">
        <f>SUM(D1354:D1355)</f>
        <v>120000000</v>
      </c>
      <c r="E1353" s="2600">
        <f t="shared" ref="E1353:F1353" si="91">SUM(E1354:E1355)</f>
        <v>19660000</v>
      </c>
      <c r="F1353" s="2600">
        <f t="shared" si="91"/>
        <v>120000000</v>
      </c>
    </row>
    <row r="1354" spans="1:6" x14ac:dyDescent="0.3">
      <c r="A1354" s="2562" t="s">
        <v>3841</v>
      </c>
      <c r="B1354" s="2613" t="s">
        <v>650</v>
      </c>
      <c r="C1354" s="2613"/>
      <c r="D1354" s="2584">
        <v>100000000</v>
      </c>
      <c r="E1354" s="2556">
        <v>17660000</v>
      </c>
      <c r="F1354" s="2584">
        <v>100000000</v>
      </c>
    </row>
    <row r="1355" spans="1:6" x14ac:dyDescent="0.3">
      <c r="A1355" s="2562" t="s">
        <v>3842</v>
      </c>
      <c r="B1355" s="2613" t="s">
        <v>651</v>
      </c>
      <c r="C1355" s="2613"/>
      <c r="D1355" s="2584">
        <v>20000000</v>
      </c>
      <c r="E1355" s="2556">
        <v>2000000</v>
      </c>
      <c r="F1355" s="2584">
        <v>20000000</v>
      </c>
    </row>
    <row r="1356" spans="1:6" ht="19.5" thickBot="1" x14ac:dyDescent="0.35">
      <c r="A1356" s="2877"/>
      <c r="B1356" s="2558"/>
      <c r="C1356" s="2558"/>
      <c r="D1356" s="2612"/>
      <c r="E1356" s="2612"/>
      <c r="F1356" s="2612"/>
    </row>
    <row r="1357" spans="1:6" ht="19.5" thickBot="1" x14ac:dyDescent="0.35">
      <c r="A1357" s="2562"/>
      <c r="B1357" s="2566" t="s">
        <v>1359</v>
      </c>
      <c r="C1357" s="2565"/>
      <c r="D1357" s="2595">
        <f>SUM(D1353,D1350)</f>
        <v>140000000</v>
      </c>
      <c r="E1357" s="2595">
        <v>25160000</v>
      </c>
      <c r="F1357" s="2595">
        <f>SUM(F1353,F1350)</f>
        <v>140000000</v>
      </c>
    </row>
    <row r="1358" spans="1:6" x14ac:dyDescent="0.3">
      <c r="A1358" s="2576"/>
      <c r="B1358" s="2577"/>
      <c r="C1358" s="2577"/>
      <c r="D1358" s="2578"/>
      <c r="E1358" s="2578"/>
      <c r="F1358" s="2578"/>
    </row>
    <row r="1359" spans="1:6" x14ac:dyDescent="0.3">
      <c r="A1359" s="2576"/>
      <c r="B1359" s="2577"/>
      <c r="C1359" s="2577"/>
      <c r="D1359" s="2578"/>
      <c r="E1359" s="2578"/>
      <c r="F1359" s="2578"/>
    </row>
    <row r="1360" spans="1:6" x14ac:dyDescent="0.3">
      <c r="A1360" s="3517" t="s">
        <v>2624</v>
      </c>
      <c r="B1360" s="3517"/>
      <c r="C1360" s="3517"/>
      <c r="D1360" s="3517"/>
      <c r="E1360" s="3517"/>
      <c r="F1360" s="3517"/>
    </row>
    <row r="1361" spans="1:6" ht="19.5" thickBot="1" x14ac:dyDescent="0.35">
      <c r="A1361" s="3516" t="s">
        <v>2623</v>
      </c>
      <c r="B1361" s="3516"/>
      <c r="C1361" s="3516"/>
      <c r="D1361" s="3516"/>
      <c r="E1361" s="3516"/>
      <c r="F1361" s="3516"/>
    </row>
    <row r="1362" spans="1:6" s="2549" customFormat="1" ht="57" thickBot="1" x14ac:dyDescent="0.25">
      <c r="A1362" s="2548" t="s">
        <v>1</v>
      </c>
      <c r="B1362" s="2290" t="s">
        <v>282</v>
      </c>
      <c r="C1362" s="2548" t="s">
        <v>3197</v>
      </c>
      <c r="D1362" s="2292" t="s">
        <v>1174</v>
      </c>
      <c r="E1362" s="2292" t="s">
        <v>1145</v>
      </c>
      <c r="F1362" s="2292" t="s">
        <v>3096</v>
      </c>
    </row>
    <row r="1363" spans="1:6" s="2599" customFormat="1" x14ac:dyDescent="0.3">
      <c r="A1363" s="2630">
        <v>32000000</v>
      </c>
      <c r="B1363" s="2726" t="s">
        <v>462</v>
      </c>
      <c r="C1363" s="2726"/>
      <c r="D1363" s="2552"/>
      <c r="E1363" s="2552"/>
      <c r="F1363" s="2552"/>
    </row>
    <row r="1364" spans="1:6" x14ac:dyDescent="0.3">
      <c r="A1364" s="170">
        <v>32010100</v>
      </c>
      <c r="B1364" s="2557" t="s">
        <v>464</v>
      </c>
      <c r="C1364" s="2558"/>
      <c r="D1364" s="2764"/>
      <c r="E1364" s="2559"/>
      <c r="F1364" s="2559"/>
    </row>
    <row r="1365" spans="1:6" x14ac:dyDescent="0.3">
      <c r="A1365" s="170">
        <v>32010101</v>
      </c>
      <c r="B1365" s="2557" t="s">
        <v>3212</v>
      </c>
      <c r="C1365" s="2558"/>
      <c r="D1365" s="2765">
        <f>SUM(D1366:D1369)</f>
        <v>40000000</v>
      </c>
      <c r="E1365" s="2765">
        <f t="shared" ref="E1365:F1365" si="92">SUM(E1366:E1369)</f>
        <v>2800000</v>
      </c>
      <c r="F1365" s="2765">
        <f t="shared" si="92"/>
        <v>40000000</v>
      </c>
    </row>
    <row r="1366" spans="1:6" x14ac:dyDescent="0.3">
      <c r="A1366" s="2562" t="s">
        <v>3843</v>
      </c>
      <c r="B1366" s="2563" t="s">
        <v>2546</v>
      </c>
      <c r="C1366" s="1981"/>
      <c r="D1366" s="2755">
        <v>0</v>
      </c>
      <c r="E1366" s="2584"/>
      <c r="F1366" s="2584">
        <v>0</v>
      </c>
    </row>
    <row r="1367" spans="1:6" x14ac:dyDescent="0.3">
      <c r="A1367" s="2562" t="s">
        <v>3844</v>
      </c>
      <c r="B1367" s="2563" t="s">
        <v>928</v>
      </c>
      <c r="C1367" s="1981"/>
      <c r="D1367" s="2755">
        <v>20000000</v>
      </c>
      <c r="E1367" s="2584">
        <v>2800000</v>
      </c>
      <c r="F1367" s="2584">
        <v>20000000</v>
      </c>
    </row>
    <row r="1368" spans="1:6" ht="37.5" x14ac:dyDescent="0.3">
      <c r="A1368" s="2562" t="s">
        <v>3845</v>
      </c>
      <c r="B1368" s="2563" t="s">
        <v>929</v>
      </c>
      <c r="C1368" s="1981"/>
      <c r="D1368" s="2755">
        <v>20000000</v>
      </c>
      <c r="E1368" s="2584" t="s">
        <v>179</v>
      </c>
      <c r="F1368" s="2584">
        <v>20000000</v>
      </c>
    </row>
    <row r="1369" spans="1:6" x14ac:dyDescent="0.3">
      <c r="A1369" s="2562" t="s">
        <v>3846</v>
      </c>
      <c r="B1369" s="2563" t="s">
        <v>3858</v>
      </c>
      <c r="C1369" s="1981"/>
      <c r="D1369" s="2755">
        <v>0</v>
      </c>
      <c r="E1369" s="2559"/>
      <c r="F1369" s="2667">
        <v>0</v>
      </c>
    </row>
    <row r="1370" spans="1:6" x14ac:dyDescent="0.3">
      <c r="A1370" s="170">
        <v>32030100</v>
      </c>
      <c r="B1370" s="2565" t="s">
        <v>472</v>
      </c>
      <c r="C1370" s="2566"/>
      <c r="D1370" s="2755"/>
      <c r="E1370" s="2556"/>
      <c r="F1370" s="2584"/>
    </row>
    <row r="1371" spans="1:6" x14ac:dyDescent="0.3">
      <c r="A1371" s="170">
        <v>32030109</v>
      </c>
      <c r="B1371" s="2565" t="s">
        <v>3517</v>
      </c>
      <c r="C1371" s="2566"/>
      <c r="D1371" s="2600">
        <f>SUM(D1372:D1382)</f>
        <v>470000000</v>
      </c>
      <c r="E1371" s="2600">
        <f t="shared" ref="E1371:F1371" si="93">SUM(E1372:E1382)</f>
        <v>60264434</v>
      </c>
      <c r="F1371" s="2600">
        <f t="shared" si="93"/>
        <v>480000000</v>
      </c>
    </row>
    <row r="1372" spans="1:6" x14ac:dyDescent="0.3">
      <c r="A1372" s="2562" t="s">
        <v>3847</v>
      </c>
      <c r="B1372" s="2563" t="s">
        <v>930</v>
      </c>
      <c r="C1372" s="1981"/>
      <c r="D1372" s="2755">
        <v>20000000</v>
      </c>
      <c r="E1372" s="2584"/>
      <c r="F1372" s="2584">
        <v>20000000</v>
      </c>
    </row>
    <row r="1373" spans="1:6" x14ac:dyDescent="0.3">
      <c r="A1373" s="2562" t="s">
        <v>3848</v>
      </c>
      <c r="B1373" s="2563" t="s">
        <v>931</v>
      </c>
      <c r="C1373" s="1981"/>
      <c r="D1373" s="2755">
        <v>10000000</v>
      </c>
      <c r="E1373" s="2584"/>
      <c r="F1373" s="2584">
        <v>10000000</v>
      </c>
    </row>
    <row r="1374" spans="1:6" x14ac:dyDescent="0.3">
      <c r="A1374" s="2562" t="s">
        <v>3849</v>
      </c>
      <c r="B1374" s="2563" t="s">
        <v>932</v>
      </c>
      <c r="C1374" s="1981"/>
      <c r="D1374" s="2755">
        <v>25000000</v>
      </c>
      <c r="E1374" s="2584"/>
      <c r="F1374" s="2584">
        <v>25000000</v>
      </c>
    </row>
    <row r="1375" spans="1:6" x14ac:dyDescent="0.3">
      <c r="A1375" s="2562" t="s">
        <v>3850</v>
      </c>
      <c r="B1375" s="2952" t="s">
        <v>933</v>
      </c>
      <c r="C1375" s="2582"/>
      <c r="D1375" s="2755">
        <v>300000000</v>
      </c>
      <c r="E1375" s="2584">
        <v>43685534</v>
      </c>
      <c r="F1375" s="2584">
        <v>300000000</v>
      </c>
    </row>
    <row r="1376" spans="1:6" x14ac:dyDescent="0.3">
      <c r="A1376" s="2562" t="s">
        <v>3851</v>
      </c>
      <c r="B1376" s="2952" t="s">
        <v>934</v>
      </c>
      <c r="C1376" s="2582"/>
      <c r="D1376" s="2755">
        <v>100000000</v>
      </c>
      <c r="E1376" s="2584">
        <v>7732500</v>
      </c>
      <c r="F1376" s="2584">
        <v>100000000</v>
      </c>
    </row>
    <row r="1377" spans="1:6" x14ac:dyDescent="0.3">
      <c r="A1377" s="2562" t="s">
        <v>3852</v>
      </c>
      <c r="B1377" s="2952" t="s">
        <v>507</v>
      </c>
      <c r="C1377" s="2582"/>
      <c r="D1377" s="2755">
        <v>2000000</v>
      </c>
      <c r="E1377" s="2584"/>
      <c r="F1377" s="2584">
        <v>2000000</v>
      </c>
    </row>
    <row r="1378" spans="1:6" x14ac:dyDescent="0.3">
      <c r="A1378" s="2562" t="s">
        <v>3853</v>
      </c>
      <c r="B1378" s="2952" t="s">
        <v>3015</v>
      </c>
      <c r="C1378" s="2582"/>
      <c r="D1378" s="2755">
        <v>2000000</v>
      </c>
      <c r="E1378" s="2584"/>
      <c r="F1378" s="2584">
        <v>2000000</v>
      </c>
    </row>
    <row r="1379" spans="1:6" x14ac:dyDescent="0.3">
      <c r="A1379" s="2562" t="s">
        <v>3854</v>
      </c>
      <c r="B1379" s="2952" t="s">
        <v>509</v>
      </c>
      <c r="C1379" s="2582"/>
      <c r="D1379" s="2755">
        <v>5000000</v>
      </c>
      <c r="E1379" s="2584">
        <v>8846400</v>
      </c>
      <c r="F1379" s="2584">
        <v>5000000</v>
      </c>
    </row>
    <row r="1380" spans="1:6" x14ac:dyDescent="0.3">
      <c r="A1380" s="2562" t="s">
        <v>3855</v>
      </c>
      <c r="B1380" s="2952" t="s">
        <v>510</v>
      </c>
      <c r="C1380" s="2582"/>
      <c r="D1380" s="2755">
        <v>4000000</v>
      </c>
      <c r="E1380" s="2584"/>
      <c r="F1380" s="2584">
        <v>4000000</v>
      </c>
    </row>
    <row r="1381" spans="1:6" x14ac:dyDescent="0.3">
      <c r="A1381" s="2562" t="s">
        <v>3856</v>
      </c>
      <c r="B1381" s="2582" t="s">
        <v>2991</v>
      </c>
      <c r="C1381" s="2582"/>
      <c r="D1381" s="2755"/>
      <c r="E1381" s="2584"/>
      <c r="F1381" s="2584">
        <v>10000000</v>
      </c>
    </row>
    <row r="1382" spans="1:6" x14ac:dyDescent="0.3">
      <c r="A1382" s="2562" t="s">
        <v>3857</v>
      </c>
      <c r="B1382" s="2582" t="s">
        <v>508</v>
      </c>
      <c r="C1382" s="2582"/>
      <c r="D1382" s="2755">
        <v>2000000</v>
      </c>
      <c r="E1382" s="2559"/>
      <c r="F1382" s="2584">
        <v>2000000</v>
      </c>
    </row>
    <row r="1383" spans="1:6" ht="19.5" thickBot="1" x14ac:dyDescent="0.35">
      <c r="A1383" s="2562"/>
      <c r="B1383" s="2566"/>
      <c r="C1383" s="2566"/>
      <c r="D1383" s="2771"/>
      <c r="E1383" s="2772"/>
      <c r="F1383" s="2772"/>
    </row>
    <row r="1384" spans="1:6" ht="19.5" thickBot="1" x14ac:dyDescent="0.35">
      <c r="A1384" s="170"/>
      <c r="B1384" s="2566" t="s">
        <v>2621</v>
      </c>
      <c r="C1384" s="2566"/>
      <c r="D1384" s="2739">
        <f>SUM(D1365,D1371)</f>
        <v>510000000</v>
      </c>
      <c r="E1384" s="2595">
        <f t="shared" ref="E1384:F1384" si="94">SUM(E1365,E1371)</f>
        <v>63064434</v>
      </c>
      <c r="F1384" s="2595">
        <f t="shared" si="94"/>
        <v>520000000</v>
      </c>
    </row>
    <row r="1385" spans="1:6" x14ac:dyDescent="0.3">
      <c r="A1385" s="3517"/>
      <c r="B1385" s="3517"/>
      <c r="C1385" s="3517"/>
      <c r="D1385" s="3519"/>
      <c r="E1385" s="3519"/>
      <c r="F1385" s="3519"/>
    </row>
    <row r="1386" spans="1:6" x14ac:dyDescent="0.3">
      <c r="A1386" s="2724"/>
      <c r="B1386" s="2724"/>
      <c r="C1386" s="2724"/>
      <c r="D1386" s="2725"/>
      <c r="E1386" s="2725"/>
      <c r="F1386" s="2725"/>
    </row>
    <row r="1387" spans="1:6" x14ac:dyDescent="0.3">
      <c r="A1387" s="2724"/>
      <c r="B1387" s="2724"/>
      <c r="C1387" s="2724"/>
      <c r="D1387" s="2725"/>
      <c r="E1387" s="2725"/>
      <c r="F1387" s="2725"/>
    </row>
    <row r="1388" spans="1:6" x14ac:dyDescent="0.3">
      <c r="A1388" s="2973"/>
      <c r="B1388" s="3518" t="s">
        <v>81</v>
      </c>
      <c r="C1388" s="3518"/>
      <c r="D1388" s="3518"/>
      <c r="E1388" s="3518"/>
      <c r="F1388" s="3518"/>
    </row>
    <row r="1389" spans="1:6" ht="19.5" thickBot="1" x14ac:dyDescent="0.35">
      <c r="A1389" s="2973"/>
      <c r="B1389" s="3516" t="s">
        <v>1266</v>
      </c>
      <c r="C1389" s="3516"/>
      <c r="D1389" s="3516"/>
      <c r="E1389" s="3516"/>
      <c r="F1389" s="3516"/>
    </row>
    <row r="1390" spans="1:6" s="2549" customFormat="1" ht="57" thickBot="1" x14ac:dyDescent="0.25">
      <c r="A1390" s="2548" t="s">
        <v>1</v>
      </c>
      <c r="B1390" s="2290" t="s">
        <v>282</v>
      </c>
      <c r="C1390" s="2548" t="s">
        <v>3197</v>
      </c>
      <c r="D1390" s="2292" t="s">
        <v>1174</v>
      </c>
      <c r="E1390" s="2292" t="s">
        <v>1145</v>
      </c>
      <c r="F1390" s="2292" t="s">
        <v>3096</v>
      </c>
    </row>
    <row r="1391" spans="1:6" x14ac:dyDescent="0.3">
      <c r="A1391" s="2553">
        <v>32000000</v>
      </c>
      <c r="B1391" s="2555" t="s">
        <v>462</v>
      </c>
      <c r="C1391" s="2555"/>
      <c r="D1391" s="2556"/>
      <c r="E1391" s="2556"/>
      <c r="F1391" s="2556"/>
    </row>
    <row r="1392" spans="1:6" x14ac:dyDescent="0.3">
      <c r="A1392" s="170">
        <v>32010000</v>
      </c>
      <c r="B1392" s="2558" t="s">
        <v>463</v>
      </c>
      <c r="C1392" s="2558"/>
      <c r="D1392" s="2559"/>
      <c r="E1392" s="2559"/>
      <c r="F1392" s="2559"/>
    </row>
    <row r="1393" spans="1:6" x14ac:dyDescent="0.3">
      <c r="A1393" s="170">
        <v>32010100</v>
      </c>
      <c r="B1393" s="2703" t="s">
        <v>464</v>
      </c>
      <c r="C1393" s="2703"/>
      <c r="D1393" s="2559"/>
      <c r="E1393" s="2559"/>
      <c r="F1393" s="2559"/>
    </row>
    <row r="1394" spans="1:6" x14ac:dyDescent="0.3">
      <c r="A1394" s="170">
        <v>32010101</v>
      </c>
      <c r="B1394" s="2703" t="s">
        <v>3212</v>
      </c>
      <c r="C1394" s="2703"/>
      <c r="D1394" s="2600">
        <f>SUM(D1395:D1396)</f>
        <v>30000000</v>
      </c>
      <c r="E1394" s="2600">
        <f t="shared" ref="E1394:F1394" si="95">SUM(E1395:E1396)</f>
        <v>4356440</v>
      </c>
      <c r="F1394" s="2600">
        <f t="shared" si="95"/>
        <v>50000000</v>
      </c>
    </row>
    <row r="1395" spans="1:6" ht="37.5" x14ac:dyDescent="0.3">
      <c r="A1395" s="2562" t="s">
        <v>4224</v>
      </c>
      <c r="B1395" s="1981" t="s">
        <v>1981</v>
      </c>
      <c r="C1395" s="1981"/>
      <c r="D1395" s="2755">
        <v>30000000</v>
      </c>
      <c r="E1395" s="2584">
        <v>4356440</v>
      </c>
      <c r="F1395" s="2584">
        <v>30000000</v>
      </c>
    </row>
    <row r="1396" spans="1:6" ht="37.5" x14ac:dyDescent="0.3">
      <c r="A1396" s="2562" t="s">
        <v>4225</v>
      </c>
      <c r="B1396" s="1981" t="s">
        <v>2473</v>
      </c>
      <c r="C1396" s="2601"/>
      <c r="D1396" s="2974"/>
      <c r="E1396" s="2556"/>
      <c r="F1396" s="2584">
        <v>20000000</v>
      </c>
    </row>
    <row r="1397" spans="1:6" x14ac:dyDescent="0.3">
      <c r="A1397" s="170">
        <v>32010102</v>
      </c>
      <c r="B1397" s="2703" t="s">
        <v>3213</v>
      </c>
      <c r="C1397" s="2703"/>
      <c r="D1397" s="2600">
        <f>SUM(D1398)</f>
        <v>0</v>
      </c>
      <c r="E1397" s="2600">
        <f t="shared" ref="E1397:F1397" si="96">SUM(E1398)</f>
        <v>0</v>
      </c>
      <c r="F1397" s="2600">
        <f t="shared" si="96"/>
        <v>10000000</v>
      </c>
    </row>
    <row r="1398" spans="1:6" x14ac:dyDescent="0.3">
      <c r="A1398" s="2562" t="s">
        <v>4226</v>
      </c>
      <c r="B1398" s="1981" t="s">
        <v>1982</v>
      </c>
      <c r="C1398" s="1981"/>
      <c r="D1398" s="2755"/>
      <c r="E1398" s="2556"/>
      <c r="F1398" s="2584">
        <v>10000000</v>
      </c>
    </row>
    <row r="1399" spans="1:6" x14ac:dyDescent="0.3">
      <c r="A1399" s="170">
        <v>320301</v>
      </c>
      <c r="B1399" s="2566" t="s">
        <v>472</v>
      </c>
      <c r="C1399" s="2566"/>
      <c r="D1399" s="2776"/>
      <c r="E1399" s="2677"/>
      <c r="F1399" s="2612"/>
    </row>
    <row r="1400" spans="1:6" x14ac:dyDescent="0.3">
      <c r="A1400" s="170">
        <v>32030109</v>
      </c>
      <c r="B1400" s="2566" t="s">
        <v>3517</v>
      </c>
      <c r="C1400" s="2566"/>
      <c r="D1400" s="2600">
        <f>SUM(D1401:D1403)</f>
        <v>88650000</v>
      </c>
      <c r="E1400" s="2600">
        <f>SUM(E1401:E1403)</f>
        <v>52370000</v>
      </c>
      <c r="F1400" s="2600">
        <f>SUM(F1401:F1403)</f>
        <v>68900000</v>
      </c>
    </row>
    <row r="1401" spans="1:6" x14ac:dyDescent="0.3">
      <c r="A1401" s="2562" t="s">
        <v>4227</v>
      </c>
      <c r="B1401" s="2589" t="s">
        <v>1983</v>
      </c>
      <c r="C1401" s="2589"/>
      <c r="D1401" s="2975">
        <v>5000000</v>
      </c>
      <c r="E1401" s="2619" t="s">
        <v>179</v>
      </c>
      <c r="F1401" s="2619">
        <v>5000000</v>
      </c>
    </row>
    <row r="1402" spans="1:6" ht="37.5" x14ac:dyDescent="0.3">
      <c r="A1402" s="2562" t="s">
        <v>4228</v>
      </c>
      <c r="B1402" s="1981" t="s">
        <v>943</v>
      </c>
      <c r="C1402" s="1981"/>
      <c r="D1402" s="2755">
        <v>35000000</v>
      </c>
      <c r="E1402" s="2556">
        <v>21370000</v>
      </c>
      <c r="F1402" s="2584">
        <v>15250000</v>
      </c>
    </row>
    <row r="1403" spans="1:6" x14ac:dyDescent="0.3">
      <c r="A1403" s="2562" t="s">
        <v>4229</v>
      </c>
      <c r="B1403" s="2587" t="s">
        <v>1984</v>
      </c>
      <c r="C1403" s="2591"/>
      <c r="D1403" s="2776">
        <v>48650000</v>
      </c>
      <c r="E1403" s="2677">
        <v>31000000</v>
      </c>
      <c r="F1403" s="2776">
        <v>48650000</v>
      </c>
    </row>
    <row r="1404" spans="1:6" ht="19.5" thickBot="1" x14ac:dyDescent="0.35">
      <c r="A1404" s="2562"/>
      <c r="B1404" s="1981"/>
      <c r="C1404" s="2976"/>
      <c r="D1404" s="2977"/>
      <c r="E1404" s="2677"/>
      <c r="F1404" s="2821"/>
    </row>
    <row r="1405" spans="1:6" ht="19.5" thickBot="1" x14ac:dyDescent="0.35">
      <c r="A1405" s="170"/>
      <c r="B1405" s="2566" t="s">
        <v>2622</v>
      </c>
      <c r="C1405" s="2565"/>
      <c r="D1405" s="2595">
        <f>SUM(D1394,D1397,D1400)</f>
        <v>118650000</v>
      </c>
      <c r="E1405" s="2739">
        <f>SUM(E1394,E1397,E1400)</f>
        <v>56726440</v>
      </c>
      <c r="F1405" s="2739">
        <f>SUM(F1394,F1397,F1400)</f>
        <v>128900000</v>
      </c>
    </row>
    <row r="1406" spans="1:6" x14ac:dyDescent="0.3">
      <c r="A1406" s="2596"/>
      <c r="B1406" s="2577"/>
      <c r="C1406" s="2577"/>
      <c r="D1406" s="2578"/>
      <c r="E1406" s="2578"/>
      <c r="F1406" s="2578"/>
    </row>
    <row r="1407" spans="1:6" x14ac:dyDescent="0.3">
      <c r="A1407" s="3517" t="s">
        <v>81</v>
      </c>
      <c r="B1407" s="3517"/>
      <c r="C1407" s="3517"/>
      <c r="D1407" s="3517"/>
      <c r="E1407" s="3517"/>
      <c r="F1407" s="3517"/>
    </row>
    <row r="1408" spans="1:6" ht="19.5" thickBot="1" x14ac:dyDescent="0.35">
      <c r="A1408" s="3516" t="s">
        <v>1275</v>
      </c>
      <c r="B1408" s="3516"/>
      <c r="C1408" s="3516"/>
      <c r="D1408" s="3516"/>
      <c r="E1408" s="3516"/>
      <c r="F1408" s="3516"/>
    </row>
    <row r="1409" spans="1:6" s="2549" customFormat="1" ht="57" thickBot="1" x14ac:dyDescent="0.25">
      <c r="A1409" s="2548" t="s">
        <v>1</v>
      </c>
      <c r="B1409" s="2290" t="s">
        <v>282</v>
      </c>
      <c r="C1409" s="2548" t="s">
        <v>3197</v>
      </c>
      <c r="D1409" s="2292" t="s">
        <v>1174</v>
      </c>
      <c r="E1409" s="2292" t="s">
        <v>1145</v>
      </c>
      <c r="F1409" s="2292" t="s">
        <v>3096</v>
      </c>
    </row>
    <row r="1410" spans="1:6" s="2599" customFormat="1" x14ac:dyDescent="0.3">
      <c r="A1410" s="2744">
        <v>32000000</v>
      </c>
      <c r="B1410" s="2745" t="s">
        <v>462</v>
      </c>
      <c r="C1410" s="2745"/>
      <c r="D1410" s="2552"/>
      <c r="E1410" s="2552"/>
      <c r="F1410" s="2552"/>
    </row>
    <row r="1411" spans="1:6" x14ac:dyDescent="0.3">
      <c r="A1411" s="170">
        <v>32010000</v>
      </c>
      <c r="B1411" s="2558" t="s">
        <v>463</v>
      </c>
      <c r="C1411" s="2558"/>
      <c r="D1411" s="2559"/>
      <c r="E1411" s="2559"/>
      <c r="F1411" s="2559"/>
    </row>
    <row r="1412" spans="1:6" x14ac:dyDescent="0.3">
      <c r="A1412" s="170">
        <v>32010100</v>
      </c>
      <c r="B1412" s="2558" t="s">
        <v>464</v>
      </c>
      <c r="C1412" s="2558"/>
      <c r="D1412" s="2559"/>
      <c r="E1412" s="2559"/>
      <c r="F1412" s="2559"/>
    </row>
    <row r="1413" spans="1:6" x14ac:dyDescent="0.3">
      <c r="A1413" s="170">
        <v>32010101</v>
      </c>
      <c r="B1413" s="2558" t="s">
        <v>3212</v>
      </c>
      <c r="C1413" s="2558"/>
      <c r="D1413" s="2560">
        <f>SUM(D1414:D1420)</f>
        <v>213805200</v>
      </c>
      <c r="E1413" s="2560">
        <f t="shared" ref="E1413:F1413" si="97">SUM(E1414:E1420)</f>
        <v>12002490</v>
      </c>
      <c r="F1413" s="2560">
        <f t="shared" si="97"/>
        <v>372100410</v>
      </c>
    </row>
    <row r="1414" spans="1:6" x14ac:dyDescent="0.3">
      <c r="A1414" s="2562" t="s">
        <v>3859</v>
      </c>
      <c r="B1414" s="2582" t="s">
        <v>655</v>
      </c>
      <c r="C1414" s="2582"/>
      <c r="D1414" s="2584">
        <v>213805200</v>
      </c>
      <c r="E1414" s="2584">
        <v>12002490</v>
      </c>
      <c r="F1414" s="2584"/>
    </row>
    <row r="1415" spans="1:6" x14ac:dyDescent="0.3">
      <c r="A1415" s="2562" t="s">
        <v>3860</v>
      </c>
      <c r="B1415" s="2582" t="s">
        <v>1582</v>
      </c>
      <c r="C1415" s="2582"/>
      <c r="D1415" s="2584"/>
      <c r="E1415" s="2584"/>
      <c r="F1415" s="2584">
        <v>50000000</v>
      </c>
    </row>
    <row r="1416" spans="1:6" x14ac:dyDescent="0.3">
      <c r="A1416" s="2562" t="s">
        <v>3861</v>
      </c>
      <c r="B1416" s="2582" t="s">
        <v>1583</v>
      </c>
      <c r="C1416" s="2582"/>
      <c r="D1416" s="2584"/>
      <c r="E1416" s="2586"/>
      <c r="F1416" s="2584">
        <v>58065188</v>
      </c>
    </row>
    <row r="1417" spans="1:6" x14ac:dyDescent="0.3">
      <c r="A1417" s="2562" t="s">
        <v>3862</v>
      </c>
      <c r="B1417" s="2582" t="s">
        <v>2474</v>
      </c>
      <c r="C1417" s="2582"/>
      <c r="D1417" s="2584"/>
      <c r="E1417" s="2586"/>
      <c r="F1417" s="2584">
        <v>5645567</v>
      </c>
    </row>
    <row r="1418" spans="1:6" x14ac:dyDescent="0.3">
      <c r="A1418" s="2562" t="s">
        <v>3863</v>
      </c>
      <c r="B1418" s="2582" t="s">
        <v>1584</v>
      </c>
      <c r="C1418" s="2582"/>
      <c r="D1418" s="2584"/>
      <c r="E1418" s="2586"/>
      <c r="F1418" s="2584">
        <v>111986530</v>
      </c>
    </row>
    <row r="1419" spans="1:6" x14ac:dyDescent="0.3">
      <c r="A1419" s="2562" t="s">
        <v>3864</v>
      </c>
      <c r="B1419" s="2582" t="s">
        <v>1585</v>
      </c>
      <c r="C1419" s="2582"/>
      <c r="D1419" s="2584"/>
      <c r="E1419" s="2586"/>
      <c r="F1419" s="2584">
        <v>50914540</v>
      </c>
    </row>
    <row r="1420" spans="1:6" x14ac:dyDescent="0.3">
      <c r="A1420" s="2562" t="s">
        <v>3865</v>
      </c>
      <c r="B1420" s="2582" t="s">
        <v>1586</v>
      </c>
      <c r="C1420" s="2582"/>
      <c r="D1420" s="2584"/>
      <c r="E1420" s="2586"/>
      <c r="F1420" s="2584">
        <v>95488585</v>
      </c>
    </row>
    <row r="1421" spans="1:6" x14ac:dyDescent="0.3">
      <c r="A1421" s="170">
        <v>32010200</v>
      </c>
      <c r="B1421" s="2558" t="s">
        <v>465</v>
      </c>
      <c r="C1421" s="2558"/>
      <c r="D1421" s="2559"/>
      <c r="E1421" s="2559"/>
      <c r="F1421" s="2559"/>
    </row>
    <row r="1422" spans="1:6" x14ac:dyDescent="0.3">
      <c r="A1422" s="170">
        <v>32010207</v>
      </c>
      <c r="B1422" s="2558" t="s">
        <v>3869</v>
      </c>
      <c r="C1422" s="2558"/>
      <c r="D1422" s="2600">
        <f>SUM(D1423:D1423)</f>
        <v>0</v>
      </c>
      <c r="E1422" s="2600">
        <f>SUM(E1423:E1423)</f>
        <v>0</v>
      </c>
      <c r="F1422" s="2971">
        <f>SUM(F1423:F1423)</f>
        <v>0</v>
      </c>
    </row>
    <row r="1423" spans="1:6" x14ac:dyDescent="0.3">
      <c r="A1423" s="2562" t="s">
        <v>3866</v>
      </c>
      <c r="B1423" s="2582" t="s">
        <v>513</v>
      </c>
      <c r="C1423" s="2582"/>
      <c r="D1423" s="2584">
        <v>0</v>
      </c>
      <c r="E1423" s="2559"/>
      <c r="F1423" s="2667">
        <v>0</v>
      </c>
    </row>
    <row r="1424" spans="1:6" x14ac:dyDescent="0.3">
      <c r="A1424" s="170">
        <v>32010510</v>
      </c>
      <c r="B1424" s="2558" t="s">
        <v>3453</v>
      </c>
      <c r="C1424" s="2558"/>
      <c r="D1424" s="2600">
        <f>SUM(D1425:D1426)</f>
        <v>72000000</v>
      </c>
      <c r="E1424" s="2600">
        <f t="shared" ref="E1424:F1424" si="98">SUM(E1425:E1426)</f>
        <v>0</v>
      </c>
      <c r="F1424" s="2600">
        <f t="shared" si="98"/>
        <v>72000000</v>
      </c>
    </row>
    <row r="1425" spans="1:6" x14ac:dyDescent="0.3">
      <c r="A1425" s="2562" t="s">
        <v>3867</v>
      </c>
      <c r="B1425" s="2582" t="s">
        <v>654</v>
      </c>
      <c r="C1425" s="2582"/>
      <c r="D1425" s="2584">
        <v>65000000</v>
      </c>
      <c r="E1425" s="2559"/>
      <c r="F1425" s="2584">
        <v>65000000</v>
      </c>
    </row>
    <row r="1426" spans="1:6" x14ac:dyDescent="0.3">
      <c r="A1426" s="2562" t="s">
        <v>3868</v>
      </c>
      <c r="B1426" s="2582" t="s">
        <v>1587</v>
      </c>
      <c r="C1426" s="2582"/>
      <c r="D1426" s="2584">
        <v>7000000</v>
      </c>
      <c r="E1426" s="2584"/>
      <c r="F1426" s="2584">
        <v>7000000</v>
      </c>
    </row>
    <row r="1427" spans="1:6" x14ac:dyDescent="0.3">
      <c r="A1427" s="2582"/>
      <c r="B1427" s="2558"/>
      <c r="C1427" s="2558"/>
      <c r="D1427" s="2600"/>
      <c r="E1427" s="2600"/>
      <c r="F1427" s="2600"/>
    </row>
    <row r="1428" spans="1:6" ht="38.25" thickBot="1" x14ac:dyDescent="0.35">
      <c r="A1428" s="2562"/>
      <c r="B1428" s="2566" t="s">
        <v>2625</v>
      </c>
      <c r="C1428" s="2566"/>
      <c r="D1428" s="2813">
        <f>SUM(D1413,D1422,D1424)</f>
        <v>285805200</v>
      </c>
      <c r="E1428" s="2813">
        <f t="shared" ref="E1428:F1428" si="99">SUM(E1413,E1422,E1424)</f>
        <v>12002490</v>
      </c>
      <c r="F1428" s="2813">
        <f t="shared" si="99"/>
        <v>444100410</v>
      </c>
    </row>
    <row r="1429" spans="1:6" x14ac:dyDescent="0.3">
      <c r="A1429" s="2596"/>
      <c r="B1429" s="2577"/>
      <c r="C1429" s="2577"/>
      <c r="D1429" s="2578"/>
      <c r="E1429" s="2578"/>
      <c r="F1429" s="2578"/>
    </row>
    <row r="1430" spans="1:6" x14ac:dyDescent="0.3">
      <c r="A1430" s="169"/>
    </row>
    <row r="1431" spans="1:6" x14ac:dyDescent="0.3">
      <c r="A1431" s="3514" t="s">
        <v>81</v>
      </c>
      <c r="B1431" s="3514"/>
      <c r="C1431" s="3514"/>
      <c r="D1431" s="3514"/>
      <c r="E1431" s="3514"/>
      <c r="F1431" s="3514"/>
    </row>
    <row r="1432" spans="1:6" ht="19.5" thickBot="1" x14ac:dyDescent="0.35">
      <c r="A1432" s="3513" t="s">
        <v>552</v>
      </c>
      <c r="B1432" s="3513"/>
      <c r="C1432" s="3513"/>
      <c r="D1432" s="3513"/>
      <c r="E1432" s="3513"/>
      <c r="F1432" s="3513"/>
    </row>
    <row r="1433" spans="1:6" s="2549" customFormat="1" ht="57" thickBot="1" x14ac:dyDescent="0.25">
      <c r="A1433" s="2548" t="s">
        <v>1</v>
      </c>
      <c r="B1433" s="2290" t="s">
        <v>282</v>
      </c>
      <c r="C1433" s="2548" t="s">
        <v>3197</v>
      </c>
      <c r="D1433" s="2292" t="s">
        <v>1174</v>
      </c>
      <c r="E1433" s="2292" t="s">
        <v>1145</v>
      </c>
      <c r="F1433" s="2292" t="s">
        <v>3096</v>
      </c>
    </row>
    <row r="1434" spans="1:6" s="2599" customFormat="1" x14ac:dyDescent="0.3">
      <c r="A1434" s="2630">
        <v>32000000</v>
      </c>
      <c r="B1434" s="2726" t="s">
        <v>462</v>
      </c>
      <c r="C1434" s="2726"/>
      <c r="D1434" s="2552"/>
      <c r="E1434" s="2552"/>
      <c r="F1434" s="2552"/>
    </row>
    <row r="1435" spans="1:6" x14ac:dyDescent="0.3">
      <c r="A1435" s="170">
        <v>32010000</v>
      </c>
      <c r="B1435" s="2558" t="s">
        <v>463</v>
      </c>
      <c r="C1435" s="2558"/>
      <c r="D1435" s="2559"/>
      <c r="E1435" s="2559"/>
      <c r="F1435" s="2559"/>
    </row>
    <row r="1436" spans="1:6" x14ac:dyDescent="0.3">
      <c r="A1436" s="170">
        <v>32010100</v>
      </c>
      <c r="B1436" s="2558" t="s">
        <v>464</v>
      </c>
      <c r="C1436" s="2558"/>
      <c r="D1436" s="2559"/>
      <c r="E1436" s="2559"/>
      <c r="F1436" s="2559"/>
    </row>
    <row r="1437" spans="1:6" x14ac:dyDescent="0.3">
      <c r="A1437" s="170">
        <v>32010101</v>
      </c>
      <c r="B1437" s="2558" t="s">
        <v>3212</v>
      </c>
      <c r="C1437" s="2558"/>
      <c r="D1437" s="2560">
        <f>SUM(D1438:D1451)</f>
        <v>2245876845</v>
      </c>
      <c r="E1437" s="2560">
        <f t="shared" ref="E1437:F1437" si="100">SUM(E1438:E1451)</f>
        <v>469631225.30000001</v>
      </c>
      <c r="F1437" s="2560">
        <f t="shared" si="100"/>
        <v>3969359045</v>
      </c>
    </row>
    <row r="1438" spans="1:6" x14ac:dyDescent="0.3">
      <c r="A1438" s="2562" t="s">
        <v>3870</v>
      </c>
      <c r="B1438" s="1981" t="s">
        <v>1841</v>
      </c>
      <c r="C1438" s="1981"/>
      <c r="D1438" s="2584">
        <v>899540240</v>
      </c>
      <c r="E1438" s="2584">
        <v>150719066.90000001</v>
      </c>
      <c r="F1438" s="2584">
        <v>1200000000</v>
      </c>
    </row>
    <row r="1439" spans="1:6" s="2754" customFormat="1" x14ac:dyDescent="0.3">
      <c r="A1439" s="2562" t="s">
        <v>3871</v>
      </c>
      <c r="B1439" s="2978" t="s">
        <v>309</v>
      </c>
      <c r="C1439" s="2978"/>
      <c r="D1439" s="2584">
        <v>200000000</v>
      </c>
      <c r="E1439" s="2584">
        <v>54948250</v>
      </c>
      <c r="F1439" s="2584">
        <v>200000000</v>
      </c>
    </row>
    <row r="1440" spans="1:6" x14ac:dyDescent="0.3">
      <c r="A1440" s="2562" t="s">
        <v>3872</v>
      </c>
      <c r="B1440" s="1981" t="s">
        <v>310</v>
      </c>
      <c r="C1440" s="1981"/>
      <c r="D1440" s="2584">
        <v>294174355</v>
      </c>
      <c r="E1440" s="2584" t="s">
        <v>765</v>
      </c>
      <c r="F1440" s="2584">
        <v>294174355</v>
      </c>
    </row>
    <row r="1441" spans="1:6" x14ac:dyDescent="0.3">
      <c r="A1441" s="2562" t="s">
        <v>3873</v>
      </c>
      <c r="B1441" s="1981" t="s">
        <v>1842</v>
      </c>
      <c r="C1441" s="1981"/>
      <c r="D1441" s="2584">
        <v>206977560</v>
      </c>
      <c r="E1441" s="2584"/>
      <c r="F1441" s="2584">
        <v>100000000</v>
      </c>
    </row>
    <row r="1442" spans="1:6" x14ac:dyDescent="0.3">
      <c r="A1442" s="2562" t="s">
        <v>3874</v>
      </c>
      <c r="B1442" s="1981" t="s">
        <v>935</v>
      </c>
      <c r="C1442" s="1981"/>
      <c r="D1442" s="2584">
        <v>200184690</v>
      </c>
      <c r="E1442" s="2584">
        <v>250147753.40000001</v>
      </c>
      <c r="F1442" s="2584">
        <v>100184690</v>
      </c>
    </row>
    <row r="1443" spans="1:6" x14ac:dyDescent="0.3">
      <c r="A1443" s="2562" t="s">
        <v>3875</v>
      </c>
      <c r="B1443" s="1981" t="s">
        <v>311</v>
      </c>
      <c r="C1443" s="1981"/>
      <c r="D1443" s="2584">
        <v>10000000</v>
      </c>
      <c r="E1443" s="2584"/>
      <c r="F1443" s="2667">
        <v>0</v>
      </c>
    </row>
    <row r="1444" spans="1:6" x14ac:dyDescent="0.3">
      <c r="A1444" s="2562" t="s">
        <v>3876</v>
      </c>
      <c r="B1444" s="1981" t="s">
        <v>936</v>
      </c>
      <c r="C1444" s="1981"/>
      <c r="D1444" s="2584">
        <v>250000000</v>
      </c>
      <c r="E1444" s="2584">
        <v>13816155</v>
      </c>
      <c r="F1444" s="2584">
        <v>250000000</v>
      </c>
    </row>
    <row r="1445" spans="1:6" x14ac:dyDescent="0.3">
      <c r="A1445" s="2562" t="s">
        <v>3877</v>
      </c>
      <c r="B1445" s="1981" t="s">
        <v>3052</v>
      </c>
      <c r="C1445" s="1981"/>
      <c r="D1445" s="2667">
        <v>0</v>
      </c>
      <c r="E1445" s="2584"/>
      <c r="F1445" s="2584">
        <v>150000000</v>
      </c>
    </row>
    <row r="1446" spans="1:6" x14ac:dyDescent="0.3">
      <c r="A1446" s="2562" t="s">
        <v>3878</v>
      </c>
      <c r="B1446" s="1981" t="s">
        <v>1843</v>
      </c>
      <c r="C1446" s="1981"/>
      <c r="D1446" s="2584">
        <v>100000000</v>
      </c>
      <c r="E1446" s="2584"/>
      <c r="F1446" s="2584">
        <v>300000000</v>
      </c>
    </row>
    <row r="1447" spans="1:6" ht="37.5" x14ac:dyDescent="0.3">
      <c r="A1447" s="2562" t="s">
        <v>3879</v>
      </c>
      <c r="B1447" s="2563" t="s">
        <v>4230</v>
      </c>
      <c r="C1447" s="1981"/>
      <c r="D1447" s="2820">
        <v>70000000</v>
      </c>
      <c r="E1447" s="2612"/>
      <c r="F1447" s="2584">
        <v>140000000</v>
      </c>
    </row>
    <row r="1448" spans="1:6" x14ac:dyDescent="0.3">
      <c r="A1448" s="2562" t="s">
        <v>3880</v>
      </c>
      <c r="B1448" s="2563" t="s">
        <v>4209</v>
      </c>
      <c r="C1448" s="1981"/>
      <c r="D1448" s="2820"/>
      <c r="E1448" s="2612"/>
      <c r="F1448" s="2612">
        <v>500000000</v>
      </c>
    </row>
    <row r="1449" spans="1:6" ht="37.5" x14ac:dyDescent="0.3">
      <c r="A1449" s="2562" t="s">
        <v>3881</v>
      </c>
      <c r="B1449" s="1981" t="s">
        <v>1844</v>
      </c>
      <c r="C1449" s="1981"/>
      <c r="D1449" s="2584">
        <v>15000000</v>
      </c>
      <c r="E1449" s="2584"/>
      <c r="F1449" s="2584">
        <v>20000000</v>
      </c>
    </row>
    <row r="1450" spans="1:6" ht="37.5" x14ac:dyDescent="0.3">
      <c r="A1450" s="2562" t="s">
        <v>3882</v>
      </c>
      <c r="B1450" s="1981" t="s">
        <v>3016</v>
      </c>
      <c r="C1450" s="1981"/>
      <c r="D1450" s="2584"/>
      <c r="E1450" s="2584"/>
      <c r="F1450" s="2584">
        <v>650000000</v>
      </c>
    </row>
    <row r="1451" spans="1:6" x14ac:dyDescent="0.3">
      <c r="A1451" s="2562" t="s">
        <v>3883</v>
      </c>
      <c r="B1451" s="1981" t="s">
        <v>1849</v>
      </c>
      <c r="C1451" s="1981"/>
      <c r="D1451" s="2584"/>
      <c r="E1451" s="2584"/>
      <c r="F1451" s="2584">
        <v>65000000</v>
      </c>
    </row>
    <row r="1452" spans="1:6" x14ac:dyDescent="0.3">
      <c r="A1452" s="2624">
        <v>32010207</v>
      </c>
      <c r="B1452" s="2558" t="s">
        <v>3202</v>
      </c>
      <c r="C1452" s="2558"/>
      <c r="D1452" s="2560">
        <f>SUM(D1453)</f>
        <v>10000000</v>
      </c>
      <c r="E1452" s="2560">
        <f t="shared" ref="E1452:F1452" si="101">SUM(E1453)</f>
        <v>0</v>
      </c>
      <c r="F1452" s="2560">
        <f t="shared" si="101"/>
        <v>10000000</v>
      </c>
    </row>
    <row r="1453" spans="1:6" x14ac:dyDescent="0.3">
      <c r="A1453" s="2562" t="s">
        <v>3884</v>
      </c>
      <c r="B1453" s="1981" t="s">
        <v>307</v>
      </c>
      <c r="C1453" s="1981"/>
      <c r="D1453" s="2584">
        <v>10000000</v>
      </c>
      <c r="E1453" s="2559"/>
      <c r="F1453" s="2584">
        <v>10000000</v>
      </c>
    </row>
    <row r="1454" spans="1:6" x14ac:dyDescent="0.3">
      <c r="A1454" s="170">
        <v>32010510</v>
      </c>
      <c r="B1454" s="2566" t="s">
        <v>3453</v>
      </c>
      <c r="C1454" s="1981"/>
      <c r="D1454" s="2560">
        <f>SUM(D1455:D1459)</f>
        <v>746613360</v>
      </c>
      <c r="E1454" s="2560">
        <f>SUM(E1455:E1459)</f>
        <v>152166401</v>
      </c>
      <c r="F1454" s="2560">
        <f>SUM(F1455:F1459)</f>
        <v>746613360</v>
      </c>
    </row>
    <row r="1455" spans="1:6" x14ac:dyDescent="0.3">
      <c r="A1455" s="2562" t="s">
        <v>3885</v>
      </c>
      <c r="B1455" s="1981" t="s">
        <v>312</v>
      </c>
      <c r="C1455" s="1981"/>
      <c r="D1455" s="2584">
        <v>150000000</v>
      </c>
      <c r="E1455" s="2584"/>
      <c r="F1455" s="2584">
        <v>150000000</v>
      </c>
    </row>
    <row r="1456" spans="1:6" x14ac:dyDescent="0.3">
      <c r="A1456" s="2562" t="s">
        <v>3886</v>
      </c>
      <c r="B1456" s="1981" t="s">
        <v>483</v>
      </c>
      <c r="C1456" s="1981"/>
      <c r="D1456" s="2584">
        <v>15000000</v>
      </c>
      <c r="E1456" s="2584"/>
      <c r="F1456" s="2584">
        <v>15000000</v>
      </c>
    </row>
    <row r="1457" spans="1:6" x14ac:dyDescent="0.3">
      <c r="A1457" s="2562" t="s">
        <v>3887</v>
      </c>
      <c r="B1457" s="1981" t="s">
        <v>937</v>
      </c>
      <c r="C1457" s="1981"/>
      <c r="D1457" s="2584">
        <v>414613360</v>
      </c>
      <c r="E1457" s="2584">
        <v>152166401</v>
      </c>
      <c r="F1457" s="2584">
        <v>414613360</v>
      </c>
    </row>
    <row r="1458" spans="1:6" x14ac:dyDescent="0.3">
      <c r="A1458" s="2562" t="s">
        <v>3888</v>
      </c>
      <c r="B1458" s="1981" t="s">
        <v>306</v>
      </c>
      <c r="C1458" s="1981"/>
      <c r="D1458" s="2584">
        <v>5000000</v>
      </c>
      <c r="E1458" s="2586"/>
      <c r="F1458" s="2584">
        <v>5000000</v>
      </c>
    </row>
    <row r="1459" spans="1:6" x14ac:dyDescent="0.3">
      <c r="A1459" s="2562" t="s">
        <v>3889</v>
      </c>
      <c r="B1459" s="1981" t="s">
        <v>308</v>
      </c>
      <c r="C1459" s="1981"/>
      <c r="D1459" s="2584">
        <v>162000000</v>
      </c>
      <c r="E1459" s="2559"/>
      <c r="F1459" s="2584">
        <v>162000000</v>
      </c>
    </row>
    <row r="1460" spans="1:6" s="2775" customFormat="1" x14ac:dyDescent="0.3">
      <c r="A1460" s="2576"/>
      <c r="B1460" s="2740"/>
      <c r="C1460" s="2740"/>
      <c r="D1460" s="2979"/>
      <c r="E1460" s="2979"/>
      <c r="F1460" s="2979"/>
    </row>
    <row r="1461" spans="1:6" s="2775" customFormat="1" x14ac:dyDescent="0.3">
      <c r="A1461" s="2576"/>
      <c r="B1461" s="2740"/>
      <c r="C1461" s="2740"/>
      <c r="D1461" s="2979"/>
      <c r="E1461" s="2979"/>
      <c r="F1461" s="2979"/>
    </row>
    <row r="1462" spans="1:6" s="2775" customFormat="1" ht="20.25" thickBot="1" x14ac:dyDescent="0.4">
      <c r="A1462" s="3522" t="s">
        <v>1248</v>
      </c>
      <c r="B1462" s="3522"/>
      <c r="C1462" s="3522"/>
      <c r="D1462" s="3522"/>
      <c r="E1462" s="3522"/>
      <c r="F1462" s="3522"/>
    </row>
    <row r="1463" spans="1:6" s="2549" customFormat="1" ht="57" thickBot="1" x14ac:dyDescent="0.25">
      <c r="A1463" s="2548" t="s">
        <v>1</v>
      </c>
      <c r="B1463" s="2290" t="s">
        <v>282</v>
      </c>
      <c r="C1463" s="2548" t="s">
        <v>3197</v>
      </c>
      <c r="D1463" s="2292" t="s">
        <v>1174</v>
      </c>
      <c r="E1463" s="2292" t="s">
        <v>1145</v>
      </c>
      <c r="F1463" s="2292" t="s">
        <v>3096</v>
      </c>
    </row>
    <row r="1464" spans="1:6" s="2599" customFormat="1" x14ac:dyDescent="0.3">
      <c r="A1464" s="2841"/>
      <c r="B1464" s="2581"/>
      <c r="C1464" s="2581"/>
      <c r="D1464" s="2980"/>
      <c r="E1464" s="2980"/>
      <c r="F1464" s="2980"/>
    </row>
    <row r="1465" spans="1:6" x14ac:dyDescent="0.3">
      <c r="A1465" s="2624">
        <v>32010600</v>
      </c>
      <c r="B1465" s="2558" t="s">
        <v>469</v>
      </c>
      <c r="C1465" s="2558"/>
      <c r="D1465" s="2559"/>
      <c r="E1465" s="2559"/>
      <c r="F1465" s="2559"/>
    </row>
    <row r="1466" spans="1:6" x14ac:dyDescent="0.3">
      <c r="A1466" s="2624">
        <v>32010601</v>
      </c>
      <c r="B1466" s="2558" t="s">
        <v>3479</v>
      </c>
      <c r="C1466" s="2558"/>
      <c r="D1466" s="2560">
        <f>SUM(D1467:D1467)</f>
        <v>226892100</v>
      </c>
      <c r="E1466" s="2560">
        <f>SUM(E1467:E1467)</f>
        <v>0</v>
      </c>
      <c r="F1466" s="2560">
        <f>SUM(F1467:F1467)</f>
        <v>226892100</v>
      </c>
    </row>
    <row r="1467" spans="1:6" x14ac:dyDescent="0.3">
      <c r="A1467" s="2562" t="s">
        <v>3890</v>
      </c>
      <c r="B1467" s="1981" t="s">
        <v>305</v>
      </c>
      <c r="C1467" s="1981"/>
      <c r="D1467" s="2584">
        <v>226892100</v>
      </c>
      <c r="E1467" s="2559"/>
      <c r="F1467" s="2584">
        <v>226892100</v>
      </c>
    </row>
    <row r="1468" spans="1:6" x14ac:dyDescent="0.3">
      <c r="A1468" s="2624">
        <v>320301</v>
      </c>
      <c r="B1468" s="2566" t="s">
        <v>472</v>
      </c>
      <c r="C1468" s="2566"/>
      <c r="D1468" s="2582"/>
      <c r="E1468" s="2582"/>
      <c r="F1468" s="2582"/>
    </row>
    <row r="1469" spans="1:6" x14ac:dyDescent="0.3">
      <c r="A1469" s="170">
        <v>32030109</v>
      </c>
      <c r="B1469" s="2566" t="s">
        <v>3517</v>
      </c>
      <c r="C1469" s="2566"/>
      <c r="D1469" s="2600">
        <f>SUM(D1470:D1477)</f>
        <v>695255720</v>
      </c>
      <c r="E1469" s="2600">
        <f>SUM(E1470:E1477)</f>
        <v>1103242300</v>
      </c>
      <c r="F1469" s="2600">
        <f>SUM(F1470:F1477)</f>
        <v>967975100</v>
      </c>
    </row>
    <row r="1470" spans="1:6" x14ac:dyDescent="0.3">
      <c r="A1470" s="2562" t="s">
        <v>3891</v>
      </c>
      <c r="B1470" s="1981" t="s">
        <v>1845</v>
      </c>
      <c r="C1470" s="1981"/>
      <c r="D1470" s="2584">
        <v>408154190</v>
      </c>
      <c r="E1470" s="2584">
        <v>30602300</v>
      </c>
      <c r="F1470" s="2584">
        <v>354619000</v>
      </c>
    </row>
    <row r="1471" spans="1:6" x14ac:dyDescent="0.3">
      <c r="A1471" s="2562" t="s">
        <v>3892</v>
      </c>
      <c r="B1471" s="1981" t="s">
        <v>3017</v>
      </c>
      <c r="C1471" s="1981"/>
      <c r="D1471" s="2584"/>
      <c r="E1471" s="2584"/>
      <c r="F1471" s="2667">
        <v>0</v>
      </c>
    </row>
    <row r="1472" spans="1:6" x14ac:dyDescent="0.3">
      <c r="A1472" s="2562" t="s">
        <v>3893</v>
      </c>
      <c r="B1472" s="1981" t="s">
        <v>2850</v>
      </c>
      <c r="C1472" s="1981"/>
      <c r="D1472" s="2584">
        <v>55000000</v>
      </c>
      <c r="E1472" s="2584"/>
      <c r="F1472" s="2584">
        <v>100000000</v>
      </c>
    </row>
    <row r="1473" spans="1:6" x14ac:dyDescent="0.3">
      <c r="A1473" s="2562" t="s">
        <v>3894</v>
      </c>
      <c r="B1473" s="1981" t="s">
        <v>1846</v>
      </c>
      <c r="C1473" s="1981"/>
      <c r="D1473" s="2584">
        <v>11356100</v>
      </c>
      <c r="E1473" s="2584"/>
      <c r="F1473" s="2584">
        <v>11356100</v>
      </c>
    </row>
    <row r="1474" spans="1:6" x14ac:dyDescent="0.3">
      <c r="A1474" s="2562" t="s">
        <v>3895</v>
      </c>
      <c r="B1474" s="1981" t="s">
        <v>2547</v>
      </c>
      <c r="C1474" s="1981"/>
      <c r="D1474" s="2584">
        <v>7000000</v>
      </c>
      <c r="E1474" s="2584"/>
      <c r="F1474" s="2584">
        <v>7000000</v>
      </c>
    </row>
    <row r="1475" spans="1:6" x14ac:dyDescent="0.3">
      <c r="A1475" s="2562" t="s">
        <v>3896</v>
      </c>
      <c r="B1475" s="1981" t="s">
        <v>2992</v>
      </c>
      <c r="C1475" s="1981"/>
      <c r="D1475" s="2584">
        <v>113745430</v>
      </c>
      <c r="E1475" s="2584">
        <v>1072640000</v>
      </c>
      <c r="F1475" s="2584" t="s">
        <v>179</v>
      </c>
    </row>
    <row r="1476" spans="1:6" x14ac:dyDescent="0.3">
      <c r="A1476" s="2562" t="s">
        <v>4231</v>
      </c>
      <c r="B1476" s="1981" t="s">
        <v>1847</v>
      </c>
      <c r="C1476" s="2601"/>
      <c r="D1476" s="2584"/>
      <c r="E1476" s="2584"/>
      <c r="F1476" s="2584">
        <v>450000000</v>
      </c>
    </row>
    <row r="1477" spans="1:6" x14ac:dyDescent="0.3">
      <c r="A1477" s="2562" t="s">
        <v>4232</v>
      </c>
      <c r="B1477" s="1981" t="s">
        <v>1848</v>
      </c>
      <c r="C1477" s="2601"/>
      <c r="D1477" s="2584">
        <v>100000000</v>
      </c>
      <c r="E1477" s="2584"/>
      <c r="F1477" s="2584">
        <v>45000000</v>
      </c>
    </row>
    <row r="1478" spans="1:6" ht="19.5" thickBot="1" x14ac:dyDescent="0.35">
      <c r="A1478" s="2562"/>
      <c r="B1478" s="1981"/>
      <c r="C1478" s="2601"/>
      <c r="D1478" s="2612"/>
      <c r="E1478" s="2612"/>
      <c r="F1478" s="2612"/>
    </row>
    <row r="1479" spans="1:6" ht="19.5" thickBot="1" x14ac:dyDescent="0.35">
      <c r="A1479" s="170"/>
      <c r="B1479" s="2566" t="s">
        <v>1363</v>
      </c>
      <c r="C1479" s="2603"/>
      <c r="D1479" s="2595">
        <f>SUM(D1437,D1452,D1454,D1466,D1469)</f>
        <v>3924638025</v>
      </c>
      <c r="E1479" s="2595">
        <f>SUM(E1437,E1452,E1454,E1466,E1469)</f>
        <v>1725039926.3</v>
      </c>
      <c r="F1479" s="2595">
        <f>SUM(F1437,F1452,F1454,F1466,F1469)</f>
        <v>5920839605</v>
      </c>
    </row>
    <row r="1480" spans="1:6" s="2775" customFormat="1" x14ac:dyDescent="0.3">
      <c r="A1480" s="2917"/>
      <c r="B1480" s="3514"/>
      <c r="C1480" s="3515"/>
      <c r="D1480" s="3515"/>
      <c r="E1480" s="3515"/>
      <c r="F1480" s="3515"/>
    </row>
    <row r="1481" spans="1:6" s="2775" customFormat="1" x14ac:dyDescent="0.3">
      <c r="A1481" s="2917"/>
      <c r="B1481" s="3517"/>
      <c r="C1481" s="3517"/>
      <c r="D1481" s="3517"/>
      <c r="E1481" s="3517"/>
      <c r="F1481" s="3517"/>
    </row>
    <row r="1482" spans="1:6" x14ac:dyDescent="0.3">
      <c r="A1482" s="2981"/>
      <c r="B1482" s="3514" t="s">
        <v>81</v>
      </c>
      <c r="C1482" s="3514"/>
      <c r="D1482" s="3514"/>
      <c r="E1482" s="3514"/>
      <c r="F1482" s="3514"/>
    </row>
    <row r="1483" spans="1:6" ht="19.5" thickBot="1" x14ac:dyDescent="0.35">
      <c r="A1483" s="2981"/>
      <c r="B1483" s="3513" t="s">
        <v>2095</v>
      </c>
      <c r="C1483" s="3513"/>
      <c r="D1483" s="3513"/>
      <c r="E1483" s="3513"/>
      <c r="F1483" s="3513"/>
    </row>
    <row r="1484" spans="1:6" s="2549" customFormat="1" ht="57" thickBot="1" x14ac:dyDescent="0.25">
      <c r="A1484" s="2548" t="s">
        <v>1</v>
      </c>
      <c r="B1484" s="2290" t="s">
        <v>282</v>
      </c>
      <c r="C1484" s="2548" t="s">
        <v>3197</v>
      </c>
      <c r="D1484" s="2292" t="s">
        <v>1174</v>
      </c>
      <c r="E1484" s="2292" t="s">
        <v>1145</v>
      </c>
      <c r="F1484" s="2292" t="s">
        <v>3096</v>
      </c>
    </row>
    <row r="1485" spans="1:6" x14ac:dyDescent="0.3">
      <c r="A1485" s="2630">
        <v>320000</v>
      </c>
      <c r="B1485" s="2631" t="s">
        <v>462</v>
      </c>
      <c r="C1485" s="2631"/>
      <c r="D1485" s="2698"/>
      <c r="E1485" s="2634"/>
      <c r="F1485" s="2552"/>
    </row>
    <row r="1486" spans="1:6" x14ac:dyDescent="0.3">
      <c r="A1486" s="2624">
        <v>320100</v>
      </c>
      <c r="B1486" s="2558" t="s">
        <v>463</v>
      </c>
      <c r="C1486" s="2558"/>
      <c r="D1486" s="2559"/>
      <c r="E1486" s="2559"/>
      <c r="F1486" s="2559"/>
    </row>
    <row r="1487" spans="1:6" x14ac:dyDescent="0.3">
      <c r="A1487" s="2624">
        <v>320101</v>
      </c>
      <c r="B1487" s="2558" t="s">
        <v>464</v>
      </c>
      <c r="C1487" s="2558"/>
      <c r="D1487" s="2559"/>
      <c r="E1487" s="2559"/>
      <c r="F1487" s="2559"/>
    </row>
    <row r="1488" spans="1:6" x14ac:dyDescent="0.3">
      <c r="A1488" s="2624">
        <v>32010101</v>
      </c>
      <c r="B1488" s="2558" t="s">
        <v>3212</v>
      </c>
      <c r="C1488" s="2558"/>
      <c r="D1488" s="2560">
        <f>SUM(D1489:D1490)</f>
        <v>20000000</v>
      </c>
      <c r="E1488" s="2560">
        <f t="shared" ref="E1488:F1488" si="102">SUM(E1489:E1490)</f>
        <v>5400000</v>
      </c>
      <c r="F1488" s="2560">
        <f t="shared" si="102"/>
        <v>441350000</v>
      </c>
    </row>
    <row r="1489" spans="1:6" x14ac:dyDescent="0.3">
      <c r="A1489" s="2766" t="s">
        <v>4233</v>
      </c>
      <c r="B1489" s="1981" t="s">
        <v>487</v>
      </c>
      <c r="C1489" s="1981"/>
      <c r="D1489" s="2667">
        <v>0</v>
      </c>
      <c r="E1489" s="2584"/>
      <c r="F1489" s="2584">
        <v>426350000</v>
      </c>
    </row>
    <row r="1490" spans="1:6" x14ac:dyDescent="0.3">
      <c r="A1490" s="2766" t="s">
        <v>4234</v>
      </c>
      <c r="B1490" s="1981" t="s">
        <v>944</v>
      </c>
      <c r="C1490" s="1981"/>
      <c r="D1490" s="2584">
        <v>20000000</v>
      </c>
      <c r="E1490" s="2584">
        <v>5400000</v>
      </c>
      <c r="F1490" s="2584">
        <v>15000000</v>
      </c>
    </row>
    <row r="1491" spans="1:6" x14ac:dyDescent="0.3">
      <c r="A1491" s="2624">
        <v>320104</v>
      </c>
      <c r="B1491" s="2558" t="s">
        <v>467</v>
      </c>
      <c r="C1491" s="2558"/>
      <c r="D1491" s="2559"/>
      <c r="E1491" s="2559"/>
      <c r="F1491" s="2559"/>
    </row>
    <row r="1492" spans="1:6" x14ac:dyDescent="0.3">
      <c r="A1492" s="2624">
        <v>32010405</v>
      </c>
      <c r="B1492" s="2558" t="s">
        <v>3452</v>
      </c>
      <c r="C1492" s="2558"/>
      <c r="D1492" s="2560">
        <f>SUM(D1493:D1493)</f>
        <v>11200000</v>
      </c>
      <c r="E1492" s="2560">
        <f t="shared" ref="E1492:F1492" si="103">SUM(E1493:E1493)</f>
        <v>11070000</v>
      </c>
      <c r="F1492" s="2560">
        <f t="shared" si="103"/>
        <v>0</v>
      </c>
    </row>
    <row r="1493" spans="1:6" x14ac:dyDescent="0.3">
      <c r="A1493" s="2766" t="s">
        <v>4235</v>
      </c>
      <c r="B1493" s="1981" t="s">
        <v>486</v>
      </c>
      <c r="C1493" s="1981"/>
      <c r="D1493" s="2584">
        <v>11200000</v>
      </c>
      <c r="E1493" s="2559">
        <v>11070000</v>
      </c>
      <c r="F1493" s="2667">
        <v>0</v>
      </c>
    </row>
    <row r="1494" spans="1:6" x14ac:dyDescent="0.3">
      <c r="A1494" s="2624">
        <v>320301</v>
      </c>
      <c r="B1494" s="2566" t="s">
        <v>472</v>
      </c>
      <c r="C1494" s="2566"/>
      <c r="D1494" s="2582"/>
      <c r="E1494" s="2582"/>
      <c r="F1494" s="2582"/>
    </row>
    <row r="1495" spans="1:6" x14ac:dyDescent="0.3">
      <c r="A1495" s="170">
        <v>32030109</v>
      </c>
      <c r="B1495" s="2566" t="s">
        <v>3517</v>
      </c>
      <c r="C1495" s="2566"/>
      <c r="D1495" s="2600">
        <f>SUM(D1496:D1501)</f>
        <v>5182141260</v>
      </c>
      <c r="E1495" s="2600">
        <f t="shared" ref="E1495:F1495" si="104">SUM(E1496:E1501)</f>
        <v>1140000000</v>
      </c>
      <c r="F1495" s="2600">
        <f t="shared" si="104"/>
        <v>4583702448</v>
      </c>
    </row>
    <row r="1496" spans="1:6" x14ac:dyDescent="0.3">
      <c r="A1496" s="2766" t="s">
        <v>4236</v>
      </c>
      <c r="B1496" s="1981" t="s">
        <v>1740</v>
      </c>
      <c r="C1496" s="1981"/>
      <c r="D1496" s="2584">
        <v>1579884080</v>
      </c>
      <c r="E1496" s="2584"/>
      <c r="F1496" s="2584">
        <v>1510664674</v>
      </c>
    </row>
    <row r="1497" spans="1:6" x14ac:dyDescent="0.3">
      <c r="A1497" s="2766" t="s">
        <v>4237</v>
      </c>
      <c r="B1497" s="1981" t="s">
        <v>1741</v>
      </c>
      <c r="C1497" s="1981"/>
      <c r="D1497" s="2584">
        <v>1579884080</v>
      </c>
      <c r="E1497" s="2584"/>
      <c r="F1497" s="2584">
        <v>1510664674</v>
      </c>
    </row>
    <row r="1498" spans="1:6" x14ac:dyDescent="0.3">
      <c r="A1498" s="2766" t="s">
        <v>4238</v>
      </c>
      <c r="B1498" s="1981" t="s">
        <v>1742</v>
      </c>
      <c r="C1498" s="1981"/>
      <c r="D1498" s="2584">
        <v>343373100</v>
      </c>
      <c r="E1498" s="2584"/>
      <c r="F1498" s="2584">
        <v>343373100</v>
      </c>
    </row>
    <row r="1499" spans="1:6" x14ac:dyDescent="0.3">
      <c r="A1499" s="2562" t="s">
        <v>4239</v>
      </c>
      <c r="B1499" s="1981" t="s">
        <v>1743</v>
      </c>
      <c r="C1499" s="2601"/>
      <c r="D1499" s="2584">
        <v>79000000</v>
      </c>
      <c r="E1499" s="2584"/>
      <c r="F1499" s="2584">
        <v>79000000</v>
      </c>
    </row>
    <row r="1500" spans="1:6" x14ac:dyDescent="0.3">
      <c r="A1500" s="2562" t="s">
        <v>4240</v>
      </c>
      <c r="B1500" s="1981" t="s">
        <v>2851</v>
      </c>
      <c r="C1500" s="2601"/>
      <c r="D1500" s="2584">
        <v>1600000000</v>
      </c>
      <c r="E1500" s="2584">
        <v>1140000000</v>
      </c>
      <c r="F1500" s="2584">
        <v>1140000000</v>
      </c>
    </row>
    <row r="1501" spans="1:6" x14ac:dyDescent="0.3">
      <c r="A1501" s="2562" t="s">
        <v>4241</v>
      </c>
      <c r="B1501" s="1981" t="s">
        <v>3048</v>
      </c>
      <c r="C1501" s="2601"/>
      <c r="D1501" s="2584"/>
      <c r="E1501" s="2584"/>
      <c r="F1501" s="2584"/>
    </row>
    <row r="1502" spans="1:6" ht="19.5" thickBot="1" x14ac:dyDescent="0.35">
      <c r="A1502" s="2562"/>
      <c r="B1502" s="2566"/>
      <c r="C1502" s="2566"/>
      <c r="D1502" s="2771"/>
      <c r="E1502" s="2772"/>
      <c r="F1502" s="2772"/>
    </row>
    <row r="1503" spans="1:6" ht="19.5" thickBot="1" x14ac:dyDescent="0.35">
      <c r="A1503" s="170"/>
      <c r="B1503" s="2566" t="s">
        <v>2626</v>
      </c>
      <c r="C1503" s="2566"/>
      <c r="D1503" s="2814">
        <f>SUM(D1488,D1492,D1495)</f>
        <v>5213341260</v>
      </c>
      <c r="E1503" s="2780">
        <f>SUM(E1488,E1492,E1495)</f>
        <v>1156470000</v>
      </c>
      <c r="F1503" s="2595">
        <f>SUM(F1488,F1492,F1495)</f>
        <v>5025052448</v>
      </c>
    </row>
    <row r="1504" spans="1:6" x14ac:dyDescent="0.3">
      <c r="A1504" s="169"/>
    </row>
    <row r="1505" spans="1:6" s="2775" customFormat="1" x14ac:dyDescent="0.3">
      <c r="A1505" s="2596"/>
      <c r="B1505" s="2577"/>
      <c r="C1505" s="2577"/>
      <c r="D1505" s="2578"/>
      <c r="E1505" s="2578"/>
      <c r="F1505" s="2578"/>
    </row>
    <row r="1506" spans="1:6" x14ac:dyDescent="0.3">
      <c r="A1506" s="3517" t="s">
        <v>81</v>
      </c>
      <c r="B1506" s="3517"/>
      <c r="C1506" s="3517"/>
      <c r="D1506" s="3517"/>
      <c r="E1506" s="3517"/>
      <c r="F1506" s="3517"/>
    </row>
    <row r="1507" spans="1:6" ht="19.5" thickBot="1" x14ac:dyDescent="0.35">
      <c r="A1507" s="3526" t="s">
        <v>1249</v>
      </c>
      <c r="B1507" s="3526"/>
      <c r="C1507" s="3526"/>
      <c r="D1507" s="3526"/>
      <c r="E1507" s="3526"/>
      <c r="F1507" s="3526"/>
    </row>
    <row r="1508" spans="1:6" s="2549" customFormat="1" ht="57" thickBot="1" x14ac:dyDescent="0.25">
      <c r="A1508" s="2548" t="s">
        <v>1</v>
      </c>
      <c r="B1508" s="2290" t="s">
        <v>282</v>
      </c>
      <c r="C1508" s="2548" t="s">
        <v>3197</v>
      </c>
      <c r="D1508" s="2292" t="s">
        <v>1174</v>
      </c>
      <c r="E1508" s="2292" t="s">
        <v>1145</v>
      </c>
      <c r="F1508" s="2292" t="s">
        <v>3096</v>
      </c>
    </row>
    <row r="1509" spans="1:6" s="2599" customFormat="1" x14ac:dyDescent="0.3">
      <c r="A1509" s="2664">
        <v>32000000</v>
      </c>
      <c r="B1509" s="2579" t="s">
        <v>462</v>
      </c>
      <c r="C1509" s="2579"/>
      <c r="D1509" s="2580"/>
      <c r="E1509" s="2580"/>
      <c r="F1509" s="2580"/>
    </row>
    <row r="1510" spans="1:6" x14ac:dyDescent="0.3">
      <c r="A1510" s="2624">
        <v>32010000</v>
      </c>
      <c r="B1510" s="2558" t="s">
        <v>463</v>
      </c>
      <c r="C1510" s="2558"/>
      <c r="D1510" s="2559"/>
      <c r="E1510" s="2559"/>
      <c r="F1510" s="2559"/>
    </row>
    <row r="1511" spans="1:6" x14ac:dyDescent="0.3">
      <c r="A1511" s="2624">
        <v>32010100</v>
      </c>
      <c r="B1511" s="2558" t="s">
        <v>464</v>
      </c>
      <c r="C1511" s="2558"/>
      <c r="D1511" s="2559"/>
      <c r="E1511" s="2559"/>
      <c r="F1511" s="2559"/>
    </row>
    <row r="1512" spans="1:6" x14ac:dyDescent="0.3">
      <c r="A1512" s="2624">
        <v>32010101</v>
      </c>
      <c r="B1512" s="2558" t="s">
        <v>3212</v>
      </c>
      <c r="C1512" s="2558"/>
      <c r="D1512" s="2560">
        <f>SUM(D1513)</f>
        <v>36977695</v>
      </c>
      <c r="E1512" s="2560">
        <f t="shared" ref="E1512:F1512" si="105">SUM(E1513)</f>
        <v>0</v>
      </c>
      <c r="F1512" s="2560">
        <f t="shared" si="105"/>
        <v>50000000</v>
      </c>
    </row>
    <row r="1513" spans="1:6" ht="37.5" x14ac:dyDescent="0.3">
      <c r="A1513" s="2766" t="s">
        <v>3897</v>
      </c>
      <c r="B1513" s="2669" t="s">
        <v>946</v>
      </c>
      <c r="C1513" s="2669"/>
      <c r="D1513" s="2710">
        <v>36977695</v>
      </c>
      <c r="E1513" s="2559"/>
      <c r="F1513" s="2710">
        <v>50000000</v>
      </c>
    </row>
    <row r="1514" spans="1:6" x14ac:dyDescent="0.3">
      <c r="A1514" s="2624">
        <v>32010501</v>
      </c>
      <c r="B1514" s="2558" t="s">
        <v>3639</v>
      </c>
      <c r="C1514" s="2558"/>
      <c r="D1514" s="2560">
        <f>SUM(D1515:D1516)</f>
        <v>17708335</v>
      </c>
      <c r="E1514" s="2560">
        <f t="shared" ref="E1514:F1514" si="106">SUM(E1515:E1516)</f>
        <v>0</v>
      </c>
      <c r="F1514" s="2560">
        <f t="shared" si="106"/>
        <v>17708335</v>
      </c>
    </row>
    <row r="1515" spans="1:6" x14ac:dyDescent="0.3">
      <c r="A1515" s="2766" t="s">
        <v>3898</v>
      </c>
      <c r="B1515" s="2669" t="s">
        <v>945</v>
      </c>
      <c r="C1515" s="2669"/>
      <c r="D1515" s="2559">
        <v>10000000</v>
      </c>
      <c r="E1515" s="2559"/>
      <c r="F1515" s="2559">
        <v>10000000</v>
      </c>
    </row>
    <row r="1516" spans="1:6" x14ac:dyDescent="0.3">
      <c r="A1516" s="2766" t="s">
        <v>3899</v>
      </c>
      <c r="B1516" s="2669" t="s">
        <v>947</v>
      </c>
      <c r="C1516" s="2669"/>
      <c r="D1516" s="2559">
        <v>7708335</v>
      </c>
      <c r="E1516" s="2559"/>
      <c r="F1516" s="2559">
        <v>7708335</v>
      </c>
    </row>
    <row r="1517" spans="1:6" x14ac:dyDescent="0.3">
      <c r="A1517" s="2624">
        <v>32010600</v>
      </c>
      <c r="B1517" s="2558" t="s">
        <v>469</v>
      </c>
      <c r="C1517" s="2558"/>
      <c r="D1517" s="2559"/>
      <c r="E1517" s="2559"/>
      <c r="F1517" s="2670"/>
    </row>
    <row r="1518" spans="1:6" x14ac:dyDescent="0.3">
      <c r="A1518" s="2624">
        <v>32010601</v>
      </c>
      <c r="B1518" s="2558" t="s">
        <v>3479</v>
      </c>
      <c r="C1518" s="2558"/>
      <c r="D1518" s="2560">
        <f>SUM(D1519)</f>
        <v>0</v>
      </c>
      <c r="E1518" s="2560">
        <f t="shared" ref="E1518:F1518" si="107">SUM(E1519)</f>
        <v>0</v>
      </c>
      <c r="F1518" s="2560">
        <f t="shared" si="107"/>
        <v>0</v>
      </c>
    </row>
    <row r="1519" spans="1:6" x14ac:dyDescent="0.3">
      <c r="A1519" s="2766" t="s">
        <v>3900</v>
      </c>
      <c r="B1519" s="2582" t="s">
        <v>948</v>
      </c>
      <c r="C1519" s="2582"/>
      <c r="D1519" s="2586">
        <v>0</v>
      </c>
      <c r="E1519" s="2559"/>
      <c r="F1519" s="2982">
        <v>0</v>
      </c>
    </row>
    <row r="1520" spans="1:6" x14ac:dyDescent="0.3">
      <c r="A1520" s="2624">
        <v>320301</v>
      </c>
      <c r="B1520" s="2566" t="s">
        <v>472</v>
      </c>
      <c r="C1520" s="2566"/>
      <c r="D1520" s="2584"/>
      <c r="E1520" s="2556"/>
      <c r="F1520" s="2584"/>
    </row>
    <row r="1521" spans="1:6" x14ac:dyDescent="0.3">
      <c r="A1521" s="170">
        <v>32030109</v>
      </c>
      <c r="B1521" s="2566" t="s">
        <v>3517</v>
      </c>
      <c r="C1521" s="2566"/>
      <c r="D1521" s="2560">
        <f>SUM(D1522)</f>
        <v>10000000</v>
      </c>
      <c r="E1521" s="2560">
        <f t="shared" ref="E1521:F1521" si="108">SUM(E1522)</f>
        <v>0</v>
      </c>
      <c r="F1521" s="2560">
        <f t="shared" si="108"/>
        <v>10000000</v>
      </c>
    </row>
    <row r="1522" spans="1:6" x14ac:dyDescent="0.3">
      <c r="A1522" s="2562" t="s">
        <v>3901</v>
      </c>
      <c r="B1522" s="1981" t="s">
        <v>949</v>
      </c>
      <c r="C1522" s="2601"/>
      <c r="D1522" s="2584">
        <v>10000000</v>
      </c>
      <c r="E1522" s="2584"/>
      <c r="F1522" s="2584">
        <v>10000000</v>
      </c>
    </row>
    <row r="1523" spans="1:6" ht="19.5" thickBot="1" x14ac:dyDescent="0.35">
      <c r="A1523" s="2562"/>
      <c r="B1523" s="2566"/>
      <c r="C1523" s="2983"/>
      <c r="D1523" s="2772"/>
      <c r="E1523" s="2772"/>
      <c r="F1523" s="2772"/>
    </row>
    <row r="1524" spans="1:6" ht="19.5" thickBot="1" x14ac:dyDescent="0.35">
      <c r="A1524" s="170"/>
      <c r="B1524" s="2566" t="s">
        <v>2627</v>
      </c>
      <c r="C1524" s="2603"/>
      <c r="D1524" s="2595">
        <f>SUM(D1512,D1514,D1518,D1521)</f>
        <v>64686030</v>
      </c>
      <c r="E1524" s="2739">
        <f t="shared" ref="E1524:F1524" si="109">SUM(E1512,E1514,E1518,E1521)</f>
        <v>0</v>
      </c>
      <c r="F1524" s="2739">
        <f t="shared" si="109"/>
        <v>77708335</v>
      </c>
    </row>
    <row r="1525" spans="1:6" x14ac:dyDescent="0.3">
      <c r="A1525" s="3517"/>
      <c r="B1525" s="3517"/>
      <c r="C1525" s="3519"/>
      <c r="D1525" s="3519"/>
      <c r="E1525" s="3519"/>
      <c r="F1525" s="3519"/>
    </row>
    <row r="1526" spans="1:6" x14ac:dyDescent="0.3">
      <c r="A1526" s="3518" t="s">
        <v>81</v>
      </c>
      <c r="B1526" s="3518"/>
      <c r="C1526" s="3518"/>
      <c r="D1526" s="3518"/>
      <c r="E1526" s="3518"/>
      <c r="F1526" s="3518"/>
    </row>
    <row r="1527" spans="1:6" ht="19.5" thickBot="1" x14ac:dyDescent="0.35">
      <c r="A1527" s="3530" t="s">
        <v>1462</v>
      </c>
      <c r="B1527" s="3530"/>
      <c r="C1527" s="3530"/>
      <c r="D1527" s="3530"/>
      <c r="E1527" s="3530"/>
      <c r="F1527" s="3530"/>
    </row>
    <row r="1528" spans="1:6" s="2549" customFormat="1" ht="57" thickBot="1" x14ac:dyDescent="0.25">
      <c r="A1528" s="2548" t="s">
        <v>1</v>
      </c>
      <c r="B1528" s="2290" t="s">
        <v>282</v>
      </c>
      <c r="C1528" s="2548" t="s">
        <v>3197</v>
      </c>
      <c r="D1528" s="2292" t="s">
        <v>1174</v>
      </c>
      <c r="E1528" s="2292" t="s">
        <v>1145</v>
      </c>
      <c r="F1528" s="2292" t="s">
        <v>3096</v>
      </c>
    </row>
    <row r="1529" spans="1:6" s="2599" customFormat="1" x14ac:dyDescent="0.3">
      <c r="A1529" s="2803"/>
      <c r="B1529" s="2984"/>
      <c r="C1529" s="2984"/>
      <c r="D1529" s="2880"/>
      <c r="E1529" s="2763"/>
      <c r="F1529" s="2880"/>
    </row>
    <row r="1530" spans="1:6" x14ac:dyDescent="0.3">
      <c r="A1530" s="2985">
        <v>32000000</v>
      </c>
      <c r="B1530" s="2555" t="s">
        <v>462</v>
      </c>
      <c r="C1530" s="2555"/>
      <c r="D1530" s="2556"/>
      <c r="E1530" s="2556"/>
      <c r="F1530" s="2556"/>
    </row>
    <row r="1531" spans="1:6" x14ac:dyDescent="0.3">
      <c r="A1531" s="2895">
        <v>32010000</v>
      </c>
      <c r="B1531" s="2558" t="s">
        <v>463</v>
      </c>
      <c r="C1531" s="2558"/>
      <c r="D1531" s="2559"/>
      <c r="E1531" s="2559"/>
      <c r="F1531" s="2559"/>
    </row>
    <row r="1532" spans="1:6" x14ac:dyDescent="0.3">
      <c r="A1532" s="2895">
        <v>32010100</v>
      </c>
      <c r="B1532" s="2558" t="s">
        <v>464</v>
      </c>
      <c r="C1532" s="2558"/>
      <c r="D1532" s="2559"/>
      <c r="E1532" s="2559"/>
      <c r="F1532" s="2559"/>
    </row>
    <row r="1533" spans="1:6" x14ac:dyDescent="0.3">
      <c r="A1533" s="2895">
        <v>32010101</v>
      </c>
      <c r="B1533" s="2558" t="s">
        <v>3212</v>
      </c>
      <c r="C1533" s="2558"/>
      <c r="D1533" s="2583">
        <f>SUM(D1534:D1535)</f>
        <v>42427000</v>
      </c>
      <c r="E1533" s="2583">
        <f t="shared" ref="E1533:F1533" si="110">SUM(E1534:E1535)</f>
        <v>20415227</v>
      </c>
      <c r="F1533" s="2583">
        <f t="shared" si="110"/>
        <v>42427000</v>
      </c>
    </row>
    <row r="1534" spans="1:6" x14ac:dyDescent="0.3">
      <c r="A1534" s="2610" t="s">
        <v>4242</v>
      </c>
      <c r="B1534" s="2986" t="s">
        <v>484</v>
      </c>
      <c r="C1534" s="2986"/>
      <c r="D1534" s="2568">
        <v>17427000</v>
      </c>
      <c r="E1534" s="2568">
        <v>17427000</v>
      </c>
      <c r="F1534" s="2564">
        <v>17427000</v>
      </c>
    </row>
    <row r="1535" spans="1:6" ht="37.5" x14ac:dyDescent="0.3">
      <c r="A1535" s="2610" t="s">
        <v>4243</v>
      </c>
      <c r="B1535" s="2986" t="s">
        <v>950</v>
      </c>
      <c r="C1535" s="2986"/>
      <c r="D1535" s="2987">
        <v>25000000</v>
      </c>
      <c r="E1535" s="2987">
        <v>2988227</v>
      </c>
      <c r="F1535" s="2987">
        <v>25000000</v>
      </c>
    </row>
    <row r="1536" spans="1:6" x14ac:dyDescent="0.3">
      <c r="A1536" s="2895">
        <v>32010211</v>
      </c>
      <c r="B1536" s="2566" t="s">
        <v>3838</v>
      </c>
      <c r="C1536" s="1981"/>
      <c r="D1536" s="2583">
        <f>SUM(D1537:D1541)</f>
        <v>37543545</v>
      </c>
      <c r="E1536" s="2583">
        <f>SUM(E1537:E1541)</f>
        <v>0</v>
      </c>
      <c r="F1536" s="2583">
        <f>SUM(F1537:F1541)</f>
        <v>37543545</v>
      </c>
    </row>
    <row r="1537" spans="1:8" x14ac:dyDescent="0.3">
      <c r="A1537" s="2766" t="s">
        <v>4244</v>
      </c>
      <c r="B1537" s="1981" t="s">
        <v>485</v>
      </c>
      <c r="C1537" s="1981"/>
      <c r="D1537" s="2568">
        <v>37543545</v>
      </c>
      <c r="E1537" s="2988"/>
      <c r="F1537" s="2568">
        <v>37543545</v>
      </c>
    </row>
    <row r="1538" spans="1:8" x14ac:dyDescent="0.3">
      <c r="A1538" s="2895">
        <v>32030100</v>
      </c>
      <c r="B1538" s="2566" t="s">
        <v>472</v>
      </c>
      <c r="C1538" s="2566"/>
      <c r="D1538" s="2564"/>
      <c r="E1538" s="2843"/>
      <c r="F1538" s="2564"/>
    </row>
    <row r="1539" spans="1:8" x14ac:dyDescent="0.3">
      <c r="A1539" s="2989">
        <v>32030109</v>
      </c>
      <c r="B1539" s="2446" t="s">
        <v>3517</v>
      </c>
      <c r="C1539" s="2582"/>
      <c r="D1539" s="2583">
        <f>SUM(D1540)</f>
        <v>0</v>
      </c>
      <c r="E1539" s="2583">
        <f t="shared" ref="E1539:F1539" si="111">SUM(E1540)</f>
        <v>0</v>
      </c>
      <c r="F1539" s="2583">
        <f t="shared" si="111"/>
        <v>0</v>
      </c>
    </row>
    <row r="1540" spans="1:8" ht="56.25" x14ac:dyDescent="0.3">
      <c r="A1540" s="2610" t="s">
        <v>4245</v>
      </c>
      <c r="B1540" s="1981" t="s">
        <v>951</v>
      </c>
      <c r="C1540" s="1981"/>
      <c r="D1540" s="2564">
        <v>0</v>
      </c>
      <c r="E1540" s="2843"/>
      <c r="F1540" s="2564">
        <v>0</v>
      </c>
    </row>
    <row r="1541" spans="1:8" ht="19.5" thickBot="1" x14ac:dyDescent="0.35">
      <c r="A1541" s="2562"/>
      <c r="B1541" s="1981"/>
      <c r="C1541" s="2601"/>
      <c r="D1541" s="2612"/>
      <c r="E1541" s="2677"/>
      <c r="F1541" s="2612"/>
    </row>
    <row r="1542" spans="1:8" ht="19.5" thickBot="1" x14ac:dyDescent="0.35">
      <c r="A1542" s="170"/>
      <c r="B1542" s="2566" t="s">
        <v>2628</v>
      </c>
      <c r="C1542" s="2603"/>
      <c r="D1542" s="2595">
        <f>SUM(D1533,D1539,D1536)</f>
        <v>79970545</v>
      </c>
      <c r="E1542" s="2739">
        <f>SUM(E1533,E1539,E1536)</f>
        <v>20415227</v>
      </c>
      <c r="F1542" s="2739">
        <f>SUM(F1533,F1539,F1536)</f>
        <v>79970545</v>
      </c>
    </row>
    <row r="1543" spans="1:8" x14ac:dyDescent="0.3">
      <c r="A1543" s="2973"/>
      <c r="B1543" s="3517"/>
      <c r="C1543" s="3519"/>
      <c r="D1543" s="3519"/>
      <c r="E1543" s="3519"/>
      <c r="F1543" s="3519"/>
    </row>
    <row r="1544" spans="1:8" x14ac:dyDescent="0.3">
      <c r="A1544" s="2973"/>
      <c r="B1544" s="3517" t="s">
        <v>81</v>
      </c>
      <c r="C1544" s="3517"/>
      <c r="D1544" s="3517"/>
      <c r="E1544" s="3517"/>
      <c r="F1544" s="3517"/>
    </row>
    <row r="1545" spans="1:8" ht="19.5" thickBot="1" x14ac:dyDescent="0.35">
      <c r="A1545" s="2973"/>
      <c r="B1545" s="3516" t="s">
        <v>2029</v>
      </c>
      <c r="C1545" s="3516"/>
      <c r="D1545" s="3516"/>
      <c r="E1545" s="3516"/>
      <c r="F1545" s="3516"/>
    </row>
    <row r="1546" spans="1:8" s="2549" customFormat="1" ht="57" thickBot="1" x14ac:dyDescent="0.25">
      <c r="A1546" s="2548" t="s">
        <v>1</v>
      </c>
      <c r="B1546" s="2290" t="s">
        <v>282</v>
      </c>
      <c r="C1546" s="2548" t="s">
        <v>3197</v>
      </c>
      <c r="D1546" s="2292" t="s">
        <v>1174</v>
      </c>
      <c r="E1546" s="2292" t="s">
        <v>1145</v>
      </c>
      <c r="F1546" s="2292" t="s">
        <v>3096</v>
      </c>
    </row>
    <row r="1547" spans="1:8" s="2993" customFormat="1" ht="15.75" x14ac:dyDescent="0.25">
      <c r="A1547" s="2990">
        <v>32000000</v>
      </c>
      <c r="B1547" s="2991" t="s">
        <v>462</v>
      </c>
      <c r="C1547" s="2991"/>
      <c r="D1547" s="2992"/>
      <c r="E1547" s="2992"/>
      <c r="F1547" s="2992"/>
    </row>
    <row r="1548" spans="1:8" s="2993" customFormat="1" ht="15.75" x14ac:dyDescent="0.25">
      <c r="A1548" s="2994">
        <v>32010000</v>
      </c>
      <c r="B1548" s="2995" t="s">
        <v>463</v>
      </c>
      <c r="C1548" s="2995"/>
      <c r="D1548" s="2489"/>
      <c r="E1548" s="2489"/>
      <c r="F1548" s="2489"/>
      <c r="G1548" s="1969"/>
    </row>
    <row r="1549" spans="1:8" s="2993" customFormat="1" ht="15.75" x14ac:dyDescent="0.25">
      <c r="A1549" s="2994">
        <v>32010100</v>
      </c>
      <c r="B1549" s="2995" t="s">
        <v>464</v>
      </c>
      <c r="C1549" s="2995"/>
      <c r="D1549" s="2489"/>
      <c r="E1549" s="2489"/>
      <c r="F1549" s="2489"/>
      <c r="G1549" s="1970"/>
    </row>
    <row r="1550" spans="1:8" s="2993" customFormat="1" ht="15.75" x14ac:dyDescent="0.25">
      <c r="A1550" s="2994">
        <v>32010101</v>
      </c>
      <c r="B1550" s="2995" t="s">
        <v>3212</v>
      </c>
      <c r="C1550" s="2995"/>
      <c r="D1550" s="2996">
        <f>SUM(D1551:D1554)</f>
        <v>618955680</v>
      </c>
      <c r="E1550" s="2996">
        <f>SUM(E1551:E1554)</f>
        <v>218068904</v>
      </c>
      <c r="F1550" s="2996">
        <f>SUM(F1551:F1554)</f>
        <v>1046203677</v>
      </c>
      <c r="G1550" s="1970"/>
    </row>
    <row r="1551" spans="1:8" s="2993" customFormat="1" ht="16.5" thickBot="1" x14ac:dyDescent="0.3">
      <c r="A1551" s="2997" t="s">
        <v>3902</v>
      </c>
      <c r="B1551" s="2488" t="s">
        <v>2852</v>
      </c>
      <c r="C1551" s="2488"/>
      <c r="D1551" s="2998">
        <v>618955680</v>
      </c>
      <c r="E1551" s="2998">
        <v>218068904</v>
      </c>
      <c r="F1551" s="2998">
        <v>761203677</v>
      </c>
      <c r="G1551" s="1971"/>
      <c r="H1551" s="1969">
        <v>761203677</v>
      </c>
    </row>
    <row r="1552" spans="1:8" s="2993" customFormat="1" ht="16.5" thickBot="1" x14ac:dyDescent="0.3">
      <c r="A1552" s="2997" t="s">
        <v>3903</v>
      </c>
      <c r="B1552" s="2488" t="s">
        <v>1671</v>
      </c>
      <c r="C1552" s="2488"/>
      <c r="D1552" s="2999"/>
      <c r="E1552" s="2999"/>
      <c r="F1552" s="2999">
        <v>150000000</v>
      </c>
      <c r="G1552" s="1972"/>
      <c r="H1552" s="1970">
        <v>150000000</v>
      </c>
    </row>
    <row r="1553" spans="1:8" s="2993" customFormat="1" ht="15.75" x14ac:dyDescent="0.25">
      <c r="A1553" s="2997" t="s">
        <v>3904</v>
      </c>
      <c r="B1553" s="2488" t="s">
        <v>2548</v>
      </c>
      <c r="C1553" s="2488"/>
      <c r="D1553" s="2999"/>
      <c r="E1553" s="2999"/>
      <c r="F1553" s="2999">
        <v>100000000</v>
      </c>
      <c r="G1553" s="1973"/>
      <c r="H1553" s="1970">
        <v>100000000</v>
      </c>
    </row>
    <row r="1554" spans="1:8" s="2993" customFormat="1" ht="16.5" thickBot="1" x14ac:dyDescent="0.3">
      <c r="A1554" s="2997" t="s">
        <v>3905</v>
      </c>
      <c r="B1554" s="2488" t="s">
        <v>1677</v>
      </c>
      <c r="C1554" s="2488"/>
      <c r="D1554" s="2999"/>
      <c r="E1554" s="2999"/>
      <c r="F1554" s="2999">
        <v>35000000</v>
      </c>
      <c r="G1554" s="1974"/>
      <c r="H1554" s="1970">
        <v>45000000</v>
      </c>
    </row>
    <row r="1555" spans="1:8" s="2993" customFormat="1" ht="16.5" thickBot="1" x14ac:dyDescent="0.3">
      <c r="A1555" s="2994">
        <v>32010102</v>
      </c>
      <c r="B1555" s="2995" t="s">
        <v>3213</v>
      </c>
      <c r="C1555" s="2995"/>
      <c r="D1555" s="3000">
        <f>SUM(D1556)</f>
        <v>0</v>
      </c>
      <c r="E1555" s="3000">
        <f t="shared" ref="E1555:F1555" si="112">SUM(E1556)</f>
        <v>0</v>
      </c>
      <c r="F1555" s="3000">
        <f t="shared" si="112"/>
        <v>80000000</v>
      </c>
      <c r="G1555" s="1975"/>
    </row>
    <row r="1556" spans="1:8" s="2993" customFormat="1" ht="16.5" thickBot="1" x14ac:dyDescent="0.3">
      <c r="A1556" s="2997" t="s">
        <v>3906</v>
      </c>
      <c r="B1556" s="2488" t="s">
        <v>1672</v>
      </c>
      <c r="C1556" s="2488"/>
      <c r="D1556" s="2999"/>
      <c r="E1556" s="2999"/>
      <c r="F1556" s="2999">
        <v>80000000</v>
      </c>
      <c r="G1556" s="1973"/>
      <c r="H1556" s="1971">
        <v>100000000</v>
      </c>
    </row>
    <row r="1557" spans="1:8" s="3002" customFormat="1" ht="15.75" x14ac:dyDescent="0.25">
      <c r="A1557" s="3001">
        <v>32010211</v>
      </c>
      <c r="B1557" s="2995" t="s">
        <v>3838</v>
      </c>
      <c r="C1557" s="2995"/>
      <c r="D1557" s="3000">
        <f>SUM(D1558:D1560)</f>
        <v>89966320</v>
      </c>
      <c r="E1557" s="3000">
        <f t="shared" ref="E1557" si="113">SUM(E1558:E1560)</f>
        <v>30033677</v>
      </c>
      <c r="F1557" s="3000">
        <f>SUM(F1558:F1560)</f>
        <v>228313970</v>
      </c>
      <c r="G1557" s="1974">
        <v>0</v>
      </c>
    </row>
    <row r="1558" spans="1:8" s="2993" customFormat="1" ht="15.75" x14ac:dyDescent="0.25">
      <c r="A1558" s="2997" t="s">
        <v>3907</v>
      </c>
      <c r="B1558" s="2488" t="s">
        <v>2853</v>
      </c>
      <c r="C1558" s="2488"/>
      <c r="D1558" s="2999">
        <v>89966320</v>
      </c>
      <c r="E1558" s="2999">
        <v>30033677</v>
      </c>
      <c r="F1558" s="2999">
        <v>63313970</v>
      </c>
      <c r="G1558" s="1970"/>
      <c r="H1558" s="1970">
        <v>63313970</v>
      </c>
    </row>
    <row r="1559" spans="1:8" s="2993" customFormat="1" ht="16.5" thickBot="1" x14ac:dyDescent="0.3">
      <c r="A1559" s="2997" t="s">
        <v>3908</v>
      </c>
      <c r="B1559" s="2488" t="s">
        <v>1676</v>
      </c>
      <c r="C1559" s="2488"/>
      <c r="D1559" s="2999">
        <v>0</v>
      </c>
      <c r="E1559" s="2999"/>
      <c r="F1559" s="2999">
        <v>150000000</v>
      </c>
      <c r="G1559" s="1970"/>
      <c r="H1559" s="1974">
        <v>150000000</v>
      </c>
    </row>
    <row r="1560" spans="1:8" s="2993" customFormat="1" ht="16.5" thickBot="1" x14ac:dyDescent="0.3">
      <c r="A1560" s="2997" t="s">
        <v>3909</v>
      </c>
      <c r="B1560" s="2488" t="s">
        <v>1678</v>
      </c>
      <c r="C1560" s="2488"/>
      <c r="D1560" s="2999"/>
      <c r="E1560" s="2999"/>
      <c r="F1560" s="2999">
        <v>15000000</v>
      </c>
      <c r="G1560" s="1972"/>
      <c r="H1560" s="1970">
        <v>15000000</v>
      </c>
    </row>
    <row r="1561" spans="1:8" s="2993" customFormat="1" ht="15.75" x14ac:dyDescent="0.25">
      <c r="A1561" s="2994">
        <v>32010200</v>
      </c>
      <c r="B1561" s="2995" t="s">
        <v>465</v>
      </c>
      <c r="C1561" s="2995"/>
      <c r="D1561" s="3003"/>
      <c r="E1561" s="3003"/>
      <c r="F1561" s="3003"/>
      <c r="G1561" s="1973"/>
    </row>
    <row r="1562" spans="1:8" s="2993" customFormat="1" ht="15.75" x14ac:dyDescent="0.25">
      <c r="A1562" s="2994">
        <v>32010214</v>
      </c>
      <c r="B1562" s="2995" t="s">
        <v>3592</v>
      </c>
      <c r="C1562" s="2995"/>
      <c r="D1562" s="3004">
        <f>SUM(D1563:D1563)</f>
        <v>0</v>
      </c>
      <c r="E1562" s="3004">
        <f>SUM(E1563:E1563)</f>
        <v>0</v>
      </c>
      <c r="F1562" s="3004">
        <f>SUM(F1563:F1563)</f>
        <v>150000000</v>
      </c>
      <c r="G1562" s="1970"/>
    </row>
    <row r="1563" spans="1:8" s="2993" customFormat="1" ht="15.75" x14ac:dyDescent="0.25">
      <c r="A1563" s="2997" t="s">
        <v>3910</v>
      </c>
      <c r="B1563" s="2488" t="s">
        <v>1673</v>
      </c>
      <c r="C1563" s="2488"/>
      <c r="D1563" s="2999"/>
      <c r="E1563" s="2999"/>
      <c r="F1563" s="2999">
        <v>150000000</v>
      </c>
      <c r="G1563" s="1970"/>
      <c r="H1563" s="1970">
        <v>150000000</v>
      </c>
    </row>
    <row r="1564" spans="1:8" s="2993" customFormat="1" ht="15.75" x14ac:dyDescent="0.25">
      <c r="A1564" s="2994">
        <v>32010501</v>
      </c>
      <c r="B1564" s="2794" t="s">
        <v>3639</v>
      </c>
      <c r="C1564" s="2488"/>
      <c r="D1564" s="2996">
        <f>SUM(D1565)</f>
        <v>100000000</v>
      </c>
      <c r="E1564" s="2996">
        <f t="shared" ref="E1564:F1564" si="114">SUM(E1565)</f>
        <v>0</v>
      </c>
      <c r="F1564" s="2996">
        <f t="shared" si="114"/>
        <v>60000000</v>
      </c>
      <c r="G1564" s="1970"/>
    </row>
    <row r="1565" spans="1:8" s="2993" customFormat="1" ht="15.75" x14ac:dyDescent="0.25">
      <c r="A1565" s="2997" t="s">
        <v>3911</v>
      </c>
      <c r="B1565" s="2488" t="s">
        <v>2854</v>
      </c>
      <c r="C1565" s="2488"/>
      <c r="D1565" s="2999">
        <v>100000000</v>
      </c>
      <c r="E1565" s="3003"/>
      <c r="F1565" s="2999">
        <v>60000000</v>
      </c>
      <c r="G1565" s="1970"/>
    </row>
    <row r="1566" spans="1:8" s="2993" customFormat="1" ht="15.75" x14ac:dyDescent="0.25">
      <c r="A1566" s="2994">
        <v>32010500</v>
      </c>
      <c r="B1566" s="2995" t="s">
        <v>468</v>
      </c>
      <c r="C1566" s="2995"/>
      <c r="D1566" s="3003"/>
      <c r="E1566" s="3003"/>
      <c r="F1566" s="3003"/>
      <c r="G1566" s="1970"/>
    </row>
    <row r="1567" spans="1:8" s="2993" customFormat="1" ht="15.75" x14ac:dyDescent="0.25">
      <c r="A1567" s="2994">
        <v>32010510</v>
      </c>
      <c r="B1567" s="2995" t="s">
        <v>3453</v>
      </c>
      <c r="C1567" s="2995"/>
      <c r="D1567" s="2996">
        <f>SUM(D1568:D1570)</f>
        <v>0</v>
      </c>
      <c r="E1567" s="2996">
        <f t="shared" ref="E1567:F1567" si="115">SUM(E1568:E1570)</f>
        <v>0</v>
      </c>
      <c r="F1567" s="2996">
        <f t="shared" si="115"/>
        <v>40000000</v>
      </c>
      <c r="G1567" s="1970"/>
    </row>
    <row r="1568" spans="1:8" s="2993" customFormat="1" ht="15.75" x14ac:dyDescent="0.25">
      <c r="A1568" s="2997" t="s">
        <v>4246</v>
      </c>
      <c r="B1568" s="2488" t="s">
        <v>1674</v>
      </c>
      <c r="C1568" s="2488"/>
      <c r="D1568" s="2999"/>
      <c r="E1568" s="2999"/>
      <c r="F1568" s="2999">
        <v>20000000</v>
      </c>
      <c r="G1568" s="1970"/>
      <c r="H1568" s="1970">
        <v>20000000</v>
      </c>
    </row>
    <row r="1569" spans="1:8" s="2993" customFormat="1" ht="16.5" thickBot="1" x14ac:dyDescent="0.3">
      <c r="A1569" s="2997" t="s">
        <v>4247</v>
      </c>
      <c r="B1569" s="2488" t="s">
        <v>1675</v>
      </c>
      <c r="C1569" s="2488"/>
      <c r="D1569" s="2999"/>
      <c r="E1569" s="2999"/>
      <c r="F1569" s="2999">
        <v>10000000</v>
      </c>
      <c r="G1569" s="1970"/>
      <c r="H1569" s="1970">
        <v>10000000</v>
      </c>
    </row>
    <row r="1570" spans="1:8" s="2993" customFormat="1" ht="16.5" thickBot="1" x14ac:dyDescent="0.3">
      <c r="A1570" s="2997" t="s">
        <v>4248</v>
      </c>
      <c r="B1570" s="2488" t="s">
        <v>1679</v>
      </c>
      <c r="C1570" s="2488"/>
      <c r="D1570" s="2999"/>
      <c r="E1570" s="3003"/>
      <c r="F1570" s="2999">
        <v>10000000</v>
      </c>
      <c r="G1570" s="1972"/>
      <c r="H1570" s="1970">
        <v>10000000</v>
      </c>
    </row>
    <row r="1571" spans="1:8" s="2993" customFormat="1" ht="15.75" x14ac:dyDescent="0.25">
      <c r="A1571" s="2994">
        <v>32010600</v>
      </c>
      <c r="B1571" s="2995" t="s">
        <v>469</v>
      </c>
      <c r="C1571" s="2995"/>
      <c r="D1571" s="3003"/>
      <c r="E1571" s="3003"/>
      <c r="F1571" s="3003"/>
      <c r="G1571" s="1973"/>
    </row>
    <row r="1572" spans="1:8" s="2993" customFormat="1" ht="16.5" thickBot="1" x14ac:dyDescent="0.3">
      <c r="A1572" s="2994">
        <v>32010601</v>
      </c>
      <c r="B1572" s="2995" t="s">
        <v>3479</v>
      </c>
      <c r="C1572" s="2995"/>
      <c r="D1572" s="2996">
        <f>SUM(D1573:D1573)</f>
        <v>150000000</v>
      </c>
      <c r="E1572" s="2996">
        <f>SUM(E1573:E1573)</f>
        <v>0</v>
      </c>
      <c r="F1572" s="2996">
        <f>SUM(F1573:F1573)</f>
        <v>100000000</v>
      </c>
      <c r="G1572" s="1970"/>
      <c r="H1572" s="1970">
        <v>100000000</v>
      </c>
    </row>
    <row r="1573" spans="1:8" s="2993" customFormat="1" ht="16.5" thickBot="1" x14ac:dyDescent="0.3">
      <c r="A1573" s="2997" t="s">
        <v>3912</v>
      </c>
      <c r="B1573" s="2488" t="s">
        <v>1681</v>
      </c>
      <c r="C1573" s="2488"/>
      <c r="D1573" s="2999">
        <v>150000000</v>
      </c>
      <c r="E1573" s="3003"/>
      <c r="F1573" s="2999">
        <v>100000000</v>
      </c>
      <c r="G1573" s="1976"/>
      <c r="H1573" s="1970">
        <v>100000000</v>
      </c>
    </row>
    <row r="1574" spans="1:8" s="2993" customFormat="1" ht="15.75" x14ac:dyDescent="0.25">
      <c r="A1574" s="2994">
        <v>32030100</v>
      </c>
      <c r="B1574" s="2794" t="s">
        <v>472</v>
      </c>
      <c r="C1574" s="2794"/>
      <c r="D1574" s="2999"/>
      <c r="E1574" s="3005"/>
      <c r="F1574" s="2999"/>
      <c r="G1574" s="1977"/>
    </row>
    <row r="1575" spans="1:8" s="2993" customFormat="1" ht="15.75" x14ac:dyDescent="0.25">
      <c r="A1575" s="2994">
        <v>32030109</v>
      </c>
      <c r="B1575" s="2794" t="s">
        <v>3517</v>
      </c>
      <c r="C1575" s="2794"/>
      <c r="D1575" s="3000">
        <f>SUM(D1576)</f>
        <v>0</v>
      </c>
      <c r="E1575" s="3000"/>
      <c r="F1575" s="3000">
        <f>SUM(F1576:F1578)</f>
        <v>80000000</v>
      </c>
      <c r="G1575" s="1974"/>
    </row>
    <row r="1576" spans="1:8" s="2993" customFormat="1" ht="16.5" thickBot="1" x14ac:dyDescent="0.3">
      <c r="A1576" s="3006" t="s">
        <v>3913</v>
      </c>
      <c r="B1576" s="2488" t="s">
        <v>315</v>
      </c>
      <c r="C1576" s="2488"/>
      <c r="D1576" s="2999"/>
      <c r="E1576" s="3005"/>
      <c r="F1576" s="2999">
        <v>40000000</v>
      </c>
      <c r="G1576" s="1974"/>
      <c r="H1576" s="1974">
        <v>40000000</v>
      </c>
    </row>
    <row r="1577" spans="1:8" s="2993" customFormat="1" ht="16.5" thickBot="1" x14ac:dyDescent="0.3">
      <c r="A1577" s="3006" t="s">
        <v>3914</v>
      </c>
      <c r="B1577" s="2488" t="s">
        <v>1680</v>
      </c>
      <c r="C1577" s="2488"/>
      <c r="D1577" s="2999"/>
      <c r="E1577" s="3003"/>
      <c r="F1577" s="2999">
        <v>30000000</v>
      </c>
      <c r="G1577" s="1978"/>
      <c r="H1577" s="1970">
        <v>50000000</v>
      </c>
    </row>
    <row r="1578" spans="1:8" s="2993" customFormat="1" ht="16.5" thickBot="1" x14ac:dyDescent="0.3">
      <c r="A1578" s="3006" t="s">
        <v>3915</v>
      </c>
      <c r="B1578" s="2488" t="s">
        <v>2531</v>
      </c>
      <c r="C1578" s="2488"/>
      <c r="D1578" s="2999"/>
      <c r="E1578" s="3003"/>
      <c r="F1578" s="2999">
        <v>10000000</v>
      </c>
      <c r="G1578" s="1979"/>
      <c r="H1578" s="1970">
        <v>10000000</v>
      </c>
    </row>
    <row r="1579" spans="1:8" s="3008" customFormat="1" ht="17.25" thickBot="1" x14ac:dyDescent="0.3">
      <c r="A1579" s="2957">
        <v>22020300</v>
      </c>
      <c r="B1579" s="2959" t="s">
        <v>66</v>
      </c>
      <c r="C1579" s="3007"/>
      <c r="D1579" s="3007"/>
      <c r="E1579" s="3007"/>
      <c r="G1579" s="1980">
        <f>SUM(G1552,G1555,G1560,G1570,G1573)</f>
        <v>0</v>
      </c>
    </row>
    <row r="1580" spans="1:8" s="2963" customFormat="1" ht="16.5" x14ac:dyDescent="0.2">
      <c r="A1580" s="2957">
        <v>22020302</v>
      </c>
      <c r="B1580" s="2959" t="s">
        <v>1196</v>
      </c>
      <c r="C1580" s="2964"/>
      <c r="D1580" s="2996">
        <f>SUM(D1581)</f>
        <v>50000000</v>
      </c>
      <c r="E1580" s="2996">
        <f t="shared" ref="E1580" si="116">SUM(E1581)</f>
        <v>0</v>
      </c>
      <c r="F1580" s="2996">
        <f t="shared" ref="F1580" si="117">SUM(F1581)</f>
        <v>50000000</v>
      </c>
    </row>
    <row r="1581" spans="1:8" s="2993" customFormat="1" ht="15.75" x14ac:dyDescent="0.25">
      <c r="A1581" s="3006" t="s">
        <v>3916</v>
      </c>
      <c r="B1581" s="2488" t="s">
        <v>313</v>
      </c>
      <c r="C1581" s="3009"/>
      <c r="D1581" s="2999">
        <v>50000000</v>
      </c>
      <c r="E1581" s="2999" t="s">
        <v>375</v>
      </c>
      <c r="F1581" s="2999">
        <v>50000000</v>
      </c>
      <c r="H1581" s="1974">
        <v>50000000</v>
      </c>
    </row>
    <row r="1582" spans="1:8" s="2993" customFormat="1" ht="16.5" thickBot="1" x14ac:dyDescent="0.3">
      <c r="A1582" s="3006"/>
      <c r="B1582" s="2488"/>
      <c r="C1582" s="3009"/>
      <c r="D1582" s="3010"/>
      <c r="E1582" s="3011"/>
      <c r="F1582" s="3010"/>
    </row>
    <row r="1583" spans="1:8" s="2993" customFormat="1" ht="16.5" thickBot="1" x14ac:dyDescent="0.3">
      <c r="A1583" s="3012"/>
      <c r="B1583" s="2794" t="s">
        <v>1858</v>
      </c>
      <c r="C1583" s="2794"/>
      <c r="D1583" s="3013">
        <f>SUM(D1550,D1555,D1562,D1567,D1564,D1580,D1572,D1575,D1557)</f>
        <v>1008922000</v>
      </c>
      <c r="E1583" s="3013">
        <f>SUM(E1550,E1555,E1562,E1567,E1564,E1580,E1572,E1575,E1557)</f>
        <v>248102581</v>
      </c>
      <c r="F1583" s="3013">
        <f>SUM(F1550,F1555,F1562,F1567,F1564,F1580,F1572,F1575,F1557)</f>
        <v>1834517647</v>
      </c>
    </row>
    <row r="1584" spans="1:8" x14ac:dyDescent="0.3">
      <c r="A1584" s="2973"/>
      <c r="B1584" s="3531" t="s">
        <v>1034</v>
      </c>
      <c r="C1584" s="3531"/>
      <c r="D1584" s="3532"/>
      <c r="E1584" s="3532"/>
      <c r="F1584" s="3532"/>
    </row>
    <row r="1585" spans="1:6" x14ac:dyDescent="0.3">
      <c r="A1585" s="2973"/>
      <c r="B1585" s="3518" t="s">
        <v>81</v>
      </c>
      <c r="C1585" s="3518"/>
      <c r="D1585" s="3518"/>
      <c r="E1585" s="3518"/>
      <c r="F1585" s="3518"/>
    </row>
    <row r="1586" spans="1:6" ht="19.5" thickBot="1" x14ac:dyDescent="0.35">
      <c r="A1586" s="2973"/>
      <c r="B1586" s="3516" t="s">
        <v>144</v>
      </c>
      <c r="C1586" s="3516"/>
      <c r="D1586" s="3516"/>
      <c r="E1586" s="3516"/>
      <c r="F1586" s="3516"/>
    </row>
    <row r="1587" spans="1:6" s="2549" customFormat="1" ht="57" thickBot="1" x14ac:dyDescent="0.25">
      <c r="A1587" s="2548" t="s">
        <v>1</v>
      </c>
      <c r="B1587" s="2290" t="s">
        <v>282</v>
      </c>
      <c r="C1587" s="2548" t="s">
        <v>3197</v>
      </c>
      <c r="D1587" s="2292" t="s">
        <v>1174</v>
      </c>
      <c r="E1587" s="2292" t="s">
        <v>1145</v>
      </c>
      <c r="F1587" s="2292" t="s">
        <v>3096</v>
      </c>
    </row>
    <row r="1588" spans="1:6" x14ac:dyDescent="0.3">
      <c r="A1588" s="2803"/>
      <c r="B1588" s="2984"/>
      <c r="C1588" s="2984"/>
      <c r="D1588" s="2763"/>
      <c r="E1588" s="2763"/>
      <c r="F1588" s="2763"/>
    </row>
    <row r="1589" spans="1:6" x14ac:dyDescent="0.3">
      <c r="A1589" s="2838">
        <v>32000000</v>
      </c>
      <c r="B1589" s="2555" t="s">
        <v>462</v>
      </c>
      <c r="C1589" s="2555"/>
      <c r="D1589" s="2556"/>
      <c r="E1589" s="2556"/>
      <c r="F1589" s="2556"/>
    </row>
    <row r="1590" spans="1:6" x14ac:dyDescent="0.3">
      <c r="A1590" s="2624">
        <v>32010000</v>
      </c>
      <c r="B1590" s="2558" t="s">
        <v>463</v>
      </c>
      <c r="C1590" s="2558"/>
      <c r="D1590" s="2559"/>
      <c r="E1590" s="2559"/>
      <c r="F1590" s="2559"/>
    </row>
    <row r="1591" spans="1:6" x14ac:dyDescent="0.3">
      <c r="A1591" s="2624">
        <v>32010100</v>
      </c>
      <c r="B1591" s="2558" t="s">
        <v>464</v>
      </c>
      <c r="C1591" s="2558"/>
      <c r="D1591" s="2559"/>
      <c r="E1591" s="2559"/>
      <c r="F1591" s="2559"/>
    </row>
    <row r="1592" spans="1:6" x14ac:dyDescent="0.3">
      <c r="A1592" s="2624">
        <v>32010101</v>
      </c>
      <c r="B1592" s="2557" t="s">
        <v>3212</v>
      </c>
      <c r="C1592" s="2558"/>
      <c r="D1592" s="2583">
        <f>SUM(D1593:D1596)</f>
        <v>610000000</v>
      </c>
      <c r="E1592" s="2583">
        <f t="shared" ref="E1592:F1592" si="118">SUM(E1593:E1596)</f>
        <v>20000000</v>
      </c>
      <c r="F1592" s="2583">
        <f t="shared" si="118"/>
        <v>2110000000</v>
      </c>
    </row>
    <row r="1593" spans="1:6" x14ac:dyDescent="0.3">
      <c r="A1593" s="2562" t="s">
        <v>3917</v>
      </c>
      <c r="B1593" s="2952" t="s">
        <v>2864</v>
      </c>
      <c r="C1593" s="2582"/>
      <c r="D1593" s="2564">
        <v>500000000</v>
      </c>
      <c r="E1593" s="2564"/>
      <c r="F1593" s="2564">
        <v>1500000000</v>
      </c>
    </row>
    <row r="1594" spans="1:6" x14ac:dyDescent="0.3">
      <c r="A1594" s="2562" t="s">
        <v>3918</v>
      </c>
      <c r="B1594" s="2952" t="s">
        <v>938</v>
      </c>
      <c r="C1594" s="2582"/>
      <c r="D1594" s="2564">
        <v>50000000</v>
      </c>
      <c r="E1594" s="2564">
        <v>20000000</v>
      </c>
      <c r="F1594" s="2564">
        <v>50000000</v>
      </c>
    </row>
    <row r="1595" spans="1:6" x14ac:dyDescent="0.3">
      <c r="A1595" s="2562" t="s">
        <v>3919</v>
      </c>
      <c r="B1595" s="2952" t="s">
        <v>939</v>
      </c>
      <c r="C1595" s="2582"/>
      <c r="D1595" s="2564">
        <v>60000000</v>
      </c>
      <c r="E1595" s="2564"/>
      <c r="F1595" s="2564">
        <v>60000000</v>
      </c>
    </row>
    <row r="1596" spans="1:6" x14ac:dyDescent="0.3">
      <c r="A1596" s="2562" t="s">
        <v>3920</v>
      </c>
      <c r="B1596" s="3014" t="s">
        <v>2482</v>
      </c>
      <c r="C1596" s="2768"/>
      <c r="D1596" s="3015"/>
      <c r="E1596" s="2564"/>
      <c r="F1596" s="2564">
        <v>500000000</v>
      </c>
    </row>
    <row r="1597" spans="1:6" x14ac:dyDescent="0.3">
      <c r="A1597" s="170">
        <v>32030100</v>
      </c>
      <c r="B1597" s="2557" t="s">
        <v>472</v>
      </c>
      <c r="C1597" s="2558"/>
      <c r="D1597" s="2564"/>
      <c r="E1597" s="2564"/>
      <c r="F1597" s="2564"/>
    </row>
    <row r="1598" spans="1:6" x14ac:dyDescent="0.3">
      <c r="A1598" s="170">
        <v>32030109</v>
      </c>
      <c r="B1598" s="2557" t="s">
        <v>3517</v>
      </c>
      <c r="C1598" s="2558"/>
      <c r="D1598" s="2583">
        <f>SUM(D1599:D1602)</f>
        <v>190000000</v>
      </c>
      <c r="E1598" s="2583">
        <f t="shared" ref="E1598:F1598" si="119">SUM(E1599:E1602)</f>
        <v>79866420.170000002</v>
      </c>
      <c r="F1598" s="2583">
        <f t="shared" si="119"/>
        <v>240000000</v>
      </c>
    </row>
    <row r="1599" spans="1:6" x14ac:dyDescent="0.3">
      <c r="A1599" s="2562" t="s">
        <v>3921</v>
      </c>
      <c r="B1599" s="2952" t="s">
        <v>940</v>
      </c>
      <c r="C1599" s="2582"/>
      <c r="D1599" s="2564">
        <v>50000000</v>
      </c>
      <c r="E1599" s="2564">
        <v>15479180</v>
      </c>
      <c r="F1599" s="2564">
        <v>50000000</v>
      </c>
    </row>
    <row r="1600" spans="1:6" x14ac:dyDescent="0.3">
      <c r="A1600" s="2562" t="s">
        <v>3922</v>
      </c>
      <c r="B1600" s="2952" t="s">
        <v>941</v>
      </c>
      <c r="C1600" s="2582"/>
      <c r="D1600" s="2564">
        <v>100000000</v>
      </c>
      <c r="E1600" s="2564">
        <v>53039251.829999998</v>
      </c>
      <c r="F1600" s="2564">
        <v>150000000</v>
      </c>
    </row>
    <row r="1601" spans="1:6" x14ac:dyDescent="0.3">
      <c r="A1601" s="2562" t="s">
        <v>3923</v>
      </c>
      <c r="B1601" s="2952" t="s">
        <v>942</v>
      </c>
      <c r="C1601" s="2582"/>
      <c r="D1601" s="2564">
        <v>20000000</v>
      </c>
      <c r="E1601" s="2564">
        <v>11347988.34</v>
      </c>
      <c r="F1601" s="2564">
        <v>20000000</v>
      </c>
    </row>
    <row r="1602" spans="1:6" x14ac:dyDescent="0.3">
      <c r="A1602" s="2562" t="s">
        <v>3924</v>
      </c>
      <c r="B1602" s="2563" t="s">
        <v>488</v>
      </c>
      <c r="C1602" s="1981"/>
      <c r="D1602" s="2988">
        <v>20000000</v>
      </c>
      <c r="E1602" s="2988"/>
      <c r="F1602" s="2988">
        <v>20000000</v>
      </c>
    </row>
    <row r="1603" spans="1:6" x14ac:dyDescent="0.3">
      <c r="A1603" s="170">
        <v>32010400</v>
      </c>
      <c r="B1603" s="2557" t="s">
        <v>467</v>
      </c>
      <c r="C1603" s="2558"/>
      <c r="D1603" s="2988"/>
      <c r="E1603" s="2988"/>
      <c r="F1603" s="2988"/>
    </row>
    <row r="1604" spans="1:6" x14ac:dyDescent="0.3">
      <c r="A1604" s="170">
        <v>32010405</v>
      </c>
      <c r="B1604" s="2557" t="s">
        <v>3452</v>
      </c>
      <c r="C1604" s="2558"/>
      <c r="D1604" s="2583">
        <f>SUM(D1605)</f>
        <v>15000000</v>
      </c>
      <c r="E1604" s="2583">
        <f t="shared" ref="E1604:F1604" si="120">SUM(E1605)</f>
        <v>0</v>
      </c>
      <c r="F1604" s="2583">
        <f t="shared" si="120"/>
        <v>15000000</v>
      </c>
    </row>
    <row r="1605" spans="1:6" x14ac:dyDescent="0.3">
      <c r="A1605" s="2562" t="s">
        <v>3925</v>
      </c>
      <c r="B1605" s="2952" t="s">
        <v>314</v>
      </c>
      <c r="C1605" s="2582"/>
      <c r="D1605" s="2564">
        <v>15000000</v>
      </c>
      <c r="E1605" s="2988"/>
      <c r="F1605" s="2564">
        <v>15000000</v>
      </c>
    </row>
    <row r="1606" spans="1:6" ht="19.5" thickBot="1" x14ac:dyDescent="0.35">
      <c r="A1606" s="2614"/>
      <c r="B1606" s="3016"/>
      <c r="C1606" s="2668"/>
      <c r="D1606" s="2738"/>
      <c r="E1606" s="2738"/>
      <c r="F1606" s="2738"/>
    </row>
    <row r="1607" spans="1:6" ht="19.5" thickBot="1" x14ac:dyDescent="0.35">
      <c r="A1607" s="2548"/>
      <c r="B1607" s="2594" t="s">
        <v>1364</v>
      </c>
      <c r="C1607" s="2679"/>
      <c r="D1607" s="2595">
        <f>SUM(D1592,D1598,D1604)</f>
        <v>815000000</v>
      </c>
      <c r="E1607" s="2595">
        <f t="shared" ref="E1607:F1607" si="121">SUM(E1592,E1598,E1604)</f>
        <v>99866420.170000002</v>
      </c>
      <c r="F1607" s="2595">
        <f t="shared" si="121"/>
        <v>2365000000</v>
      </c>
    </row>
    <row r="1608" spans="1:6" x14ac:dyDescent="0.3">
      <c r="A1608" s="2973"/>
      <c r="B1608" s="3519"/>
      <c r="C1608" s="3519"/>
      <c r="D1608" s="3519"/>
      <c r="E1608" s="3519"/>
      <c r="F1608" s="3519"/>
    </row>
    <row r="1609" spans="1:6" x14ac:dyDescent="0.3">
      <c r="A1609" s="2973"/>
      <c r="B1609" s="2724"/>
      <c r="C1609" s="2724"/>
      <c r="D1609" s="2724"/>
      <c r="E1609" s="2724"/>
      <c r="F1609" s="2724"/>
    </row>
    <row r="1610" spans="1:6" x14ac:dyDescent="0.3">
      <c r="A1610" s="2973"/>
      <c r="B1610" s="2724"/>
      <c r="C1610" s="2724"/>
      <c r="D1610" s="2724"/>
      <c r="E1610" s="2724"/>
      <c r="F1610" s="2724"/>
    </row>
    <row r="1611" spans="1:6" x14ac:dyDescent="0.3">
      <c r="A1611" s="2973"/>
      <c r="B1611" s="2724"/>
      <c r="C1611" s="2724"/>
      <c r="D1611" s="2724"/>
      <c r="E1611" s="2724"/>
      <c r="F1611" s="2724"/>
    </row>
    <row r="1612" spans="1:6" x14ac:dyDescent="0.3">
      <c r="A1612" s="3525" t="s">
        <v>81</v>
      </c>
      <c r="B1612" s="3525"/>
      <c r="C1612" s="3525"/>
      <c r="D1612" s="3525"/>
      <c r="E1612" s="3525"/>
      <c r="F1612" s="3525"/>
    </row>
    <row r="1613" spans="1:6" ht="19.5" thickBot="1" x14ac:dyDescent="0.35">
      <c r="A1613" s="3526" t="s">
        <v>1703</v>
      </c>
      <c r="B1613" s="3526"/>
      <c r="C1613" s="3526"/>
      <c r="D1613" s="3526"/>
      <c r="E1613" s="3526"/>
      <c r="F1613" s="3526"/>
    </row>
    <row r="1614" spans="1:6" s="2549" customFormat="1" ht="57" thickBot="1" x14ac:dyDescent="0.25">
      <c r="A1614" s="2548" t="s">
        <v>1</v>
      </c>
      <c r="B1614" s="2290" t="s">
        <v>282</v>
      </c>
      <c r="C1614" s="2548" t="s">
        <v>3197</v>
      </c>
      <c r="D1614" s="2292" t="s">
        <v>1174</v>
      </c>
      <c r="E1614" s="2292" t="s">
        <v>1145</v>
      </c>
      <c r="F1614" s="2292" t="s">
        <v>3096</v>
      </c>
    </row>
    <row r="1615" spans="1:6" x14ac:dyDescent="0.3">
      <c r="A1615" s="2803"/>
      <c r="B1615" s="2984"/>
      <c r="C1615" s="2984"/>
      <c r="D1615" s="2763"/>
      <c r="E1615" s="2763"/>
      <c r="F1615" s="2763"/>
    </row>
    <row r="1616" spans="1:6" x14ac:dyDescent="0.3">
      <c r="A1616" s="170">
        <v>32030100</v>
      </c>
      <c r="B1616" s="2558" t="s">
        <v>472</v>
      </c>
      <c r="C1616" s="2746"/>
      <c r="D1616" s="2584"/>
      <c r="E1616" s="2584"/>
      <c r="F1616" s="2584"/>
    </row>
    <row r="1617" spans="1:6" x14ac:dyDescent="0.3">
      <c r="A1617" s="170">
        <v>32030109</v>
      </c>
      <c r="B1617" s="2558" t="s">
        <v>3517</v>
      </c>
      <c r="C1617" s="2746"/>
      <c r="D1617" s="2560">
        <f>SUM(D1618:D1618)</f>
        <v>650000000</v>
      </c>
      <c r="E1617" s="2560">
        <f>SUM(E1618:E1618)</f>
        <v>568707700</v>
      </c>
      <c r="F1617" s="2560">
        <f>SUM(F1618:F1619)</f>
        <v>1300000000</v>
      </c>
    </row>
    <row r="1618" spans="1:6" x14ac:dyDescent="0.3">
      <c r="A1618" s="2562" t="s">
        <v>3926</v>
      </c>
      <c r="B1618" s="2582" t="s">
        <v>3005</v>
      </c>
      <c r="C1618" s="2953"/>
      <c r="D1618" s="2584">
        <v>650000000</v>
      </c>
      <c r="E1618" s="2584">
        <v>568707700</v>
      </c>
      <c r="F1618" s="2584">
        <v>650000000</v>
      </c>
    </row>
    <row r="1619" spans="1:6" x14ac:dyDescent="0.3">
      <c r="A1619" s="2562" t="s">
        <v>3927</v>
      </c>
      <c r="B1619" s="2582" t="s">
        <v>3006</v>
      </c>
      <c r="C1619" s="2953"/>
      <c r="D1619" s="2584"/>
      <c r="E1619" s="2584"/>
      <c r="F1619" s="2584">
        <v>650000000</v>
      </c>
    </row>
    <row r="1620" spans="1:6" ht="19.5" thickBot="1" x14ac:dyDescent="0.35">
      <c r="A1620" s="2562"/>
      <c r="B1620" s="2669"/>
      <c r="C1620" s="3017"/>
      <c r="D1620" s="2738"/>
      <c r="E1620" s="2738"/>
      <c r="F1620" s="2738"/>
    </row>
    <row r="1621" spans="1:6" ht="19.5" thickBot="1" x14ac:dyDescent="0.35">
      <c r="A1621" s="170"/>
      <c r="B1621" s="2566" t="s">
        <v>2629</v>
      </c>
      <c r="C1621" s="2603"/>
      <c r="D1621" s="2595">
        <f>SUM(D1617)</f>
        <v>650000000</v>
      </c>
      <c r="E1621" s="2595">
        <f>SUM(E1617)</f>
        <v>568707700</v>
      </c>
      <c r="F1621" s="2595">
        <f>SUM(F1617)</f>
        <v>1300000000</v>
      </c>
    </row>
    <row r="1622" spans="1:6" s="2775" customFormat="1" x14ac:dyDescent="0.3">
      <c r="A1622" s="2917"/>
      <c r="B1622" s="2724"/>
      <c r="C1622" s="2724"/>
      <c r="D1622" s="2725"/>
      <c r="E1622" s="2725"/>
      <c r="F1622" s="2725"/>
    </row>
    <row r="1623" spans="1:6" x14ac:dyDescent="0.3">
      <c r="A1623" s="3518" t="s">
        <v>81</v>
      </c>
      <c r="B1623" s="3518"/>
      <c r="C1623" s="3518"/>
      <c r="D1623" s="3518"/>
      <c r="E1623" s="3518"/>
      <c r="F1623" s="3518"/>
    </row>
    <row r="1624" spans="1:6" ht="19.5" thickBot="1" x14ac:dyDescent="0.35">
      <c r="A1624" s="3516" t="s">
        <v>1463</v>
      </c>
      <c r="B1624" s="3516"/>
      <c r="C1624" s="3516"/>
      <c r="D1624" s="3516"/>
      <c r="E1624" s="3516"/>
      <c r="F1624" s="3516"/>
    </row>
    <row r="1625" spans="1:6" s="2549" customFormat="1" ht="57" thickBot="1" x14ac:dyDescent="0.25">
      <c r="A1625" s="2548" t="s">
        <v>1</v>
      </c>
      <c r="B1625" s="2290" t="s">
        <v>282</v>
      </c>
      <c r="C1625" s="2548" t="s">
        <v>3197</v>
      </c>
      <c r="D1625" s="2292" t="s">
        <v>1174</v>
      </c>
      <c r="E1625" s="2292" t="s">
        <v>1145</v>
      </c>
      <c r="F1625" s="2292" t="s">
        <v>3096</v>
      </c>
    </row>
    <row r="1626" spans="1:6" x14ac:dyDescent="0.3">
      <c r="A1626" s="170">
        <v>32010000</v>
      </c>
      <c r="B1626" s="2558" t="s">
        <v>463</v>
      </c>
      <c r="C1626" s="2558"/>
      <c r="D1626" s="2559"/>
      <c r="E1626" s="2559"/>
      <c r="F1626" s="2559"/>
    </row>
    <row r="1627" spans="1:6" x14ac:dyDescent="0.3">
      <c r="A1627" s="170">
        <v>32010100</v>
      </c>
      <c r="B1627" s="2558" t="s">
        <v>464</v>
      </c>
      <c r="C1627" s="2558"/>
      <c r="D1627" s="2559"/>
      <c r="E1627" s="2559"/>
      <c r="F1627" s="2559"/>
    </row>
    <row r="1628" spans="1:6" x14ac:dyDescent="0.3">
      <c r="A1628" s="170">
        <v>32010101</v>
      </c>
      <c r="B1628" s="2557" t="s">
        <v>3212</v>
      </c>
      <c r="C1628" s="2558"/>
      <c r="D1628" s="2560">
        <f>SUM(D1629:D1639)</f>
        <v>760000000</v>
      </c>
      <c r="E1628" s="2560">
        <f t="shared" ref="E1628:F1628" si="122">SUM(E1629:E1639)</f>
        <v>0</v>
      </c>
      <c r="F1628" s="2560">
        <f t="shared" si="122"/>
        <v>661399634</v>
      </c>
    </row>
    <row r="1629" spans="1:6" x14ac:dyDescent="0.3">
      <c r="A1629" s="2562" t="s">
        <v>3928</v>
      </c>
      <c r="B1629" s="2952" t="s">
        <v>491</v>
      </c>
      <c r="C1629" s="2582"/>
      <c r="D1629" s="2584">
        <v>10000000</v>
      </c>
      <c r="E1629" s="2584"/>
      <c r="F1629" s="2584">
        <v>18547601</v>
      </c>
    </row>
    <row r="1630" spans="1:6" x14ac:dyDescent="0.3">
      <c r="A1630" s="2562" t="s">
        <v>3929</v>
      </c>
      <c r="B1630" s="2952" t="s">
        <v>2409</v>
      </c>
      <c r="C1630" s="2582"/>
      <c r="D1630" s="2584">
        <v>450000000</v>
      </c>
      <c r="E1630" s="2584"/>
      <c r="F1630" s="2584">
        <v>274970616</v>
      </c>
    </row>
    <row r="1631" spans="1:6" x14ac:dyDescent="0.3">
      <c r="A1631" s="2562" t="s">
        <v>4249</v>
      </c>
      <c r="B1631" s="2952" t="s">
        <v>4250</v>
      </c>
      <c r="C1631" s="2582"/>
      <c r="D1631" s="2584">
        <v>10000000</v>
      </c>
      <c r="E1631" s="2584"/>
      <c r="F1631" s="2584">
        <v>10000000</v>
      </c>
    </row>
    <row r="1632" spans="1:6" x14ac:dyDescent="0.3">
      <c r="A1632" s="2562" t="s">
        <v>3930</v>
      </c>
      <c r="B1632" s="2952" t="s">
        <v>909</v>
      </c>
      <c r="C1632" s="2582"/>
      <c r="D1632" s="2584">
        <v>50000000</v>
      </c>
      <c r="E1632" s="2584"/>
      <c r="F1632" s="2584">
        <v>20000000</v>
      </c>
    </row>
    <row r="1633" spans="1:6" x14ac:dyDescent="0.3">
      <c r="A1633" s="2562" t="s">
        <v>3931</v>
      </c>
      <c r="B1633" s="2952" t="s">
        <v>2412</v>
      </c>
      <c r="C1633" s="2582"/>
      <c r="D1633" s="2584">
        <v>50000000</v>
      </c>
      <c r="E1633" s="2584"/>
      <c r="F1633" s="2584">
        <v>50000000</v>
      </c>
    </row>
    <row r="1634" spans="1:6" x14ac:dyDescent="0.3">
      <c r="A1634" s="2562" t="s">
        <v>3932</v>
      </c>
      <c r="B1634" s="2952" t="s">
        <v>2410</v>
      </c>
      <c r="C1634" s="2582"/>
      <c r="D1634" s="2584">
        <v>115000000</v>
      </c>
      <c r="E1634" s="2584"/>
      <c r="F1634" s="2584">
        <v>215000000</v>
      </c>
    </row>
    <row r="1635" spans="1:6" x14ac:dyDescent="0.3">
      <c r="A1635" s="2562" t="s">
        <v>3933</v>
      </c>
      <c r="B1635" s="2952" t="s">
        <v>2411</v>
      </c>
      <c r="C1635" s="2582"/>
      <c r="D1635" s="2584">
        <v>20000000</v>
      </c>
      <c r="E1635" s="2584"/>
      <c r="F1635" s="2584">
        <v>15000000</v>
      </c>
    </row>
    <row r="1636" spans="1:6" x14ac:dyDescent="0.3">
      <c r="A1636" s="2562" t="s">
        <v>3934</v>
      </c>
      <c r="B1636" s="2952" t="s">
        <v>910</v>
      </c>
      <c r="C1636" s="2582"/>
      <c r="D1636" s="2584">
        <v>15000000</v>
      </c>
      <c r="E1636" s="2584"/>
      <c r="F1636" s="2584">
        <v>17000000</v>
      </c>
    </row>
    <row r="1637" spans="1:6" x14ac:dyDescent="0.3">
      <c r="A1637" s="2562" t="s">
        <v>3935</v>
      </c>
      <c r="B1637" s="2952" t="s">
        <v>492</v>
      </c>
      <c r="C1637" s="2582"/>
      <c r="D1637" s="2584">
        <v>20000000</v>
      </c>
      <c r="E1637" s="2584"/>
      <c r="F1637" s="2584">
        <v>11181417</v>
      </c>
    </row>
    <row r="1638" spans="1:6" x14ac:dyDescent="0.3">
      <c r="A1638" s="2562" t="s">
        <v>3936</v>
      </c>
      <c r="B1638" s="2952" t="s">
        <v>493</v>
      </c>
      <c r="C1638" s="2582"/>
      <c r="D1638" s="2584">
        <v>20000000</v>
      </c>
      <c r="E1638" s="2584"/>
      <c r="F1638" s="2584">
        <v>9700000</v>
      </c>
    </row>
    <row r="1639" spans="1:6" x14ac:dyDescent="0.3">
      <c r="A1639" s="2562" t="s">
        <v>3937</v>
      </c>
      <c r="B1639" s="2952" t="s">
        <v>2413</v>
      </c>
      <c r="C1639" s="2582"/>
      <c r="D1639" s="2584"/>
      <c r="E1639" s="2584"/>
      <c r="F1639" s="2584">
        <v>20000000</v>
      </c>
    </row>
    <row r="1640" spans="1:6" x14ac:dyDescent="0.3">
      <c r="A1640" s="170">
        <v>32010211</v>
      </c>
      <c r="B1640" s="3018" t="s">
        <v>3941</v>
      </c>
      <c r="C1640" s="2582"/>
      <c r="D1640" s="2560">
        <f>SUM(D1641:D1641)</f>
        <v>15000000</v>
      </c>
      <c r="E1640" s="2560">
        <f t="shared" ref="E1640:F1640" si="123">SUM(E1641:E1641)</f>
        <v>0</v>
      </c>
      <c r="F1640" s="2560">
        <f t="shared" si="123"/>
        <v>10000000</v>
      </c>
    </row>
    <row r="1641" spans="1:6" x14ac:dyDescent="0.3">
      <c r="A1641" s="2562" t="s">
        <v>3938</v>
      </c>
      <c r="B1641" s="2952" t="s">
        <v>320</v>
      </c>
      <c r="C1641" s="2582"/>
      <c r="D1641" s="2584">
        <v>15000000</v>
      </c>
      <c r="E1641" s="2584"/>
      <c r="F1641" s="2584">
        <v>10000000</v>
      </c>
    </row>
    <row r="1642" spans="1:6" x14ac:dyDescent="0.3">
      <c r="A1642" s="170">
        <v>32010400</v>
      </c>
      <c r="B1642" s="2557" t="s">
        <v>467</v>
      </c>
      <c r="C1642" s="2558"/>
      <c r="D1642" s="2559"/>
      <c r="E1642" s="2559"/>
      <c r="F1642" s="2559"/>
    </row>
    <row r="1643" spans="1:6" x14ac:dyDescent="0.3">
      <c r="A1643" s="170">
        <v>32010405</v>
      </c>
      <c r="B1643" s="2557" t="s">
        <v>3452</v>
      </c>
      <c r="C1643" s="2558"/>
      <c r="D1643" s="2560">
        <f>SUM(D1644:D1644)</f>
        <v>30000000</v>
      </c>
      <c r="E1643" s="2560">
        <f>SUM(E1644:E1644)</f>
        <v>0</v>
      </c>
      <c r="F1643" s="2560">
        <f>SUM(F1644:F1644)</f>
        <v>30000000</v>
      </c>
    </row>
    <row r="1644" spans="1:6" x14ac:dyDescent="0.3">
      <c r="A1644" s="2562" t="s">
        <v>3939</v>
      </c>
      <c r="B1644" s="2952" t="s">
        <v>318</v>
      </c>
      <c r="C1644" s="2582"/>
      <c r="D1644" s="2584">
        <v>30000000</v>
      </c>
      <c r="E1644" s="2584"/>
      <c r="F1644" s="2584">
        <v>30000000</v>
      </c>
    </row>
    <row r="1645" spans="1:6" x14ac:dyDescent="0.3">
      <c r="A1645" s="170">
        <v>32010600</v>
      </c>
      <c r="B1645" s="2557" t="s">
        <v>3940</v>
      </c>
      <c r="C1645" s="2558"/>
      <c r="D1645" s="2559"/>
      <c r="E1645" s="2559"/>
      <c r="F1645" s="2559"/>
    </row>
    <row r="1646" spans="1:6" x14ac:dyDescent="0.3">
      <c r="A1646" s="170">
        <v>32010601</v>
      </c>
      <c r="B1646" s="2557" t="s">
        <v>3479</v>
      </c>
      <c r="C1646" s="2558"/>
      <c r="D1646" s="2560">
        <f>SUM(D1647:D1648)</f>
        <v>20000000</v>
      </c>
      <c r="E1646" s="2560">
        <f t="shared" ref="E1646:F1646" si="124">SUM(E1647:E1648)</f>
        <v>0</v>
      </c>
      <c r="F1646" s="2560">
        <f t="shared" si="124"/>
        <v>15000000</v>
      </c>
    </row>
    <row r="1647" spans="1:6" x14ac:dyDescent="0.3">
      <c r="A1647" s="2562" t="s">
        <v>3942</v>
      </c>
      <c r="B1647" s="2952" t="s">
        <v>911</v>
      </c>
      <c r="C1647" s="2582"/>
      <c r="D1647" s="2584">
        <v>10000000</v>
      </c>
      <c r="E1647" s="2559"/>
      <c r="F1647" s="2584">
        <v>5000000</v>
      </c>
    </row>
    <row r="1648" spans="1:6" x14ac:dyDescent="0.3">
      <c r="A1648" s="2562" t="s">
        <v>3943</v>
      </c>
      <c r="B1648" s="2952" t="s">
        <v>816</v>
      </c>
      <c r="C1648" s="2582"/>
      <c r="D1648" s="2584">
        <v>10000000</v>
      </c>
      <c r="E1648" s="2559"/>
      <c r="F1648" s="2584">
        <v>10000000</v>
      </c>
    </row>
    <row r="1649" spans="1:6" x14ac:dyDescent="0.3">
      <c r="A1649" s="170">
        <v>320301</v>
      </c>
      <c r="B1649" s="2566" t="s">
        <v>472</v>
      </c>
      <c r="C1649" s="2983"/>
      <c r="D1649" s="2584"/>
      <c r="E1649" s="2556"/>
      <c r="F1649" s="2584"/>
    </row>
    <row r="1650" spans="1:6" x14ac:dyDescent="0.3">
      <c r="A1650" s="170">
        <v>32030109</v>
      </c>
      <c r="B1650" s="2566" t="s">
        <v>3517</v>
      </c>
      <c r="C1650" s="2983"/>
      <c r="D1650" s="2600">
        <f>SUM(D1651:D1652)</f>
        <v>70000000</v>
      </c>
      <c r="E1650" s="2600">
        <f>SUM(E1651:E1652)</f>
        <v>0</v>
      </c>
      <c r="F1650" s="2600">
        <f>SUM(F1651:F1653)</f>
        <v>50000000</v>
      </c>
    </row>
    <row r="1651" spans="1:6" x14ac:dyDescent="0.3">
      <c r="A1651" s="2562" t="s">
        <v>3944</v>
      </c>
      <c r="B1651" s="2582" t="s">
        <v>912</v>
      </c>
      <c r="C1651" s="2953"/>
      <c r="D1651" s="2584">
        <v>30000000</v>
      </c>
      <c r="E1651" s="2584"/>
      <c r="F1651" s="2584">
        <v>20000000</v>
      </c>
    </row>
    <row r="1652" spans="1:6" x14ac:dyDescent="0.3">
      <c r="A1652" s="2562" t="s">
        <v>3945</v>
      </c>
      <c r="B1652" s="2582" t="s">
        <v>319</v>
      </c>
      <c r="C1652" s="2953"/>
      <c r="D1652" s="2584">
        <v>40000000</v>
      </c>
      <c r="E1652" s="2584"/>
      <c r="F1652" s="2584">
        <v>20000000</v>
      </c>
    </row>
    <row r="1653" spans="1:6" x14ac:dyDescent="0.3">
      <c r="A1653" s="2562" t="s">
        <v>3946</v>
      </c>
      <c r="B1653" s="2582" t="s">
        <v>1694</v>
      </c>
      <c r="C1653" s="2953"/>
      <c r="D1653" s="2584"/>
      <c r="E1653" s="2584"/>
      <c r="F1653" s="2584">
        <v>10000000</v>
      </c>
    </row>
    <row r="1654" spans="1:6" ht="19.5" thickBot="1" x14ac:dyDescent="0.35">
      <c r="A1654" s="2562"/>
      <c r="B1654" s="2566"/>
      <c r="C1654" s="2566"/>
      <c r="D1654" s="2771"/>
      <c r="E1654" s="2772"/>
      <c r="F1654" s="2772"/>
    </row>
    <row r="1655" spans="1:6" ht="19.5" thickBot="1" x14ac:dyDescent="0.35">
      <c r="A1655" s="170"/>
      <c r="B1655" s="2566" t="s">
        <v>2630</v>
      </c>
      <c r="C1655" s="2566"/>
      <c r="D1655" s="2739">
        <f>SUM(D1628,D1643,D1640,D1650)</f>
        <v>875000000</v>
      </c>
      <c r="E1655" s="2595">
        <f>SUM(E1628,E1643,E1640,E1650)</f>
        <v>0</v>
      </c>
      <c r="F1655" s="2595">
        <f>SUM(F1628,F1640,F1643,F1646,F1650)</f>
        <v>766399634</v>
      </c>
    </row>
    <row r="1656" spans="1:6" x14ac:dyDescent="0.3">
      <c r="A1656" s="2596"/>
      <c r="B1656" s="2577"/>
      <c r="C1656" s="2577"/>
      <c r="D1656" s="2578"/>
      <c r="E1656" s="2578"/>
      <c r="F1656" s="2578"/>
    </row>
    <row r="1657" spans="1:6" x14ac:dyDescent="0.3">
      <c r="A1657" s="3518" t="s">
        <v>81</v>
      </c>
      <c r="B1657" s="3518"/>
      <c r="C1657" s="3518"/>
      <c r="D1657" s="3518"/>
      <c r="E1657" s="3518"/>
      <c r="F1657" s="3518"/>
    </row>
    <row r="1658" spans="1:6" ht="19.5" thickBot="1" x14ac:dyDescent="0.35">
      <c r="A1658" s="3516" t="s">
        <v>554</v>
      </c>
      <c r="B1658" s="3516"/>
      <c r="C1658" s="3516"/>
      <c r="D1658" s="3516"/>
      <c r="E1658" s="3516"/>
      <c r="F1658" s="3516"/>
    </row>
    <row r="1659" spans="1:6" s="2549" customFormat="1" ht="57" thickBot="1" x14ac:dyDescent="0.25">
      <c r="A1659" s="2548" t="s">
        <v>1</v>
      </c>
      <c r="B1659" s="2290" t="s">
        <v>282</v>
      </c>
      <c r="C1659" s="2548" t="s">
        <v>3197</v>
      </c>
      <c r="D1659" s="2292" t="s">
        <v>1174</v>
      </c>
      <c r="E1659" s="2292" t="s">
        <v>1145</v>
      </c>
      <c r="F1659" s="2292" t="s">
        <v>3096</v>
      </c>
    </row>
    <row r="1660" spans="1:6" x14ac:dyDescent="0.3">
      <c r="A1660" s="2630">
        <v>32000000</v>
      </c>
      <c r="B1660" s="2848" t="s">
        <v>462</v>
      </c>
      <c r="C1660" s="3019"/>
      <c r="D1660" s="2634"/>
      <c r="E1660" s="2552"/>
      <c r="F1660" s="2634"/>
    </row>
    <row r="1661" spans="1:6" x14ac:dyDescent="0.3">
      <c r="A1661" s="170">
        <v>32010000</v>
      </c>
      <c r="B1661" s="2558" t="s">
        <v>463</v>
      </c>
      <c r="C1661" s="2558"/>
      <c r="D1661" s="2559"/>
      <c r="E1661" s="2559"/>
      <c r="F1661" s="2559"/>
    </row>
    <row r="1662" spans="1:6" x14ac:dyDescent="0.3">
      <c r="A1662" s="170">
        <v>32010100</v>
      </c>
      <c r="B1662" s="2558" t="s">
        <v>464</v>
      </c>
      <c r="C1662" s="2558"/>
      <c r="D1662" s="2559"/>
      <c r="E1662" s="2559"/>
      <c r="F1662" s="2559"/>
    </row>
    <row r="1663" spans="1:6" x14ac:dyDescent="0.3">
      <c r="A1663" s="170">
        <v>32010101</v>
      </c>
      <c r="B1663" s="2558" t="s">
        <v>3212</v>
      </c>
      <c r="C1663" s="2558"/>
      <c r="D1663" s="2560">
        <f>SUM(D1664:D1665)</f>
        <v>115000000</v>
      </c>
      <c r="E1663" s="2560">
        <f t="shared" ref="E1663:F1663" si="125">SUM(E1664:E1665)</f>
        <v>0</v>
      </c>
      <c r="F1663" s="2560">
        <f t="shared" si="125"/>
        <v>115000000</v>
      </c>
    </row>
    <row r="1664" spans="1:6" x14ac:dyDescent="0.3">
      <c r="A1664" s="2562" t="s">
        <v>3947</v>
      </c>
      <c r="B1664" s="1981" t="s">
        <v>952</v>
      </c>
      <c r="C1664" s="1981"/>
      <c r="D1664" s="2584">
        <v>100000000</v>
      </c>
      <c r="E1664" s="2584"/>
      <c r="F1664" s="2584">
        <v>100000000</v>
      </c>
    </row>
    <row r="1665" spans="1:6" x14ac:dyDescent="0.3">
      <c r="A1665" s="2562" t="s">
        <v>3948</v>
      </c>
      <c r="B1665" s="1981" t="s">
        <v>565</v>
      </c>
      <c r="C1665" s="1981"/>
      <c r="D1665" s="2584">
        <v>15000000</v>
      </c>
      <c r="E1665" s="2584"/>
      <c r="F1665" s="2584">
        <v>15000000</v>
      </c>
    </row>
    <row r="1666" spans="1:6" x14ac:dyDescent="0.3">
      <c r="A1666" s="170">
        <v>32010102</v>
      </c>
      <c r="B1666" s="2566" t="s">
        <v>3213</v>
      </c>
      <c r="C1666" s="1981"/>
      <c r="D1666" s="2560">
        <f>SUM(D1667)</f>
        <v>20000000</v>
      </c>
      <c r="E1666" s="2560">
        <f t="shared" ref="E1666:F1666" si="126">SUM(E1667)</f>
        <v>0</v>
      </c>
      <c r="F1666" s="2560">
        <f t="shared" si="126"/>
        <v>20000000</v>
      </c>
    </row>
    <row r="1667" spans="1:6" x14ac:dyDescent="0.3">
      <c r="A1667" s="2562" t="s">
        <v>3949</v>
      </c>
      <c r="B1667" s="1981" t="s">
        <v>953</v>
      </c>
      <c r="C1667" s="1981"/>
      <c r="D1667" s="2584">
        <v>20000000</v>
      </c>
      <c r="E1667" s="2584"/>
      <c r="F1667" s="2584">
        <v>20000000</v>
      </c>
    </row>
    <row r="1668" spans="1:6" x14ac:dyDescent="0.3">
      <c r="A1668" s="170">
        <v>32010200</v>
      </c>
      <c r="B1668" s="2558" t="s">
        <v>465</v>
      </c>
      <c r="C1668" s="2558"/>
      <c r="D1668" s="2559"/>
      <c r="E1668" s="2559"/>
      <c r="F1668" s="2559"/>
    </row>
    <row r="1669" spans="1:6" x14ac:dyDescent="0.3">
      <c r="A1669" s="170">
        <v>32010208</v>
      </c>
      <c r="B1669" s="2558" t="s">
        <v>3702</v>
      </c>
      <c r="C1669" s="2558"/>
      <c r="D1669" s="2600">
        <f>SUM(D1670:D1670)</f>
        <v>100000000</v>
      </c>
      <c r="E1669" s="2600">
        <f>SUM(E1670:E1670)</f>
        <v>0</v>
      </c>
      <c r="F1669" s="2600">
        <f>SUM(F1670:F1670)</f>
        <v>100000000</v>
      </c>
    </row>
    <row r="1670" spans="1:6" x14ac:dyDescent="0.3">
      <c r="A1670" s="2562" t="s">
        <v>3950</v>
      </c>
      <c r="B1670" s="1981" t="s">
        <v>954</v>
      </c>
      <c r="C1670" s="1981"/>
      <c r="D1670" s="2584">
        <v>100000000</v>
      </c>
      <c r="E1670" s="2559"/>
      <c r="F1670" s="2584">
        <v>100000000</v>
      </c>
    </row>
    <row r="1671" spans="1:6" x14ac:dyDescent="0.3">
      <c r="A1671" s="170">
        <v>32010211</v>
      </c>
      <c r="B1671" s="2566" t="s">
        <v>3941</v>
      </c>
      <c r="C1671" s="2566"/>
      <c r="D1671" s="2600">
        <f>SUM(D1672:D1673)</f>
        <v>10000000</v>
      </c>
      <c r="E1671" s="2600">
        <f t="shared" ref="E1671:F1671" si="127">SUM(E1672:E1673)</f>
        <v>0</v>
      </c>
      <c r="F1671" s="2600">
        <f t="shared" si="127"/>
        <v>15000000</v>
      </c>
    </row>
    <row r="1672" spans="1:6" x14ac:dyDescent="0.3">
      <c r="A1672" s="2562" t="s">
        <v>3951</v>
      </c>
      <c r="B1672" s="1981" t="s">
        <v>957</v>
      </c>
      <c r="C1672" s="1981"/>
      <c r="D1672" s="2584">
        <v>10000000</v>
      </c>
      <c r="E1672" s="2556"/>
      <c r="F1672" s="2584">
        <v>10000000</v>
      </c>
    </row>
    <row r="1673" spans="1:6" x14ac:dyDescent="0.3">
      <c r="A1673" s="2562" t="s">
        <v>3952</v>
      </c>
      <c r="B1673" s="1981" t="s">
        <v>958</v>
      </c>
      <c r="C1673" s="1981"/>
      <c r="D1673" s="2584">
        <v>0</v>
      </c>
      <c r="E1673" s="2556"/>
      <c r="F1673" s="2584">
        <v>5000000</v>
      </c>
    </row>
    <row r="1674" spans="1:6" x14ac:dyDescent="0.3">
      <c r="A1674" s="170">
        <v>32010400</v>
      </c>
      <c r="B1674" s="2558" t="s">
        <v>467</v>
      </c>
      <c r="C1674" s="2558"/>
      <c r="D1674" s="2559"/>
      <c r="E1674" s="2559"/>
      <c r="F1674" s="2559"/>
    </row>
    <row r="1675" spans="1:6" x14ac:dyDescent="0.3">
      <c r="A1675" s="170">
        <v>32010405</v>
      </c>
      <c r="B1675" s="2558" t="s">
        <v>3452</v>
      </c>
      <c r="C1675" s="2558"/>
      <c r="D1675" s="2560">
        <f>SUM(D1676:D1676)</f>
        <v>15000000</v>
      </c>
      <c r="E1675" s="2560">
        <f>SUM(E1676:E1676)</f>
        <v>0</v>
      </c>
      <c r="F1675" s="2560">
        <f>SUM(F1676:F1676)</f>
        <v>15000000</v>
      </c>
    </row>
    <row r="1676" spans="1:6" x14ac:dyDescent="0.3">
      <c r="A1676" s="2562" t="s">
        <v>3953</v>
      </c>
      <c r="B1676" s="1981" t="s">
        <v>314</v>
      </c>
      <c r="C1676" s="1981"/>
      <c r="D1676" s="2584">
        <v>15000000</v>
      </c>
      <c r="E1676" s="2559"/>
      <c r="F1676" s="2584">
        <v>15000000</v>
      </c>
    </row>
    <row r="1677" spans="1:6" x14ac:dyDescent="0.3">
      <c r="A1677" s="170">
        <v>32030100</v>
      </c>
      <c r="B1677" s="2566" t="s">
        <v>472</v>
      </c>
      <c r="C1677" s="2566"/>
      <c r="D1677" s="2584"/>
      <c r="E1677" s="2556"/>
      <c r="F1677" s="2584"/>
    </row>
    <row r="1678" spans="1:6" x14ac:dyDescent="0.3">
      <c r="A1678" s="170">
        <v>32030109</v>
      </c>
      <c r="B1678" s="2566" t="s">
        <v>3517</v>
      </c>
      <c r="C1678" s="2566"/>
      <c r="D1678" s="2600">
        <f>SUM(D1679:D1681)</f>
        <v>90000000</v>
      </c>
      <c r="E1678" s="2600">
        <f>SUM(E1679:E1681)</f>
        <v>0</v>
      </c>
      <c r="F1678" s="2600">
        <f>SUM(F1679:F1681)</f>
        <v>90000000</v>
      </c>
    </row>
    <row r="1679" spans="1:6" x14ac:dyDescent="0.3">
      <c r="A1679" s="2562" t="s">
        <v>3954</v>
      </c>
      <c r="B1679" s="1981" t="s">
        <v>315</v>
      </c>
      <c r="C1679" s="1981"/>
      <c r="D1679" s="2584">
        <v>40000000</v>
      </c>
      <c r="E1679" s="2556"/>
      <c r="F1679" s="2584">
        <v>40000000</v>
      </c>
    </row>
    <row r="1680" spans="1:6" x14ac:dyDescent="0.3">
      <c r="A1680" s="2562" t="s">
        <v>4251</v>
      </c>
      <c r="B1680" s="1981" t="s">
        <v>955</v>
      </c>
      <c r="C1680" s="1981"/>
      <c r="D1680" s="2584">
        <v>30000000</v>
      </c>
      <c r="E1680" s="2556"/>
      <c r="F1680" s="2584">
        <v>30000000</v>
      </c>
    </row>
    <row r="1681" spans="1:6" x14ac:dyDescent="0.3">
      <c r="A1681" s="2562" t="s">
        <v>4252</v>
      </c>
      <c r="B1681" s="2582" t="s">
        <v>956</v>
      </c>
      <c r="C1681" s="2582"/>
      <c r="D1681" s="3020">
        <v>20000000</v>
      </c>
      <c r="E1681" s="2584"/>
      <c r="F1681" s="2586">
        <v>20000000</v>
      </c>
    </row>
    <row r="1682" spans="1:6" ht="19.5" thickBot="1" x14ac:dyDescent="0.35">
      <c r="A1682" s="2562"/>
      <c r="B1682" s="2566"/>
      <c r="C1682" s="2566"/>
      <c r="D1682" s="2813"/>
      <c r="E1682" s="3021"/>
      <c r="F1682" s="2813"/>
    </row>
    <row r="1683" spans="1:6" ht="19.5" thickBot="1" x14ac:dyDescent="0.35">
      <c r="A1683" s="170"/>
      <c r="B1683" s="2566" t="s">
        <v>2631</v>
      </c>
      <c r="C1683" s="2566"/>
      <c r="D1683" s="2739">
        <f>SUM(D1663,D1666,D1669,D1675,D1678,D1671)</f>
        <v>350000000</v>
      </c>
      <c r="E1683" s="2739">
        <f>SUM(E1663,E1666,E1669,E1675,E1678,E1671)</f>
        <v>0</v>
      </c>
      <c r="F1683" s="2739">
        <f>SUM(F1663,F1666,F1669,F1675,F1678,F1671)</f>
        <v>355000000</v>
      </c>
    </row>
    <row r="1684" spans="1:6" x14ac:dyDescent="0.3">
      <c r="A1684" s="2596"/>
      <c r="B1684" s="2577"/>
      <c r="C1684" s="2577"/>
      <c r="D1684" s="2578"/>
      <c r="E1684" s="2578"/>
      <c r="F1684" s="2578"/>
    </row>
    <row r="1685" spans="1:6" x14ac:dyDescent="0.3">
      <c r="A1685" s="2973"/>
      <c r="B1685" s="3518" t="s">
        <v>81</v>
      </c>
      <c r="C1685" s="3518"/>
      <c r="D1685" s="3518"/>
      <c r="E1685" s="3518"/>
      <c r="F1685" s="3518"/>
    </row>
    <row r="1686" spans="1:6" ht="19.5" thickBot="1" x14ac:dyDescent="0.35">
      <c r="A1686" s="3516" t="s">
        <v>1250</v>
      </c>
      <c r="B1686" s="3516"/>
      <c r="C1686" s="3516"/>
      <c r="D1686" s="3516"/>
      <c r="E1686" s="3516"/>
      <c r="F1686" s="3516"/>
    </row>
    <row r="1687" spans="1:6" s="2549" customFormat="1" ht="57" thickBot="1" x14ac:dyDescent="0.25">
      <c r="A1687" s="2548" t="s">
        <v>1</v>
      </c>
      <c r="B1687" s="2290" t="s">
        <v>282</v>
      </c>
      <c r="C1687" s="2548" t="s">
        <v>3197</v>
      </c>
      <c r="D1687" s="2292" t="s">
        <v>1174</v>
      </c>
      <c r="E1687" s="2292" t="s">
        <v>1145</v>
      </c>
      <c r="F1687" s="2292" t="s">
        <v>3096</v>
      </c>
    </row>
    <row r="1688" spans="1:6" x14ac:dyDescent="0.3">
      <c r="A1688" s="170">
        <v>32010100</v>
      </c>
      <c r="B1688" s="2581" t="s">
        <v>464</v>
      </c>
      <c r="C1688" s="2581"/>
      <c r="D1688" s="2559"/>
      <c r="E1688" s="2559"/>
      <c r="F1688" s="2559"/>
    </row>
    <row r="1689" spans="1:6" x14ac:dyDescent="0.3">
      <c r="A1689" s="170">
        <v>32010101</v>
      </c>
      <c r="B1689" s="2581" t="s">
        <v>3212</v>
      </c>
      <c r="C1689" s="2581"/>
      <c r="D1689" s="2600">
        <f>SUM(D1690:D1694)</f>
        <v>70000000</v>
      </c>
      <c r="E1689" s="2600">
        <f t="shared" ref="E1689:F1689" si="128">SUM(E1690:E1694)</f>
        <v>0</v>
      </c>
      <c r="F1689" s="2600">
        <f t="shared" si="128"/>
        <v>110000000</v>
      </c>
    </row>
    <row r="1690" spans="1:6" x14ac:dyDescent="0.3">
      <c r="A1690" s="2766" t="s">
        <v>3955</v>
      </c>
      <c r="B1690" s="1981" t="s">
        <v>961</v>
      </c>
      <c r="C1690" s="1981"/>
      <c r="D1690" s="2584">
        <v>0</v>
      </c>
      <c r="E1690" s="2584"/>
      <c r="F1690" s="2584">
        <v>20000000</v>
      </c>
    </row>
    <row r="1691" spans="1:6" x14ac:dyDescent="0.3">
      <c r="A1691" s="2766" t="s">
        <v>3956</v>
      </c>
      <c r="B1691" s="1981" t="s">
        <v>490</v>
      </c>
      <c r="C1691" s="1981"/>
      <c r="D1691" s="2584">
        <v>10000000</v>
      </c>
      <c r="E1691" s="2584"/>
      <c r="F1691" s="2584">
        <v>10000000</v>
      </c>
    </row>
    <row r="1692" spans="1:6" x14ac:dyDescent="0.3">
      <c r="A1692" s="2766" t="s">
        <v>3957</v>
      </c>
      <c r="B1692" s="1981" t="s">
        <v>317</v>
      </c>
      <c r="C1692" s="1981"/>
      <c r="D1692" s="2584">
        <v>50000000</v>
      </c>
      <c r="E1692" s="2584"/>
      <c r="F1692" s="2584">
        <v>50000000</v>
      </c>
    </row>
    <row r="1693" spans="1:6" x14ac:dyDescent="0.3">
      <c r="A1693" s="2766" t="s">
        <v>3958</v>
      </c>
      <c r="B1693" s="1981" t="s">
        <v>962</v>
      </c>
      <c r="C1693" s="1981"/>
      <c r="D1693" s="2584">
        <v>0</v>
      </c>
      <c r="E1693" s="2584"/>
      <c r="F1693" s="2584">
        <v>20000000</v>
      </c>
    </row>
    <row r="1694" spans="1:6" x14ac:dyDescent="0.3">
      <c r="A1694" s="2766" t="s">
        <v>3959</v>
      </c>
      <c r="B1694" s="1981" t="s">
        <v>959</v>
      </c>
      <c r="C1694" s="1981"/>
      <c r="D1694" s="2584">
        <v>10000000</v>
      </c>
      <c r="E1694" s="2584"/>
      <c r="F1694" s="2584">
        <v>10000000</v>
      </c>
    </row>
    <row r="1695" spans="1:6" x14ac:dyDescent="0.3">
      <c r="A1695" s="170">
        <v>32010102</v>
      </c>
      <c r="B1695" s="2566" t="s">
        <v>3213</v>
      </c>
      <c r="C1695" s="1981"/>
      <c r="D1695" s="2600">
        <f>SUM(D1696:D1698)</f>
        <v>30000000</v>
      </c>
      <c r="E1695" s="2600">
        <f t="shared" ref="E1695:F1695" si="129">SUM(E1696:E1698)</f>
        <v>33422318.84</v>
      </c>
      <c r="F1695" s="2600">
        <f t="shared" si="129"/>
        <v>40000000</v>
      </c>
    </row>
    <row r="1696" spans="1:6" x14ac:dyDescent="0.3">
      <c r="A1696" s="2766" t="s">
        <v>3960</v>
      </c>
      <c r="B1696" s="1981" t="s">
        <v>489</v>
      </c>
      <c r="C1696" s="1981"/>
      <c r="D1696" s="2584">
        <v>20000000</v>
      </c>
      <c r="E1696" s="2584">
        <v>33422318.84</v>
      </c>
      <c r="F1696" s="2584">
        <v>10000000</v>
      </c>
    </row>
    <row r="1697" spans="1:6" x14ac:dyDescent="0.3">
      <c r="A1697" s="2766" t="s">
        <v>3961</v>
      </c>
      <c r="B1697" s="1981" t="s">
        <v>960</v>
      </c>
      <c r="C1697" s="1981"/>
      <c r="D1697" s="2584">
        <v>10000000</v>
      </c>
      <c r="E1697" s="2584"/>
      <c r="F1697" s="2584">
        <v>10000000</v>
      </c>
    </row>
    <row r="1698" spans="1:6" x14ac:dyDescent="0.3">
      <c r="A1698" s="2766" t="s">
        <v>3962</v>
      </c>
      <c r="B1698" s="1981" t="s">
        <v>1043</v>
      </c>
      <c r="C1698" s="1981"/>
      <c r="D1698" s="2584">
        <v>0</v>
      </c>
      <c r="E1698" s="2559"/>
      <c r="F1698" s="2584">
        <v>20000000</v>
      </c>
    </row>
    <row r="1699" spans="1:6" x14ac:dyDescent="0.3">
      <c r="A1699" s="170">
        <v>32010208</v>
      </c>
      <c r="B1699" s="2566" t="s">
        <v>3702</v>
      </c>
      <c r="C1699" s="1981"/>
      <c r="D1699" s="2600">
        <f>SUM(D1700)</f>
        <v>20000000</v>
      </c>
      <c r="E1699" s="2600">
        <f t="shared" ref="E1699:F1699" si="130">SUM(E1700)</f>
        <v>0</v>
      </c>
      <c r="F1699" s="2600">
        <f t="shared" si="130"/>
        <v>20000000</v>
      </c>
    </row>
    <row r="1700" spans="1:6" x14ac:dyDescent="0.3">
      <c r="A1700" s="2766" t="s">
        <v>3963</v>
      </c>
      <c r="B1700" s="1981" t="s">
        <v>966</v>
      </c>
      <c r="C1700" s="1981"/>
      <c r="D1700" s="2584">
        <v>20000000</v>
      </c>
      <c r="E1700" s="2559"/>
      <c r="F1700" s="2584">
        <v>20000000</v>
      </c>
    </row>
    <row r="1701" spans="1:6" x14ac:dyDescent="0.3">
      <c r="A1701" s="2666">
        <v>32010200</v>
      </c>
      <c r="B1701" s="2558" t="s">
        <v>465</v>
      </c>
      <c r="C1701" s="2558"/>
      <c r="D1701" s="2559"/>
      <c r="E1701" s="2559"/>
      <c r="F1701" s="2559"/>
    </row>
    <row r="1702" spans="1:6" x14ac:dyDescent="0.3">
      <c r="A1702" s="2624">
        <v>32010211</v>
      </c>
      <c r="B1702" s="2558" t="s">
        <v>3838</v>
      </c>
      <c r="C1702" s="2558"/>
      <c r="D1702" s="2600">
        <f>SUM(D1703)</f>
        <v>30000000</v>
      </c>
      <c r="E1702" s="2600">
        <f t="shared" ref="E1702:F1702" si="131">SUM(E1703)</f>
        <v>0</v>
      </c>
      <c r="F1702" s="2600">
        <f t="shared" si="131"/>
        <v>30000000</v>
      </c>
    </row>
    <row r="1703" spans="1:6" x14ac:dyDescent="0.3">
      <c r="A1703" s="2766" t="s">
        <v>3964</v>
      </c>
      <c r="B1703" s="2669" t="s">
        <v>964</v>
      </c>
      <c r="C1703" s="2669"/>
      <c r="D1703" s="2559">
        <v>30000000</v>
      </c>
      <c r="E1703" s="2559"/>
      <c r="F1703" s="2559">
        <v>30000000</v>
      </c>
    </row>
    <row r="1704" spans="1:6" s="2599" customFormat="1" x14ac:dyDescent="0.3">
      <c r="A1704" s="2666">
        <v>32010400</v>
      </c>
      <c r="B1704" s="2558" t="s">
        <v>467</v>
      </c>
      <c r="C1704" s="2558"/>
      <c r="D1704" s="2559"/>
      <c r="E1704" s="2559"/>
      <c r="F1704" s="2559"/>
    </row>
    <row r="1705" spans="1:6" s="2599" customFormat="1" x14ac:dyDescent="0.3">
      <c r="A1705" s="2624">
        <v>32010405</v>
      </c>
      <c r="B1705" s="2558" t="s">
        <v>3452</v>
      </c>
      <c r="C1705" s="2558"/>
      <c r="D1705" s="2600">
        <f>SUM(D1706:D1707)</f>
        <v>0</v>
      </c>
      <c r="E1705" s="2600">
        <f t="shared" ref="E1705:F1705" si="132">SUM(E1706:E1707)</f>
        <v>0</v>
      </c>
      <c r="F1705" s="2600">
        <f t="shared" si="132"/>
        <v>0</v>
      </c>
    </row>
    <row r="1706" spans="1:6" x14ac:dyDescent="0.3">
      <c r="A1706" s="2766" t="s">
        <v>3965</v>
      </c>
      <c r="B1706" s="1981" t="s">
        <v>2549</v>
      </c>
      <c r="C1706" s="1981"/>
      <c r="D1706" s="2584">
        <v>0</v>
      </c>
      <c r="E1706" s="2559"/>
      <c r="F1706" s="2584">
        <v>0</v>
      </c>
    </row>
    <row r="1707" spans="1:6" x14ac:dyDescent="0.3">
      <c r="A1707" s="2766" t="s">
        <v>3966</v>
      </c>
      <c r="B1707" s="1981" t="s">
        <v>963</v>
      </c>
      <c r="C1707" s="1981"/>
      <c r="D1707" s="2584">
        <v>0</v>
      </c>
      <c r="E1707" s="2559"/>
      <c r="F1707" s="2584">
        <v>0</v>
      </c>
    </row>
    <row r="1708" spans="1:6" x14ac:dyDescent="0.3">
      <c r="A1708" s="2624">
        <v>32010501</v>
      </c>
      <c r="B1708" s="2558" t="s">
        <v>3639</v>
      </c>
      <c r="C1708" s="2669"/>
      <c r="D1708" s="2600">
        <f>SUM(D1709:D1710)</f>
        <v>10000000</v>
      </c>
      <c r="E1708" s="2600">
        <f t="shared" ref="E1708:F1708" si="133">SUM(E1709:E1710)</f>
        <v>0</v>
      </c>
      <c r="F1708" s="2600">
        <f t="shared" si="133"/>
        <v>45000000</v>
      </c>
    </row>
    <row r="1709" spans="1:6" x14ac:dyDescent="0.3">
      <c r="A1709" s="2766" t="s">
        <v>3967</v>
      </c>
      <c r="B1709" s="1981" t="s">
        <v>316</v>
      </c>
      <c r="C1709" s="1981"/>
      <c r="D1709" s="2584">
        <v>10000000</v>
      </c>
      <c r="E1709" s="2559"/>
      <c r="F1709" s="2584">
        <v>10000000</v>
      </c>
    </row>
    <row r="1710" spans="1:6" x14ac:dyDescent="0.3">
      <c r="A1710" s="2766" t="s">
        <v>3968</v>
      </c>
      <c r="B1710" s="1981" t="s">
        <v>965</v>
      </c>
      <c r="C1710" s="1981"/>
      <c r="D1710" s="2584">
        <v>0</v>
      </c>
      <c r="E1710" s="2559"/>
      <c r="F1710" s="2584">
        <v>35000000</v>
      </c>
    </row>
    <row r="1711" spans="1:6" x14ac:dyDescent="0.3">
      <c r="A1711" s="170">
        <v>320301</v>
      </c>
      <c r="B1711" s="2566" t="s">
        <v>472</v>
      </c>
      <c r="C1711" s="2566"/>
      <c r="D1711" s="2584"/>
      <c r="E1711" s="2556"/>
      <c r="F1711" s="2584"/>
    </row>
    <row r="1712" spans="1:6" x14ac:dyDescent="0.3">
      <c r="A1712" s="170">
        <v>32030109</v>
      </c>
      <c r="B1712" s="2566" t="s">
        <v>3517</v>
      </c>
      <c r="C1712" s="2566"/>
      <c r="D1712" s="2600">
        <f>SUM(D1713:D1714)</f>
        <v>50000000</v>
      </c>
      <c r="E1712" s="2600">
        <f t="shared" ref="E1712:F1712" si="134">SUM(E1713:E1714)</f>
        <v>20062600</v>
      </c>
      <c r="F1712" s="2600">
        <f t="shared" si="134"/>
        <v>29937400</v>
      </c>
    </row>
    <row r="1713" spans="1:6" x14ac:dyDescent="0.3">
      <c r="A1713" s="2766" t="s">
        <v>3969</v>
      </c>
      <c r="B1713" s="1981" t="s">
        <v>967</v>
      </c>
      <c r="C1713" s="1981"/>
      <c r="D1713" s="2584">
        <v>20000000</v>
      </c>
      <c r="E1713" s="2584">
        <v>5462600</v>
      </c>
      <c r="F1713" s="2584">
        <v>14537400</v>
      </c>
    </row>
    <row r="1714" spans="1:6" x14ac:dyDescent="0.3">
      <c r="A1714" s="2766" t="s">
        <v>3970</v>
      </c>
      <c r="B1714" s="1981" t="s">
        <v>912</v>
      </c>
      <c r="C1714" s="1981"/>
      <c r="D1714" s="2584">
        <v>30000000</v>
      </c>
      <c r="E1714" s="2584">
        <v>14600000</v>
      </c>
      <c r="F1714" s="2584">
        <v>15400000</v>
      </c>
    </row>
    <row r="1715" spans="1:6" ht="19.5" thickBot="1" x14ac:dyDescent="0.35">
      <c r="A1715" s="2602"/>
      <c r="B1715" s="2706"/>
      <c r="C1715" s="2697"/>
      <c r="D1715" s="2805"/>
      <c r="E1715" s="2552"/>
      <c r="F1715" s="2805"/>
    </row>
    <row r="1716" spans="1:6" ht="19.5" thickBot="1" x14ac:dyDescent="0.35">
      <c r="A1716" s="2548"/>
      <c r="B1716" s="2594" t="s">
        <v>2632</v>
      </c>
      <c r="C1716" s="2594"/>
      <c r="D1716" s="2595">
        <f>SUM(D1689,D1695,D1705,D1702,D1708,D1699,D1712)</f>
        <v>210000000</v>
      </c>
      <c r="E1716" s="2595">
        <f>SUM(E1689,E1695,E1705,E1702,E1708,E1699,E1712)</f>
        <v>53484918.840000004</v>
      </c>
      <c r="F1716" s="2595">
        <f>SUM(F1689,F1695,F1705,F1702,F1708,F1699,F1712)</f>
        <v>274937400</v>
      </c>
    </row>
    <row r="1717" spans="1:6" x14ac:dyDescent="0.3">
      <c r="A1717" s="2596"/>
      <c r="B1717" s="2577"/>
      <c r="C1717" s="2577"/>
      <c r="D1717" s="2578"/>
      <c r="E1717" s="2578"/>
      <c r="F1717" s="2578"/>
    </row>
    <row r="1718" spans="1:6" x14ac:dyDescent="0.3">
      <c r="A1718" s="2596"/>
      <c r="B1718" s="2577"/>
      <c r="C1718" s="2577"/>
      <c r="D1718" s="2578"/>
      <c r="E1718" s="2578"/>
      <c r="F1718" s="2578"/>
    </row>
    <row r="1719" spans="1:6" x14ac:dyDescent="0.3">
      <c r="A1719" s="2973"/>
      <c r="B1719" s="3518" t="s">
        <v>81</v>
      </c>
      <c r="C1719" s="3518"/>
      <c r="D1719" s="3518"/>
      <c r="E1719" s="3518"/>
      <c r="F1719" s="3518"/>
    </row>
    <row r="1720" spans="1:6" s="2775" customFormat="1" ht="19.5" thickBot="1" x14ac:dyDescent="0.35">
      <c r="A1720" s="3516" t="s">
        <v>3156</v>
      </c>
      <c r="B1720" s="3516"/>
      <c r="C1720" s="3516"/>
      <c r="D1720" s="3516"/>
      <c r="E1720" s="3516"/>
      <c r="F1720" s="3516"/>
    </row>
    <row r="1721" spans="1:6" s="2549" customFormat="1" ht="57" thickBot="1" x14ac:dyDescent="0.25">
      <c r="A1721" s="2548" t="s">
        <v>1</v>
      </c>
      <c r="B1721" s="2290" t="s">
        <v>282</v>
      </c>
      <c r="C1721" s="2548" t="s">
        <v>3197</v>
      </c>
      <c r="D1721" s="2292" t="s">
        <v>1174</v>
      </c>
      <c r="E1721" s="2292" t="s">
        <v>1145</v>
      </c>
      <c r="F1721" s="2292" t="s">
        <v>3096</v>
      </c>
    </row>
    <row r="1722" spans="1:6" s="2599" customFormat="1" x14ac:dyDescent="0.3">
      <c r="A1722" s="2664">
        <v>32000000</v>
      </c>
      <c r="B1722" s="2579" t="s">
        <v>462</v>
      </c>
      <c r="C1722" s="2579"/>
      <c r="D1722" s="2580"/>
      <c r="E1722" s="2580"/>
      <c r="F1722" s="2580"/>
    </row>
    <row r="1723" spans="1:6" s="2599" customFormat="1" x14ac:dyDescent="0.3">
      <c r="A1723" s="170">
        <v>32010000</v>
      </c>
      <c r="B1723" s="2558" t="s">
        <v>463</v>
      </c>
      <c r="C1723" s="2558"/>
      <c r="D1723" s="2559"/>
      <c r="E1723" s="2559"/>
      <c r="F1723" s="2559"/>
    </row>
    <row r="1724" spans="1:6" x14ac:dyDescent="0.3">
      <c r="A1724" s="170">
        <v>32010100</v>
      </c>
      <c r="B1724" s="2558" t="s">
        <v>464</v>
      </c>
      <c r="C1724" s="2558"/>
      <c r="D1724" s="2559"/>
      <c r="E1724" s="2559"/>
      <c r="F1724" s="2559"/>
    </row>
    <row r="1725" spans="1:6" x14ac:dyDescent="0.3">
      <c r="A1725" s="170">
        <v>32010101</v>
      </c>
      <c r="B1725" s="2558" t="s">
        <v>3212</v>
      </c>
      <c r="C1725" s="2558"/>
      <c r="D1725" s="2560">
        <f>SUM(D1726:D1742)</f>
        <v>850000000</v>
      </c>
      <c r="E1725" s="2560">
        <f t="shared" ref="E1725:F1725" si="135">SUM(E1726:E1742)</f>
        <v>43325529.460000001</v>
      </c>
      <c r="F1725" s="2560">
        <f t="shared" si="135"/>
        <v>850000000</v>
      </c>
    </row>
    <row r="1726" spans="1:6" x14ac:dyDescent="0.3">
      <c r="A1726" s="2562" t="s">
        <v>3971</v>
      </c>
      <c r="B1726" s="2669" t="s">
        <v>494</v>
      </c>
      <c r="C1726" s="2669"/>
      <c r="D1726" s="2559">
        <v>50000000</v>
      </c>
      <c r="E1726" s="2559">
        <v>21622607.98</v>
      </c>
      <c r="F1726" s="2559">
        <v>50000000</v>
      </c>
    </row>
    <row r="1727" spans="1:6" x14ac:dyDescent="0.3">
      <c r="A1727" s="2562" t="s">
        <v>3972</v>
      </c>
      <c r="B1727" s="2582" t="s">
        <v>968</v>
      </c>
      <c r="C1727" s="2582"/>
      <c r="D1727" s="2584">
        <v>30000000</v>
      </c>
      <c r="E1727" s="2584"/>
      <c r="F1727" s="2584">
        <v>30000000</v>
      </c>
    </row>
    <row r="1728" spans="1:6" x14ac:dyDescent="0.3">
      <c r="A1728" s="2562" t="s">
        <v>3973</v>
      </c>
      <c r="B1728" s="2582" t="s">
        <v>969</v>
      </c>
      <c r="C1728" s="2582"/>
      <c r="D1728" s="2584">
        <v>20000000</v>
      </c>
      <c r="E1728" s="2584"/>
      <c r="F1728" s="2584">
        <v>20000000</v>
      </c>
    </row>
    <row r="1729" spans="1:6" x14ac:dyDescent="0.3">
      <c r="A1729" s="2562" t="s">
        <v>3974</v>
      </c>
      <c r="B1729" s="2582" t="s">
        <v>970</v>
      </c>
      <c r="C1729" s="2582"/>
      <c r="D1729" s="2584">
        <v>20000000</v>
      </c>
      <c r="E1729" s="2584">
        <v>21702921.48</v>
      </c>
      <c r="F1729" s="2584">
        <v>20000000</v>
      </c>
    </row>
    <row r="1730" spans="1:6" x14ac:dyDescent="0.3">
      <c r="A1730" s="2562" t="s">
        <v>3975</v>
      </c>
      <c r="B1730" s="2582" t="s">
        <v>496</v>
      </c>
      <c r="C1730" s="2582"/>
      <c r="D1730" s="2584">
        <v>50000000</v>
      </c>
      <c r="E1730" s="2584"/>
      <c r="F1730" s="2584">
        <v>50000000</v>
      </c>
    </row>
    <row r="1731" spans="1:6" x14ac:dyDescent="0.3">
      <c r="A1731" s="2562" t="s">
        <v>3976</v>
      </c>
      <c r="B1731" s="2582" t="s">
        <v>324</v>
      </c>
      <c r="C1731" s="2582"/>
      <c r="D1731" s="2584">
        <v>10000000</v>
      </c>
      <c r="E1731" s="2584"/>
      <c r="F1731" s="2584">
        <v>10000000</v>
      </c>
    </row>
    <row r="1732" spans="1:6" x14ac:dyDescent="0.3">
      <c r="A1732" s="2562" t="s">
        <v>3977</v>
      </c>
      <c r="B1732" s="2582" t="s">
        <v>497</v>
      </c>
      <c r="C1732" s="2582"/>
      <c r="D1732" s="2584">
        <v>20000000</v>
      </c>
      <c r="E1732" s="2584"/>
      <c r="F1732" s="2584">
        <v>20000000</v>
      </c>
    </row>
    <row r="1733" spans="1:6" x14ac:dyDescent="0.3">
      <c r="A1733" s="2562" t="s">
        <v>3978</v>
      </c>
      <c r="B1733" s="2582" t="s">
        <v>326</v>
      </c>
      <c r="C1733" s="2582"/>
      <c r="D1733" s="2584">
        <v>100000000</v>
      </c>
      <c r="E1733" s="2584"/>
      <c r="F1733" s="2584">
        <v>100000000</v>
      </c>
    </row>
    <row r="1734" spans="1:6" x14ac:dyDescent="0.3">
      <c r="A1734" s="2562" t="s">
        <v>3979</v>
      </c>
      <c r="B1734" s="2582" t="s">
        <v>327</v>
      </c>
      <c r="C1734" s="2582"/>
      <c r="D1734" s="2584">
        <v>20000000</v>
      </c>
      <c r="E1734" s="2584"/>
      <c r="F1734" s="2584">
        <v>20000000</v>
      </c>
    </row>
    <row r="1735" spans="1:6" x14ac:dyDescent="0.3">
      <c r="A1735" s="2562" t="s">
        <v>3980</v>
      </c>
      <c r="B1735" s="2582" t="s">
        <v>328</v>
      </c>
      <c r="C1735" s="2582"/>
      <c r="D1735" s="2584">
        <v>50000000</v>
      </c>
      <c r="E1735" s="2584"/>
      <c r="F1735" s="2584">
        <v>50000000</v>
      </c>
    </row>
    <row r="1736" spans="1:6" x14ac:dyDescent="0.3">
      <c r="A1736" s="2562" t="s">
        <v>3981</v>
      </c>
      <c r="B1736" s="2582" t="s">
        <v>4254</v>
      </c>
      <c r="C1736" s="2582"/>
      <c r="D1736" s="2584">
        <v>100000000</v>
      </c>
      <c r="E1736" s="2584"/>
      <c r="F1736" s="2584">
        <v>100000000</v>
      </c>
    </row>
    <row r="1737" spans="1:6" x14ac:dyDescent="0.3">
      <c r="A1737" s="2562" t="s">
        <v>3982</v>
      </c>
      <c r="B1737" s="2582" t="s">
        <v>4253</v>
      </c>
      <c r="C1737" s="2582"/>
      <c r="D1737" s="2584">
        <v>100000000</v>
      </c>
      <c r="E1737" s="2584"/>
      <c r="F1737" s="2584">
        <v>100000000</v>
      </c>
    </row>
    <row r="1738" spans="1:6" x14ac:dyDescent="0.3">
      <c r="A1738" s="2562" t="s">
        <v>3983</v>
      </c>
      <c r="B1738" s="2582" t="s">
        <v>971</v>
      </c>
      <c r="C1738" s="2582"/>
      <c r="D1738" s="2584">
        <v>200000000</v>
      </c>
      <c r="E1738" s="2584"/>
      <c r="F1738" s="2584">
        <v>200000000</v>
      </c>
    </row>
    <row r="1739" spans="1:6" x14ac:dyDescent="0.3">
      <c r="A1739" s="2562" t="s">
        <v>3984</v>
      </c>
      <c r="B1739" s="2582" t="s">
        <v>4255</v>
      </c>
      <c r="C1739" s="2582"/>
      <c r="D1739" s="2584">
        <v>40000000</v>
      </c>
      <c r="E1739" s="2584"/>
      <c r="F1739" s="2584">
        <v>40000000</v>
      </c>
    </row>
    <row r="1740" spans="1:6" x14ac:dyDescent="0.3">
      <c r="A1740" s="2562" t="s">
        <v>3985</v>
      </c>
      <c r="B1740" s="2582" t="s">
        <v>566</v>
      </c>
      <c r="C1740" s="2582"/>
      <c r="D1740" s="2584">
        <v>10000000</v>
      </c>
      <c r="E1740" s="2584"/>
      <c r="F1740" s="2584">
        <v>10000000</v>
      </c>
    </row>
    <row r="1741" spans="1:6" x14ac:dyDescent="0.3">
      <c r="A1741" s="2562" t="s">
        <v>3986</v>
      </c>
      <c r="B1741" s="2582" t="s">
        <v>498</v>
      </c>
      <c r="C1741" s="2582"/>
      <c r="D1741" s="2584">
        <v>10000000</v>
      </c>
      <c r="E1741" s="2584"/>
      <c r="F1741" s="2584">
        <v>10000000</v>
      </c>
    </row>
    <row r="1742" spans="1:6" x14ac:dyDescent="0.3">
      <c r="A1742" s="2562" t="s">
        <v>3987</v>
      </c>
      <c r="B1742" s="2952" t="s">
        <v>325</v>
      </c>
      <c r="C1742" s="2582"/>
      <c r="D1742" s="2584">
        <v>20000000</v>
      </c>
      <c r="E1742" s="2559"/>
      <c r="F1742" s="2584">
        <v>20000000</v>
      </c>
    </row>
    <row r="1743" spans="1:6" x14ac:dyDescent="0.3">
      <c r="A1743" s="170">
        <v>32010102</v>
      </c>
      <c r="B1743" s="2446" t="s">
        <v>3213</v>
      </c>
      <c r="C1743" s="2582"/>
      <c r="D1743" s="2600">
        <f>SUM(D1744)</f>
        <v>5000000</v>
      </c>
      <c r="E1743" s="2600">
        <f t="shared" ref="E1743:F1743" si="136">SUM(E1744)</f>
        <v>0</v>
      </c>
      <c r="F1743" s="2600">
        <f t="shared" si="136"/>
        <v>5000000</v>
      </c>
    </row>
    <row r="1744" spans="1:6" x14ac:dyDescent="0.3">
      <c r="A1744" s="2562" t="s">
        <v>3988</v>
      </c>
      <c r="B1744" s="2582" t="s">
        <v>495</v>
      </c>
      <c r="C1744" s="2582"/>
      <c r="D1744" s="2584">
        <v>5000000</v>
      </c>
      <c r="E1744" s="2584"/>
      <c r="F1744" s="2584">
        <v>5000000</v>
      </c>
    </row>
    <row r="1745" spans="1:6" s="2775" customFormat="1" x14ac:dyDescent="0.3">
      <c r="A1745" s="2576"/>
      <c r="B1745" s="2740"/>
      <c r="C1745" s="2740"/>
      <c r="D1745" s="2979"/>
      <c r="E1745" s="2979"/>
      <c r="F1745" s="2979"/>
    </row>
    <row r="1746" spans="1:6" s="2775" customFormat="1" ht="19.5" thickBot="1" x14ac:dyDescent="0.35">
      <c r="A1746" s="2576"/>
      <c r="B1746" s="2740"/>
      <c r="C1746" s="2740"/>
      <c r="D1746" s="2979"/>
      <c r="E1746" s="2979"/>
      <c r="F1746" s="2979"/>
    </row>
    <row r="1747" spans="1:6" s="2549" customFormat="1" ht="57" thickBot="1" x14ac:dyDescent="0.25">
      <c r="A1747" s="2548" t="s">
        <v>1</v>
      </c>
      <c r="B1747" s="2290" t="s">
        <v>282</v>
      </c>
      <c r="C1747" s="2548" t="s">
        <v>3197</v>
      </c>
      <c r="D1747" s="2292" t="s">
        <v>1174</v>
      </c>
      <c r="E1747" s="2292" t="s">
        <v>1145</v>
      </c>
      <c r="F1747" s="2292" t="s">
        <v>3096</v>
      </c>
    </row>
    <row r="1748" spans="1:6" x14ac:dyDescent="0.3">
      <c r="A1748" s="2807">
        <v>32010200</v>
      </c>
      <c r="B1748" s="3022" t="s">
        <v>465</v>
      </c>
      <c r="C1748" s="3023"/>
      <c r="D1748" s="3024"/>
      <c r="E1748" s="3025"/>
      <c r="F1748" s="3024"/>
    </row>
    <row r="1749" spans="1:6" x14ac:dyDescent="0.3">
      <c r="A1749" s="2898">
        <v>32010208</v>
      </c>
      <c r="B1749" s="3018" t="s">
        <v>3702</v>
      </c>
      <c r="C1749" s="2582"/>
      <c r="D1749" s="2600">
        <f>SUM(D1750)</f>
        <v>50000000</v>
      </c>
      <c r="E1749" s="2600">
        <f t="shared" ref="E1749:F1749" si="137">SUM(E1750)</f>
        <v>0</v>
      </c>
      <c r="F1749" s="2600">
        <f t="shared" si="137"/>
        <v>50000000</v>
      </c>
    </row>
    <row r="1750" spans="1:6" x14ac:dyDescent="0.3">
      <c r="A1750" s="2562" t="s">
        <v>3989</v>
      </c>
      <c r="B1750" s="2952" t="s">
        <v>972</v>
      </c>
      <c r="C1750" s="2582"/>
      <c r="D1750" s="2584">
        <v>50000000</v>
      </c>
      <c r="E1750" s="2559"/>
      <c r="F1750" s="2584">
        <v>50000000</v>
      </c>
    </row>
    <row r="1751" spans="1:6" x14ac:dyDescent="0.3">
      <c r="A1751" s="2666">
        <v>32010510</v>
      </c>
      <c r="B1751" s="3026" t="s">
        <v>3453</v>
      </c>
      <c r="C1751" s="2558"/>
      <c r="D1751" s="2560">
        <f>SUM(D1752:D1754)</f>
        <v>45000000</v>
      </c>
      <c r="E1751" s="2560">
        <f t="shared" ref="E1751:F1751" si="138">SUM(E1752:E1754)</f>
        <v>0</v>
      </c>
      <c r="F1751" s="2560">
        <f t="shared" si="138"/>
        <v>45000000</v>
      </c>
    </row>
    <row r="1752" spans="1:6" x14ac:dyDescent="0.3">
      <c r="A1752" s="2562" t="s">
        <v>3990</v>
      </c>
      <c r="B1752" s="2952" t="s">
        <v>973</v>
      </c>
      <c r="C1752" s="2582"/>
      <c r="D1752" s="2584">
        <v>20000000</v>
      </c>
      <c r="E1752" s="2559"/>
      <c r="F1752" s="2584">
        <v>20000000</v>
      </c>
    </row>
    <row r="1753" spans="1:6" x14ac:dyDescent="0.3">
      <c r="A1753" s="2562" t="s">
        <v>3991</v>
      </c>
      <c r="B1753" s="2952" t="s">
        <v>322</v>
      </c>
      <c r="C1753" s="2582"/>
      <c r="D1753" s="2584">
        <v>20000000</v>
      </c>
      <c r="E1753" s="2559"/>
      <c r="F1753" s="2584">
        <v>20000000</v>
      </c>
    </row>
    <row r="1754" spans="1:6" x14ac:dyDescent="0.3">
      <c r="A1754" s="2562" t="s">
        <v>3992</v>
      </c>
      <c r="B1754" s="3027" t="s">
        <v>499</v>
      </c>
      <c r="C1754" s="2582"/>
      <c r="D1754" s="2584">
        <v>5000000</v>
      </c>
      <c r="E1754" s="2559"/>
      <c r="F1754" s="2584">
        <v>5000000</v>
      </c>
    </row>
    <row r="1755" spans="1:6" x14ac:dyDescent="0.3">
      <c r="A1755" s="170">
        <v>32010600</v>
      </c>
      <c r="B1755" s="2557" t="s">
        <v>469</v>
      </c>
      <c r="C1755" s="2558"/>
      <c r="D1755" s="2559"/>
      <c r="E1755" s="2559"/>
      <c r="F1755" s="2559"/>
    </row>
    <row r="1756" spans="1:6" x14ac:dyDescent="0.3">
      <c r="A1756" s="170">
        <v>32010601</v>
      </c>
      <c r="B1756" s="2557" t="s">
        <v>3479</v>
      </c>
      <c r="C1756" s="2558"/>
      <c r="D1756" s="2560">
        <f>SUM(D1757:D1758)</f>
        <v>45000000</v>
      </c>
      <c r="E1756" s="2560">
        <f t="shared" ref="E1756:F1756" si="139">SUM(E1757:E1758)</f>
        <v>0</v>
      </c>
      <c r="F1756" s="2560">
        <f t="shared" si="139"/>
        <v>45000000</v>
      </c>
    </row>
    <row r="1757" spans="1:6" x14ac:dyDescent="0.3">
      <c r="A1757" s="2562" t="s">
        <v>3993</v>
      </c>
      <c r="B1757" s="2952" t="s">
        <v>323</v>
      </c>
      <c r="C1757" s="2582"/>
      <c r="D1757" s="2584">
        <v>20000000</v>
      </c>
      <c r="E1757" s="2559"/>
      <c r="F1757" s="2584">
        <v>20000000</v>
      </c>
    </row>
    <row r="1758" spans="1:6" x14ac:dyDescent="0.3">
      <c r="A1758" s="2562" t="s">
        <v>3994</v>
      </c>
      <c r="B1758" s="2952" t="s">
        <v>2948</v>
      </c>
      <c r="C1758" s="2582"/>
      <c r="D1758" s="2584">
        <v>25000000</v>
      </c>
      <c r="E1758" s="2559"/>
      <c r="F1758" s="2584">
        <v>25000000</v>
      </c>
    </row>
    <row r="1759" spans="1:6" x14ac:dyDescent="0.3">
      <c r="A1759" s="170">
        <v>32010900</v>
      </c>
      <c r="B1759" s="2565" t="s">
        <v>470</v>
      </c>
      <c r="C1759" s="2566"/>
      <c r="D1759" s="2600">
        <f>SUM(D1760:D1761)</f>
        <v>220000000</v>
      </c>
      <c r="E1759" s="2600">
        <f t="shared" ref="E1759:F1759" si="140">SUM(E1760:E1761)</f>
        <v>0</v>
      </c>
      <c r="F1759" s="2600">
        <f t="shared" si="140"/>
        <v>220000000</v>
      </c>
    </row>
    <row r="1760" spans="1:6" x14ac:dyDescent="0.3">
      <c r="A1760" s="2562" t="s">
        <v>3995</v>
      </c>
      <c r="B1760" s="2952" t="s">
        <v>974</v>
      </c>
      <c r="C1760" s="2582"/>
      <c r="D1760" s="2584">
        <v>200000000</v>
      </c>
      <c r="E1760" s="2584"/>
      <c r="F1760" s="2584">
        <v>200000000</v>
      </c>
    </row>
    <row r="1761" spans="1:6" x14ac:dyDescent="0.3">
      <c r="A1761" s="2562" t="s">
        <v>3996</v>
      </c>
      <c r="B1761" s="2952" t="s">
        <v>567</v>
      </c>
      <c r="C1761" s="2582"/>
      <c r="D1761" s="2584">
        <v>20000000</v>
      </c>
      <c r="E1761" s="2584"/>
      <c r="F1761" s="2584">
        <v>20000000</v>
      </c>
    </row>
    <row r="1762" spans="1:6" x14ac:dyDescent="0.3">
      <c r="A1762" s="170">
        <v>320301</v>
      </c>
      <c r="B1762" s="2565" t="s">
        <v>472</v>
      </c>
      <c r="C1762" s="2566"/>
      <c r="D1762" s="2584"/>
      <c r="E1762" s="2556"/>
      <c r="F1762" s="2584"/>
    </row>
    <row r="1763" spans="1:6" x14ac:dyDescent="0.3">
      <c r="A1763" s="170">
        <v>32030109</v>
      </c>
      <c r="B1763" s="2565" t="s">
        <v>3517</v>
      </c>
      <c r="C1763" s="2566"/>
      <c r="D1763" s="2600">
        <f>SUM(D1764:D1767)</f>
        <v>120000000</v>
      </c>
      <c r="E1763" s="2600">
        <f t="shared" ref="E1763:F1763" si="141">SUM(E1764:E1767)</f>
        <v>0</v>
      </c>
      <c r="F1763" s="2600">
        <f t="shared" si="141"/>
        <v>320000000</v>
      </c>
    </row>
    <row r="1764" spans="1:6" x14ac:dyDescent="0.3">
      <c r="A1764" s="2562" t="s">
        <v>3997</v>
      </c>
      <c r="B1764" s="2952" t="s">
        <v>2949</v>
      </c>
      <c r="C1764" s="2582"/>
      <c r="D1764" s="2584"/>
      <c r="E1764" s="2584"/>
      <c r="F1764" s="2584">
        <v>200000000</v>
      </c>
    </row>
    <row r="1765" spans="1:6" x14ac:dyDescent="0.3">
      <c r="A1765" s="2562" t="s">
        <v>3998</v>
      </c>
      <c r="B1765" s="2669" t="s">
        <v>2453</v>
      </c>
      <c r="C1765" s="2669"/>
      <c r="D1765" s="2833">
        <v>50000000</v>
      </c>
      <c r="E1765" s="2560"/>
      <c r="F1765" s="2559">
        <v>50000000</v>
      </c>
    </row>
    <row r="1766" spans="1:6" x14ac:dyDescent="0.3">
      <c r="A1766" s="2562" t="s">
        <v>3999</v>
      </c>
      <c r="B1766" s="2582" t="s">
        <v>321</v>
      </c>
      <c r="C1766" s="2582"/>
      <c r="D1766" s="2818">
        <v>20000000</v>
      </c>
      <c r="E1766" s="2584"/>
      <c r="F1766" s="2584">
        <v>20000000</v>
      </c>
    </row>
    <row r="1767" spans="1:6" x14ac:dyDescent="0.3">
      <c r="A1767" s="2562" t="s">
        <v>4000</v>
      </c>
      <c r="B1767" s="2582" t="s">
        <v>4256</v>
      </c>
      <c r="C1767" s="2582"/>
      <c r="D1767" s="2818">
        <v>50000000</v>
      </c>
      <c r="E1767" s="2584"/>
      <c r="F1767" s="2584">
        <v>50000000</v>
      </c>
    </row>
    <row r="1768" spans="1:6" ht="19.5" thickBot="1" x14ac:dyDescent="0.35">
      <c r="A1768" s="2562"/>
      <c r="B1768" s="2566"/>
      <c r="C1768" s="2566"/>
      <c r="D1768" s="2771"/>
      <c r="E1768" s="2772"/>
      <c r="F1768" s="2772"/>
    </row>
    <row r="1769" spans="1:6" ht="19.5" thickBot="1" x14ac:dyDescent="0.35">
      <c r="A1769" s="170"/>
      <c r="B1769" s="2566" t="s">
        <v>1834</v>
      </c>
      <c r="C1769" s="2565"/>
      <c r="D1769" s="2595">
        <f>SUM(D1725,D1749,D1751,D1756,D1759,D1763)</f>
        <v>1330000000</v>
      </c>
      <c r="E1769" s="2739">
        <f>SUM(E1725,E1749,E1751,E1756,E1759,E1763)</f>
        <v>43325529.460000001</v>
      </c>
      <c r="F1769" s="2739">
        <f>SUM(F1725,F1743,F1749,F1751,F1756,F1759,F1763)</f>
        <v>1535000000</v>
      </c>
    </row>
    <row r="1770" spans="1:6" x14ac:dyDescent="0.3">
      <c r="A1770" s="2596"/>
      <c r="B1770" s="2577"/>
      <c r="C1770" s="2577"/>
      <c r="D1770" s="2578"/>
      <c r="E1770" s="2578"/>
      <c r="F1770" s="2578"/>
    </row>
    <row r="1771" spans="1:6" x14ac:dyDescent="0.3">
      <c r="A1771" s="2973"/>
      <c r="B1771" s="3518" t="s">
        <v>81</v>
      </c>
      <c r="C1771" s="3518"/>
      <c r="D1771" s="3518"/>
      <c r="E1771" s="3518"/>
      <c r="F1771" s="3518"/>
    </row>
    <row r="1772" spans="1:6" ht="19.5" thickBot="1" x14ac:dyDescent="0.35">
      <c r="A1772" s="3516" t="s">
        <v>146</v>
      </c>
      <c r="B1772" s="3516"/>
      <c r="C1772" s="3516"/>
      <c r="D1772" s="3516"/>
      <c r="E1772" s="3516"/>
      <c r="F1772" s="3516"/>
    </row>
    <row r="1773" spans="1:6" s="2549" customFormat="1" ht="57" thickBot="1" x14ac:dyDescent="0.25">
      <c r="A1773" s="2548" t="s">
        <v>1</v>
      </c>
      <c r="B1773" s="2290" t="s">
        <v>282</v>
      </c>
      <c r="C1773" s="2548" t="s">
        <v>3197</v>
      </c>
      <c r="D1773" s="2292" t="s">
        <v>1174</v>
      </c>
      <c r="E1773" s="2292" t="s">
        <v>1145</v>
      </c>
      <c r="F1773" s="2292" t="s">
        <v>3096</v>
      </c>
    </row>
    <row r="1774" spans="1:6" x14ac:dyDescent="0.3">
      <c r="A1774" s="2841">
        <v>32010000</v>
      </c>
      <c r="B1774" s="2581" t="s">
        <v>463</v>
      </c>
      <c r="C1774" s="2581"/>
      <c r="D1774" s="2980"/>
      <c r="E1774" s="2980"/>
      <c r="F1774" s="2980"/>
    </row>
    <row r="1775" spans="1:6" x14ac:dyDescent="0.3">
      <c r="A1775" s="170">
        <v>32010100</v>
      </c>
      <c r="B1775" s="2557" t="s">
        <v>464</v>
      </c>
      <c r="C1775" s="2558"/>
      <c r="D1775" s="2559"/>
      <c r="E1775" s="2559"/>
      <c r="F1775" s="2559"/>
    </row>
    <row r="1776" spans="1:6" x14ac:dyDescent="0.3">
      <c r="A1776" s="170">
        <v>32010101</v>
      </c>
      <c r="B1776" s="2557" t="s">
        <v>3212</v>
      </c>
      <c r="C1776" s="2558"/>
      <c r="D1776" s="2560">
        <f>SUM(D1777:D1788)</f>
        <v>6069360013</v>
      </c>
      <c r="E1776" s="2560">
        <f>SUM(E1777:E1788)</f>
        <v>534903787</v>
      </c>
      <c r="F1776" s="2560">
        <f>SUM(F1777:F1788)</f>
        <v>8365007981</v>
      </c>
    </row>
    <row r="1777" spans="1:6" x14ac:dyDescent="0.3">
      <c r="A1777" s="2562" t="s">
        <v>4001</v>
      </c>
      <c r="B1777" s="2563" t="s">
        <v>2865</v>
      </c>
      <c r="C1777" s="1981"/>
      <c r="D1777" s="2584">
        <v>1965362390</v>
      </c>
      <c r="E1777" s="2584">
        <v>319773004</v>
      </c>
      <c r="F1777" s="2584">
        <v>5000000000</v>
      </c>
    </row>
    <row r="1778" spans="1:6" x14ac:dyDescent="0.3">
      <c r="A1778" s="2562" t="s">
        <v>4002</v>
      </c>
      <c r="B1778" s="2563" t="s">
        <v>1867</v>
      </c>
      <c r="C1778" s="1981"/>
      <c r="D1778" s="2584"/>
      <c r="E1778" s="2584"/>
      <c r="F1778" s="2584">
        <v>30000000</v>
      </c>
    </row>
    <row r="1779" spans="1:6" x14ac:dyDescent="0.3">
      <c r="A1779" s="2562" t="s">
        <v>4003</v>
      </c>
      <c r="B1779" s="2563" t="s">
        <v>2866</v>
      </c>
      <c r="C1779" s="1981"/>
      <c r="D1779" s="2584"/>
      <c r="E1779" s="2584"/>
      <c r="F1779" s="2584">
        <v>2300000000</v>
      </c>
    </row>
    <row r="1780" spans="1:6" x14ac:dyDescent="0.3">
      <c r="A1780" s="2562" t="s">
        <v>4004</v>
      </c>
      <c r="B1780" s="2563" t="s">
        <v>2729</v>
      </c>
      <c r="C1780" s="1981"/>
      <c r="D1780" s="2584"/>
      <c r="E1780" s="2584"/>
      <c r="F1780" s="2584">
        <v>750000000</v>
      </c>
    </row>
    <row r="1781" spans="1:6" x14ac:dyDescent="0.3">
      <c r="A1781" s="2562" t="s">
        <v>4005</v>
      </c>
      <c r="B1781" s="2563" t="s">
        <v>1868</v>
      </c>
      <c r="C1781" s="1981"/>
      <c r="D1781" s="2584">
        <v>222146105</v>
      </c>
      <c r="E1781" s="2584">
        <v>122145106</v>
      </c>
      <c r="F1781" s="2584">
        <v>285007981</v>
      </c>
    </row>
    <row r="1782" spans="1:6" x14ac:dyDescent="0.3">
      <c r="A1782" s="2562" t="s">
        <v>4006</v>
      </c>
      <c r="B1782" s="2563" t="s">
        <v>1253</v>
      </c>
      <c r="C1782" s="1981"/>
      <c r="D1782" s="2584">
        <v>234837295</v>
      </c>
      <c r="E1782" s="2584">
        <v>92985677</v>
      </c>
      <c r="F1782" s="2584">
        <v>0</v>
      </c>
    </row>
    <row r="1783" spans="1:6" s="2635" customFormat="1" x14ac:dyDescent="0.25">
      <c r="A1783" s="2562" t="s">
        <v>4007</v>
      </c>
      <c r="B1783" s="2647" t="s">
        <v>2550</v>
      </c>
      <c r="C1783" s="2643"/>
      <c r="D1783" s="2797">
        <v>123712880</v>
      </c>
      <c r="E1783" s="2644"/>
      <c r="F1783" s="2644"/>
    </row>
    <row r="1784" spans="1:6" s="2635" customFormat="1" x14ac:dyDescent="0.25">
      <c r="A1784" s="2562" t="s">
        <v>4008</v>
      </c>
      <c r="B1784" s="2647" t="s">
        <v>627</v>
      </c>
      <c r="C1784" s="2643"/>
      <c r="D1784" s="2644">
        <v>0</v>
      </c>
      <c r="E1784" s="2644"/>
      <c r="F1784" s="2644">
        <v>0</v>
      </c>
    </row>
    <row r="1785" spans="1:6" s="2635" customFormat="1" x14ac:dyDescent="0.25">
      <c r="A1785" s="2562" t="s">
        <v>4009</v>
      </c>
      <c r="B1785" s="2647" t="s">
        <v>630</v>
      </c>
      <c r="C1785" s="2643"/>
      <c r="D1785" s="2644">
        <v>0</v>
      </c>
      <c r="E1785" s="2644"/>
      <c r="F1785" s="2644">
        <v>0</v>
      </c>
    </row>
    <row r="1786" spans="1:6" s="2635" customFormat="1" x14ac:dyDescent="0.25">
      <c r="A1786" s="2562" t="s">
        <v>4010</v>
      </c>
      <c r="B1786" s="3028" t="s">
        <v>1256</v>
      </c>
      <c r="C1786" s="2787"/>
      <c r="D1786" s="2644">
        <v>0</v>
      </c>
      <c r="E1786" s="2644"/>
      <c r="F1786" s="2644">
        <v>0</v>
      </c>
    </row>
    <row r="1787" spans="1:6" x14ac:dyDescent="0.3">
      <c r="A1787" s="2562" t="s">
        <v>4011</v>
      </c>
      <c r="B1787" s="2952" t="s">
        <v>631</v>
      </c>
      <c r="C1787" s="2582"/>
      <c r="D1787" s="2584">
        <v>3323301343</v>
      </c>
      <c r="E1787" s="2584"/>
      <c r="F1787" s="2584">
        <v>0</v>
      </c>
    </row>
    <row r="1788" spans="1:6" x14ac:dyDescent="0.3">
      <c r="A1788" s="2562" t="s">
        <v>4012</v>
      </c>
      <c r="B1788" s="2952" t="s">
        <v>632</v>
      </c>
      <c r="C1788" s="2582"/>
      <c r="D1788" s="2584">
        <v>200000000</v>
      </c>
      <c r="E1788" s="2584"/>
      <c r="F1788" s="2584">
        <v>0</v>
      </c>
    </row>
    <row r="1789" spans="1:6" x14ac:dyDescent="0.3">
      <c r="A1789" s="170">
        <v>32010300</v>
      </c>
      <c r="B1789" s="2557" t="s">
        <v>465</v>
      </c>
      <c r="C1789" s="2558"/>
      <c r="D1789" s="2559"/>
      <c r="E1789" s="2559"/>
      <c r="F1789" s="2559"/>
    </row>
    <row r="1790" spans="1:6" x14ac:dyDescent="0.3">
      <c r="A1790" s="170">
        <v>32010305</v>
      </c>
      <c r="B1790" s="2557" t="s">
        <v>3206</v>
      </c>
      <c r="C1790" s="2558"/>
      <c r="D1790" s="2600">
        <f>SUM(D1791:D1792)</f>
        <v>125000000</v>
      </c>
      <c r="E1790" s="2600">
        <f t="shared" ref="E1790" si="142">SUM(E1791:E1792)</f>
        <v>0</v>
      </c>
      <c r="F1790" s="2600">
        <f>SUM(F1791:F1792)</f>
        <v>185000000</v>
      </c>
    </row>
    <row r="1791" spans="1:6" x14ac:dyDescent="0.3">
      <c r="A1791" s="2562" t="s">
        <v>4013</v>
      </c>
      <c r="B1791" s="2952" t="s">
        <v>2532</v>
      </c>
      <c r="C1791" s="2582"/>
      <c r="D1791" s="2584">
        <v>125000000</v>
      </c>
      <c r="E1791" s="2559"/>
      <c r="F1791" s="2584">
        <v>125000000</v>
      </c>
    </row>
    <row r="1792" spans="1:6" x14ac:dyDescent="0.3">
      <c r="A1792" s="2562" t="s">
        <v>4014</v>
      </c>
      <c r="B1792" s="2952" t="s">
        <v>2418</v>
      </c>
      <c r="C1792" s="2582"/>
      <c r="D1792" s="2584"/>
      <c r="E1792" s="2559"/>
      <c r="F1792" s="2584">
        <v>60000000</v>
      </c>
    </row>
    <row r="1793" spans="1:6" x14ac:dyDescent="0.3">
      <c r="A1793" s="170">
        <v>32010900</v>
      </c>
      <c r="B1793" s="2565" t="s">
        <v>470</v>
      </c>
      <c r="C1793" s="2566"/>
      <c r="D1793" s="2600">
        <f>SUM(D1794)</f>
        <v>400000000</v>
      </c>
      <c r="E1793" s="2600">
        <f>SUM(E1794)</f>
        <v>19218560</v>
      </c>
      <c r="F1793" s="2600">
        <f>SUM(F1794)</f>
        <v>420000000</v>
      </c>
    </row>
    <row r="1794" spans="1:6" x14ac:dyDescent="0.3">
      <c r="A1794" s="2562" t="s">
        <v>4015</v>
      </c>
      <c r="B1794" s="1981" t="s">
        <v>2454</v>
      </c>
      <c r="C1794" s="1981"/>
      <c r="D1794" s="2584">
        <v>400000000</v>
      </c>
      <c r="E1794" s="2584">
        <v>19218560</v>
      </c>
      <c r="F1794" s="2584">
        <v>420000000</v>
      </c>
    </row>
    <row r="1795" spans="1:6" s="2775" customFormat="1" x14ac:dyDescent="0.3">
      <c r="A1795" s="2576"/>
      <c r="B1795" s="2577"/>
      <c r="C1795" s="2577"/>
      <c r="D1795" s="2578"/>
      <c r="E1795" s="2578"/>
      <c r="F1795" s="2578"/>
    </row>
    <row r="1796" spans="1:6" s="2775" customFormat="1" ht="20.25" thickBot="1" x14ac:dyDescent="0.4">
      <c r="A1796" s="2576"/>
      <c r="B1796" s="3029" t="s">
        <v>2633</v>
      </c>
      <c r="C1796" s="3029"/>
      <c r="D1796" s="2578"/>
      <c r="E1796" s="2578"/>
      <c r="F1796" s="2578"/>
    </row>
    <row r="1797" spans="1:6" s="2549" customFormat="1" ht="57" thickBot="1" x14ac:dyDescent="0.25">
      <c r="A1797" s="2548" t="s">
        <v>1</v>
      </c>
      <c r="B1797" s="2290" t="s">
        <v>282</v>
      </c>
      <c r="C1797" s="2548" t="s">
        <v>3197</v>
      </c>
      <c r="D1797" s="2292" t="s">
        <v>1174</v>
      </c>
      <c r="E1797" s="2292" t="s">
        <v>1145</v>
      </c>
      <c r="F1797" s="2292" t="s">
        <v>3096</v>
      </c>
    </row>
    <row r="1798" spans="1:6" s="2599" customFormat="1" x14ac:dyDescent="0.3">
      <c r="A1798" s="2807">
        <v>320301</v>
      </c>
      <c r="B1798" s="2808" t="s">
        <v>472</v>
      </c>
      <c r="C1798" s="2808"/>
      <c r="D1798" s="2616"/>
      <c r="E1798" s="2634"/>
      <c r="F1798" s="2616"/>
    </row>
    <row r="1799" spans="1:6" s="2599" customFormat="1" x14ac:dyDescent="0.3">
      <c r="A1799" s="170">
        <v>32030109</v>
      </c>
      <c r="B1799" s="2565" t="s">
        <v>3517</v>
      </c>
      <c r="C1799" s="2566"/>
      <c r="D1799" s="2600">
        <f>SUM(D1800:D1824)</f>
        <v>14249915819</v>
      </c>
      <c r="E1799" s="2600">
        <f>SUM(E1800:E1824)</f>
        <v>4740707295</v>
      </c>
      <c r="F1799" s="2600">
        <f>SUM(F1800:F1824)</f>
        <v>5157277756</v>
      </c>
    </row>
    <row r="1800" spans="1:6" x14ac:dyDescent="0.3">
      <c r="A1800" s="2562" t="s">
        <v>4016</v>
      </c>
      <c r="B1800" s="3030" t="s">
        <v>329</v>
      </c>
      <c r="C1800" s="3030"/>
      <c r="D1800" s="2584">
        <v>120000000</v>
      </c>
      <c r="E1800" s="2584"/>
      <c r="F1800" s="2584">
        <v>20000000</v>
      </c>
    </row>
    <row r="1801" spans="1:6" x14ac:dyDescent="0.3">
      <c r="A1801" s="2562" t="s">
        <v>4017</v>
      </c>
      <c r="B1801" s="1981" t="s">
        <v>628</v>
      </c>
      <c r="C1801" s="1981"/>
      <c r="D1801" s="2584">
        <v>150000000</v>
      </c>
      <c r="E1801" s="2584">
        <v>15856650</v>
      </c>
      <c r="F1801" s="2584">
        <v>150000000</v>
      </c>
    </row>
    <row r="1802" spans="1:6" x14ac:dyDescent="0.3">
      <c r="A1802" s="2562" t="s">
        <v>4018</v>
      </c>
      <c r="B1802" s="3030" t="s">
        <v>2993</v>
      </c>
      <c r="C1802" s="3030"/>
      <c r="D1802" s="2584">
        <v>900000000</v>
      </c>
      <c r="E1802" s="2584"/>
      <c r="F1802" s="2584">
        <v>240000000</v>
      </c>
    </row>
    <row r="1803" spans="1:6" x14ac:dyDescent="0.3">
      <c r="A1803" s="2562" t="s">
        <v>4019</v>
      </c>
      <c r="B1803" s="3031" t="s">
        <v>1254</v>
      </c>
      <c r="C1803" s="3030"/>
      <c r="D1803" s="2820">
        <v>2000000000</v>
      </c>
      <c r="E1803" s="2612"/>
      <c r="F1803" s="2612">
        <v>500000000</v>
      </c>
    </row>
    <row r="1804" spans="1:6" x14ac:dyDescent="0.3">
      <c r="A1804" s="2562" t="s">
        <v>4020</v>
      </c>
      <c r="B1804" s="1981" t="s">
        <v>629</v>
      </c>
      <c r="C1804" s="1981"/>
      <c r="D1804" s="2584">
        <v>20000000</v>
      </c>
      <c r="E1804" s="2584"/>
      <c r="F1804" s="2584">
        <v>20000000</v>
      </c>
    </row>
    <row r="1805" spans="1:6" x14ac:dyDescent="0.3">
      <c r="A1805" s="2562" t="s">
        <v>4021</v>
      </c>
      <c r="B1805" s="3030" t="s">
        <v>1869</v>
      </c>
      <c r="C1805" s="3030"/>
      <c r="D1805" s="2584"/>
      <c r="E1805" s="2584"/>
      <c r="F1805" s="2584">
        <v>1500000000</v>
      </c>
    </row>
    <row r="1806" spans="1:6" x14ac:dyDescent="0.3">
      <c r="A1806" s="2562" t="s">
        <v>4023</v>
      </c>
      <c r="B1806" s="3030" t="s">
        <v>1870</v>
      </c>
      <c r="C1806" s="3032"/>
      <c r="D1806" s="2612"/>
      <c r="E1806" s="2612"/>
      <c r="F1806" s="2612">
        <v>50000000</v>
      </c>
    </row>
    <row r="1807" spans="1:6" x14ac:dyDescent="0.3">
      <c r="A1807" s="2562" t="s">
        <v>4024</v>
      </c>
      <c r="B1807" s="1981" t="s">
        <v>617</v>
      </c>
      <c r="C1807" s="1981"/>
      <c r="D1807" s="2584">
        <v>535331870</v>
      </c>
      <c r="E1807" s="2584">
        <v>534431370</v>
      </c>
      <c r="F1807" s="2584">
        <v>535331870</v>
      </c>
    </row>
    <row r="1808" spans="1:6" x14ac:dyDescent="0.3">
      <c r="A1808" s="2562" t="s">
        <v>4025</v>
      </c>
      <c r="B1808" s="2582" t="s">
        <v>4258</v>
      </c>
      <c r="C1808" s="2582"/>
      <c r="D1808" s="2584">
        <v>93007480</v>
      </c>
      <c r="E1808" s="2584"/>
      <c r="F1808" s="2584">
        <v>93007480</v>
      </c>
    </row>
    <row r="1809" spans="1:6" x14ac:dyDescent="0.3">
      <c r="A1809" s="2562" t="s">
        <v>4026</v>
      </c>
      <c r="B1809" s="2582" t="s">
        <v>2462</v>
      </c>
      <c r="C1809" s="2582"/>
      <c r="D1809" s="2584">
        <v>2500000000</v>
      </c>
      <c r="E1809" s="2584">
        <v>17935684</v>
      </c>
      <c r="F1809" s="2584">
        <v>48938406</v>
      </c>
    </row>
    <row r="1810" spans="1:6" x14ac:dyDescent="0.3">
      <c r="A1810" s="2562" t="s">
        <v>4027</v>
      </c>
      <c r="B1810" s="2582" t="s">
        <v>2460</v>
      </c>
      <c r="C1810" s="2953"/>
      <c r="D1810" s="2584">
        <v>4211342144</v>
      </c>
      <c r="E1810" s="2584">
        <v>4111342144</v>
      </c>
      <c r="F1810" s="2584">
        <v>1000000000</v>
      </c>
    </row>
    <row r="1811" spans="1:6" x14ac:dyDescent="0.3">
      <c r="A1811" s="2562" t="s">
        <v>4028</v>
      </c>
      <c r="B1811" s="2582" t="s">
        <v>2461</v>
      </c>
      <c r="C1811" s="2953"/>
      <c r="D1811" s="2584"/>
      <c r="E1811" s="2584"/>
      <c r="F1811" s="2710">
        <v>1000000000</v>
      </c>
    </row>
    <row r="1812" spans="1:6" x14ac:dyDescent="0.3">
      <c r="A1812" s="2562" t="s">
        <v>4029</v>
      </c>
      <c r="B1812" s="1981" t="s">
        <v>626</v>
      </c>
      <c r="C1812" s="1981"/>
      <c r="D1812" s="2584">
        <v>200000000</v>
      </c>
      <c r="E1812" s="2584"/>
      <c r="F1812" s="2584">
        <v>0</v>
      </c>
    </row>
    <row r="1813" spans="1:6" x14ac:dyDescent="0.3">
      <c r="A1813" s="2562" t="s">
        <v>4030</v>
      </c>
      <c r="B1813" s="3031" t="s">
        <v>1255</v>
      </c>
      <c r="C1813" s="3030"/>
      <c r="D1813" s="2818">
        <v>20000000</v>
      </c>
      <c r="E1813" s="2584"/>
      <c r="F1813" s="2584">
        <v>0</v>
      </c>
    </row>
    <row r="1814" spans="1:6" x14ac:dyDescent="0.3">
      <c r="A1814" s="2562" t="s">
        <v>4031</v>
      </c>
      <c r="B1814" s="1981" t="s">
        <v>619</v>
      </c>
      <c r="C1814" s="1981"/>
      <c r="D1814" s="2584">
        <v>50000000</v>
      </c>
      <c r="E1814" s="2584"/>
      <c r="F1814" s="2584">
        <v>0</v>
      </c>
    </row>
    <row r="1815" spans="1:6" x14ac:dyDescent="0.3">
      <c r="A1815" s="2562" t="s">
        <v>4032</v>
      </c>
      <c r="B1815" s="1981" t="s">
        <v>623</v>
      </c>
      <c r="C1815" s="1981"/>
      <c r="D1815" s="2584">
        <v>213963990</v>
      </c>
      <c r="E1815" s="2584"/>
      <c r="F1815" s="2584">
        <v>0</v>
      </c>
    </row>
    <row r="1816" spans="1:6" x14ac:dyDescent="0.3">
      <c r="A1816" s="2562" t="s">
        <v>4033</v>
      </c>
      <c r="B1816" s="1981" t="s">
        <v>624</v>
      </c>
      <c r="C1816" s="1981"/>
      <c r="D1816" s="2584">
        <v>599099175</v>
      </c>
      <c r="E1816" s="2584"/>
      <c r="F1816" s="2584">
        <v>0</v>
      </c>
    </row>
    <row r="1817" spans="1:6" x14ac:dyDescent="0.3">
      <c r="A1817" s="2562" t="s">
        <v>4034</v>
      </c>
      <c r="B1817" s="1981" t="s">
        <v>625</v>
      </c>
      <c r="C1817" s="1981"/>
      <c r="D1817" s="2584">
        <v>124580000</v>
      </c>
      <c r="E1817" s="2584"/>
      <c r="F1817" s="2584">
        <v>0</v>
      </c>
    </row>
    <row r="1818" spans="1:6" x14ac:dyDescent="0.3">
      <c r="A1818" s="2562" t="s">
        <v>4035</v>
      </c>
      <c r="B1818" s="1981" t="s">
        <v>620</v>
      </c>
      <c r="C1818" s="1981"/>
      <c r="D1818" s="2584">
        <v>668988865</v>
      </c>
      <c r="E1818" s="2584"/>
      <c r="F1818" s="2584">
        <v>0</v>
      </c>
    </row>
    <row r="1819" spans="1:6" x14ac:dyDescent="0.3">
      <c r="A1819" s="2562" t="s">
        <v>4036</v>
      </c>
      <c r="B1819" s="1981" t="s">
        <v>621</v>
      </c>
      <c r="C1819" s="1981"/>
      <c r="D1819" s="2584">
        <v>250000000</v>
      </c>
      <c r="E1819" s="2584"/>
      <c r="F1819" s="2584">
        <v>0</v>
      </c>
    </row>
    <row r="1820" spans="1:6" x14ac:dyDescent="0.3">
      <c r="A1820" s="2562" t="s">
        <v>4037</v>
      </c>
      <c r="B1820" s="1981" t="s">
        <v>622</v>
      </c>
      <c r="C1820" s="1981"/>
      <c r="D1820" s="2584">
        <v>250000000</v>
      </c>
      <c r="E1820" s="2584"/>
      <c r="F1820" s="2584">
        <v>0</v>
      </c>
    </row>
    <row r="1821" spans="1:6" x14ac:dyDescent="0.3">
      <c r="A1821" s="2562" t="s">
        <v>4038</v>
      </c>
      <c r="B1821" s="2582" t="s">
        <v>1871</v>
      </c>
      <c r="C1821" s="2582"/>
      <c r="D1821" s="2584">
        <v>100000000</v>
      </c>
      <c r="E1821" s="2584">
        <v>61141447</v>
      </c>
      <c r="F1821" s="2584">
        <v>0</v>
      </c>
    </row>
    <row r="1822" spans="1:6" x14ac:dyDescent="0.3">
      <c r="A1822" s="2562" t="s">
        <v>4039</v>
      </c>
      <c r="B1822" s="1981" t="s">
        <v>618</v>
      </c>
      <c r="C1822" s="1981"/>
      <c r="D1822" s="2584">
        <v>1100000000</v>
      </c>
      <c r="E1822" s="2584"/>
      <c r="F1822" s="2584">
        <v>0</v>
      </c>
    </row>
    <row r="1823" spans="1:6" x14ac:dyDescent="0.3">
      <c r="A1823" s="2562" t="s">
        <v>4040</v>
      </c>
      <c r="B1823" s="2582" t="s">
        <v>4257</v>
      </c>
      <c r="C1823" s="2582"/>
      <c r="D1823" s="2584">
        <v>143602295</v>
      </c>
      <c r="E1823" s="2584"/>
      <c r="F1823" s="2584">
        <v>0</v>
      </c>
    </row>
    <row r="1824" spans="1:6" x14ac:dyDescent="0.3">
      <c r="A1824" s="2562" t="s">
        <v>4259</v>
      </c>
      <c r="B1824" s="2582" t="s">
        <v>4022</v>
      </c>
      <c r="C1824" s="2953"/>
      <c r="D1824" s="2584"/>
      <c r="E1824" s="2584"/>
      <c r="F1824" s="2710"/>
    </row>
    <row r="1825" spans="1:6" ht="19.5" thickBot="1" x14ac:dyDescent="0.35">
      <c r="A1825" s="2562"/>
      <c r="B1825" s="1981"/>
      <c r="C1825" s="2601"/>
      <c r="D1825" s="2612"/>
      <c r="E1825" s="2677"/>
      <c r="F1825" s="2612"/>
    </row>
    <row r="1826" spans="1:6" ht="19.5" thickBot="1" x14ac:dyDescent="0.35">
      <c r="A1826" s="170"/>
      <c r="B1826" s="2566" t="s">
        <v>1365</v>
      </c>
      <c r="C1826" s="2603"/>
      <c r="D1826" s="2595">
        <f>SUM(D1776,D1790,D1793,D1799)</f>
        <v>20844275832</v>
      </c>
      <c r="E1826" s="2595">
        <f>SUM(E1776,E1790,E1793,E1799)</f>
        <v>5294829642</v>
      </c>
      <c r="F1826" s="2595">
        <f>SUM(F1776,F1790,F1793,F1799)</f>
        <v>14127285737</v>
      </c>
    </row>
    <row r="1827" spans="1:6" x14ac:dyDescent="0.3">
      <c r="A1827" s="3517"/>
      <c r="B1827" s="3517"/>
      <c r="C1827" s="3519"/>
      <c r="D1827" s="3519"/>
      <c r="E1827" s="3519"/>
      <c r="F1827" s="3519"/>
    </row>
    <row r="1828" spans="1:6" x14ac:dyDescent="0.3">
      <c r="A1828" s="3517" t="s">
        <v>81</v>
      </c>
      <c r="B1828" s="3517"/>
      <c r="C1828" s="3517"/>
      <c r="D1828" s="3517"/>
      <c r="E1828" s="3517"/>
      <c r="F1828" s="3517"/>
    </row>
    <row r="1829" spans="1:6" ht="19.5" thickBot="1" x14ac:dyDescent="0.35">
      <c r="A1829" s="3516" t="s">
        <v>3050</v>
      </c>
      <c r="B1829" s="3516"/>
      <c r="C1829" s="3516"/>
      <c r="D1829" s="3516"/>
      <c r="E1829" s="3516"/>
      <c r="F1829" s="3516"/>
    </row>
    <row r="1830" spans="1:6" s="2549" customFormat="1" ht="57" thickBot="1" x14ac:dyDescent="0.25">
      <c r="A1830" s="2548" t="s">
        <v>1</v>
      </c>
      <c r="B1830" s="2290" t="s">
        <v>282</v>
      </c>
      <c r="C1830" s="2548" t="s">
        <v>3197</v>
      </c>
      <c r="D1830" s="2292" t="s">
        <v>1174</v>
      </c>
      <c r="E1830" s="2292" t="s">
        <v>1145</v>
      </c>
      <c r="F1830" s="2292" t="s">
        <v>3096</v>
      </c>
    </row>
    <row r="1831" spans="1:6" s="2549" customFormat="1" x14ac:dyDescent="0.2">
      <c r="A1831" s="2841"/>
      <c r="B1831" s="2664"/>
      <c r="C1831" s="2841"/>
      <c r="D1831" s="2729"/>
      <c r="E1831" s="2729"/>
      <c r="F1831" s="2729"/>
    </row>
    <row r="1832" spans="1:6" x14ac:dyDescent="0.3">
      <c r="A1832" s="170">
        <v>32010904</v>
      </c>
      <c r="B1832" s="2565" t="s">
        <v>470</v>
      </c>
      <c r="C1832" s="2566"/>
      <c r="D1832" s="2600">
        <f>SUM(D1833:D1834)</f>
        <v>520000000</v>
      </c>
      <c r="E1832" s="2600">
        <f t="shared" ref="E1832:F1832" si="143">SUM(E1833:E1834)</f>
        <v>40195000</v>
      </c>
      <c r="F1832" s="2600">
        <f t="shared" si="143"/>
        <v>540000000</v>
      </c>
    </row>
    <row r="1833" spans="1:6" x14ac:dyDescent="0.3">
      <c r="A1833" s="2562" t="s">
        <v>4041</v>
      </c>
      <c r="B1833" s="2952" t="s">
        <v>3049</v>
      </c>
      <c r="C1833" s="2582"/>
      <c r="D1833" s="2584">
        <v>500000000</v>
      </c>
      <c r="E1833" s="2584">
        <v>40195000</v>
      </c>
      <c r="F1833" s="2584">
        <v>500000000</v>
      </c>
    </row>
    <row r="1834" spans="1:6" x14ac:dyDescent="0.3">
      <c r="A1834" s="2562" t="s">
        <v>4042</v>
      </c>
      <c r="B1834" s="2952" t="s">
        <v>644</v>
      </c>
      <c r="C1834" s="2582"/>
      <c r="D1834" s="2584">
        <v>20000000</v>
      </c>
      <c r="E1834" s="2584"/>
      <c r="F1834" s="2584">
        <v>40000000</v>
      </c>
    </row>
    <row r="1835" spans="1:6" x14ac:dyDescent="0.3">
      <c r="A1835" s="170">
        <v>32010305</v>
      </c>
      <c r="B1835" s="2557" t="s">
        <v>3206</v>
      </c>
      <c r="C1835" s="2558"/>
      <c r="D1835" s="2600">
        <f>SUM(D1836:D1836)</f>
        <v>100000000</v>
      </c>
      <c r="E1835" s="2600">
        <f>SUM(E1836:E1836)</f>
        <v>47355000</v>
      </c>
      <c r="F1835" s="2600">
        <f>SUM(F1836:F1836)</f>
        <v>100000000</v>
      </c>
    </row>
    <row r="1836" spans="1:6" x14ac:dyDescent="0.3">
      <c r="A1836" s="2562" t="s">
        <v>4043</v>
      </c>
      <c r="B1836" s="2952" t="s">
        <v>646</v>
      </c>
      <c r="C1836" s="2582"/>
      <c r="D1836" s="2584">
        <v>100000000</v>
      </c>
      <c r="E1836" s="2559">
        <v>47355000</v>
      </c>
      <c r="F1836" s="2584">
        <v>100000000</v>
      </c>
    </row>
    <row r="1837" spans="1:6" s="2599" customFormat="1" x14ac:dyDescent="0.3">
      <c r="A1837" s="170">
        <v>32010200</v>
      </c>
      <c r="B1837" s="2558" t="s">
        <v>472</v>
      </c>
      <c r="C1837" s="2558"/>
      <c r="D1837" s="2559"/>
      <c r="E1837" s="2559"/>
      <c r="F1837" s="2559"/>
    </row>
    <row r="1838" spans="1:6" s="2599" customFormat="1" x14ac:dyDescent="0.3">
      <c r="A1838" s="170">
        <v>32030109</v>
      </c>
      <c r="B1838" s="2558" t="s">
        <v>3517</v>
      </c>
      <c r="C1838" s="2558"/>
      <c r="D1838" s="2600">
        <f>SUM(D1839:D1841)</f>
        <v>448250000</v>
      </c>
      <c r="E1838" s="2600">
        <f t="shared" ref="E1838" si="144">SUM(E1839:E1841)</f>
        <v>107028056</v>
      </c>
      <c r="F1838" s="2600">
        <f>SUM(F1839:F1842)</f>
        <v>934972078</v>
      </c>
    </row>
    <row r="1839" spans="1:6" x14ac:dyDescent="0.3">
      <c r="A1839" s="2562" t="s">
        <v>4044</v>
      </c>
      <c r="B1839" s="2582" t="s">
        <v>642</v>
      </c>
      <c r="C1839" s="2582"/>
      <c r="D1839" s="2818">
        <v>328250000</v>
      </c>
      <c r="E1839" s="2559">
        <v>86002456</v>
      </c>
      <c r="F1839" s="2584">
        <v>663372028</v>
      </c>
    </row>
    <row r="1840" spans="1:6" x14ac:dyDescent="0.3">
      <c r="A1840" s="2562" t="s">
        <v>4045</v>
      </c>
      <c r="B1840" s="2582" t="s">
        <v>643</v>
      </c>
      <c r="C1840" s="2582"/>
      <c r="D1840" s="2818">
        <v>100000000</v>
      </c>
      <c r="E1840" s="2559">
        <v>4184600</v>
      </c>
      <c r="F1840" s="2584">
        <v>182600050</v>
      </c>
    </row>
    <row r="1841" spans="1:6" x14ac:dyDescent="0.3">
      <c r="A1841" s="2562" t="s">
        <v>4260</v>
      </c>
      <c r="B1841" s="2613" t="s">
        <v>645</v>
      </c>
      <c r="C1841" s="2613"/>
      <c r="D1841" s="2818">
        <v>20000000</v>
      </c>
      <c r="E1841" s="2556">
        <v>16841000</v>
      </c>
      <c r="F1841" s="2584">
        <v>70000000</v>
      </c>
    </row>
    <row r="1842" spans="1:6" x14ac:dyDescent="0.3">
      <c r="A1842" s="2562" t="s">
        <v>4261</v>
      </c>
      <c r="B1842" s="2613" t="s">
        <v>1872</v>
      </c>
      <c r="C1842" s="2613"/>
      <c r="D1842" s="2818"/>
      <c r="E1842" s="2556"/>
      <c r="F1842" s="2584">
        <v>19000000</v>
      </c>
    </row>
    <row r="1843" spans="1:6" ht="19.5" thickBot="1" x14ac:dyDescent="0.35">
      <c r="A1843" s="2877"/>
      <c r="B1843" s="2558"/>
      <c r="C1843" s="2558"/>
      <c r="D1843" s="2771"/>
      <c r="E1843" s="2772"/>
      <c r="F1843" s="2772"/>
    </row>
    <row r="1844" spans="1:6" ht="19.5" thickBot="1" x14ac:dyDescent="0.35">
      <c r="A1844" s="170"/>
      <c r="B1844" s="2566" t="s">
        <v>1902</v>
      </c>
      <c r="C1844" s="2565"/>
      <c r="D1844" s="2595">
        <f>SUM(D1832,D1835,D1838)</f>
        <v>1068250000</v>
      </c>
      <c r="E1844" s="2595">
        <f t="shared" ref="E1844:F1844" si="145">SUM(E1832,E1835,E1838)</f>
        <v>194578056</v>
      </c>
      <c r="F1844" s="2595">
        <f t="shared" si="145"/>
        <v>1574972078</v>
      </c>
    </row>
    <row r="1845" spans="1:6" x14ac:dyDescent="0.3">
      <c r="A1845" s="2596"/>
      <c r="B1845" s="2577"/>
      <c r="C1845" s="2577"/>
      <c r="D1845" s="2578"/>
      <c r="E1845" s="2578"/>
      <c r="F1845" s="2578"/>
    </row>
    <row r="1846" spans="1:6" x14ac:dyDescent="0.3">
      <c r="A1846" s="3514" t="s">
        <v>81</v>
      </c>
      <c r="B1846" s="3514"/>
      <c r="C1846" s="3514"/>
      <c r="D1846" s="3514"/>
      <c r="E1846" s="3514"/>
      <c r="F1846" s="3514"/>
    </row>
    <row r="1847" spans="1:6" ht="19.5" thickBot="1" x14ac:dyDescent="0.35">
      <c r="A1847" s="3513" t="s">
        <v>1873</v>
      </c>
      <c r="B1847" s="3513"/>
      <c r="C1847" s="3513"/>
      <c r="D1847" s="3513"/>
      <c r="E1847" s="3513"/>
      <c r="F1847" s="3513"/>
    </row>
    <row r="1848" spans="1:6" s="2549" customFormat="1" ht="57" thickBot="1" x14ac:dyDescent="0.25">
      <c r="A1848" s="2548" t="s">
        <v>1</v>
      </c>
      <c r="B1848" s="2290" t="s">
        <v>282</v>
      </c>
      <c r="C1848" s="2548" t="s">
        <v>3197</v>
      </c>
      <c r="D1848" s="2292" t="s">
        <v>1174</v>
      </c>
      <c r="E1848" s="2292" t="s">
        <v>1145</v>
      </c>
      <c r="F1848" s="2292" t="s">
        <v>3096</v>
      </c>
    </row>
    <row r="1849" spans="1:6" x14ac:dyDescent="0.3">
      <c r="A1849" s="2712">
        <v>32010100</v>
      </c>
      <c r="B1849" s="2558" t="s">
        <v>464</v>
      </c>
      <c r="C1849" s="2558"/>
      <c r="D1849" s="2559"/>
      <c r="E1849" s="2559"/>
      <c r="F1849" s="2559"/>
    </row>
    <row r="1850" spans="1:6" s="2599" customFormat="1" x14ac:dyDescent="0.3">
      <c r="A1850" s="2712">
        <v>32010100</v>
      </c>
      <c r="B1850" s="2566" t="s">
        <v>1874</v>
      </c>
      <c r="C1850" s="2566"/>
      <c r="D1850" s="2600"/>
      <c r="E1850" s="2600"/>
      <c r="F1850" s="2600"/>
    </row>
    <row r="1851" spans="1:6" x14ac:dyDescent="0.3">
      <c r="A1851" s="2712">
        <v>32010101</v>
      </c>
      <c r="B1851" s="2558" t="s">
        <v>3212</v>
      </c>
      <c r="C1851" s="2558"/>
      <c r="D1851" s="2560">
        <f>SUM(D1852:D1863)</f>
        <v>0</v>
      </c>
      <c r="E1851" s="2560">
        <f>SUM(E1852:E1863)</f>
        <v>0</v>
      </c>
      <c r="F1851" s="2560">
        <f>SUM(F1852:F1863)</f>
        <v>574701238</v>
      </c>
    </row>
    <row r="1852" spans="1:6" x14ac:dyDescent="0.3">
      <c r="A1852" s="2704" t="s">
        <v>4046</v>
      </c>
      <c r="B1852" s="1981" t="s">
        <v>1875</v>
      </c>
      <c r="C1852" s="1981"/>
      <c r="D1852" s="2586"/>
      <c r="E1852" s="2584"/>
      <c r="F1852" s="2584">
        <v>66814624</v>
      </c>
    </row>
    <row r="1853" spans="1:6" x14ac:dyDescent="0.3">
      <c r="A1853" s="2704" t="s">
        <v>4047</v>
      </c>
      <c r="B1853" s="1981" t="s">
        <v>1876</v>
      </c>
      <c r="C1853" s="1981"/>
      <c r="D1853" s="2586"/>
      <c r="E1853" s="2584"/>
      <c r="F1853" s="2584">
        <v>59246489</v>
      </c>
    </row>
    <row r="1854" spans="1:6" x14ac:dyDescent="0.3">
      <c r="A1854" s="2704" t="s">
        <v>4048</v>
      </c>
      <c r="B1854" s="1981" t="s">
        <v>1877</v>
      </c>
      <c r="C1854" s="1981"/>
      <c r="D1854" s="2586"/>
      <c r="E1854" s="2586"/>
      <c r="F1854" s="2584">
        <v>55364300</v>
      </c>
    </row>
    <row r="1855" spans="1:6" x14ac:dyDescent="0.3">
      <c r="A1855" s="2704" t="s">
        <v>4049</v>
      </c>
      <c r="B1855" s="1981" t="s">
        <v>1878</v>
      </c>
      <c r="C1855" s="1981"/>
      <c r="D1855" s="2586"/>
      <c r="E1855" s="2584"/>
      <c r="F1855" s="2584">
        <v>53746387</v>
      </c>
    </row>
    <row r="1856" spans="1:6" x14ac:dyDescent="0.3">
      <c r="A1856" s="2704" t="s">
        <v>4050</v>
      </c>
      <c r="B1856" s="1981" t="s">
        <v>1879</v>
      </c>
      <c r="C1856" s="1981"/>
      <c r="D1856" s="2586"/>
      <c r="E1856" s="2584"/>
      <c r="F1856" s="2584">
        <v>69393650</v>
      </c>
    </row>
    <row r="1857" spans="1:6" x14ac:dyDescent="0.3">
      <c r="A1857" s="2704" t="s">
        <v>4051</v>
      </c>
      <c r="B1857" s="1981" t="s">
        <v>1880</v>
      </c>
      <c r="C1857" s="1981"/>
      <c r="D1857" s="2586"/>
      <c r="E1857" s="2584"/>
      <c r="F1857" s="2584">
        <v>40412987</v>
      </c>
    </row>
    <row r="1858" spans="1:6" x14ac:dyDescent="0.3">
      <c r="A1858" s="2704" t="s">
        <v>4052</v>
      </c>
      <c r="B1858" s="1981" t="s">
        <v>1881</v>
      </c>
      <c r="C1858" s="1981"/>
      <c r="D1858" s="2586"/>
      <c r="E1858" s="2584"/>
      <c r="F1858" s="2584">
        <v>42366194</v>
      </c>
    </row>
    <row r="1859" spans="1:6" x14ac:dyDescent="0.3">
      <c r="A1859" s="2704" t="s">
        <v>4053</v>
      </c>
      <c r="B1859" s="1981" t="s">
        <v>1882</v>
      </c>
      <c r="C1859" s="1981"/>
      <c r="D1859" s="2586"/>
      <c r="E1859" s="2584"/>
      <c r="F1859" s="2584">
        <v>46949852</v>
      </c>
    </row>
    <row r="1860" spans="1:6" x14ac:dyDescent="0.3">
      <c r="A1860" s="2704" t="s">
        <v>4054</v>
      </c>
      <c r="B1860" s="1981" t="s">
        <v>1883</v>
      </c>
      <c r="C1860" s="1981"/>
      <c r="D1860" s="2586"/>
      <c r="E1860" s="2584"/>
      <c r="F1860" s="2584">
        <v>39464378</v>
      </c>
    </row>
    <row r="1861" spans="1:6" x14ac:dyDescent="0.3">
      <c r="A1861" s="2704" t="s">
        <v>4055</v>
      </c>
      <c r="B1861" s="2582" t="s">
        <v>1884</v>
      </c>
      <c r="C1861" s="2582"/>
      <c r="D1861" s="2584"/>
      <c r="E1861" s="2586"/>
      <c r="F1861" s="2584">
        <v>35385479</v>
      </c>
    </row>
    <row r="1862" spans="1:6" x14ac:dyDescent="0.3">
      <c r="A1862" s="2704" t="s">
        <v>4056</v>
      </c>
      <c r="B1862" s="1981" t="s">
        <v>1885</v>
      </c>
      <c r="C1862" s="1981"/>
      <c r="D1862" s="2584"/>
      <c r="E1862" s="2584"/>
      <c r="F1862" s="2584">
        <v>50556898</v>
      </c>
    </row>
    <row r="1863" spans="1:6" x14ac:dyDescent="0.3">
      <c r="A1863" s="2704" t="s">
        <v>4057</v>
      </c>
      <c r="B1863" s="2563" t="s">
        <v>1886</v>
      </c>
      <c r="C1863" s="1981"/>
      <c r="D1863" s="2584"/>
      <c r="E1863" s="2584"/>
      <c r="F1863" s="2584">
        <v>15000000</v>
      </c>
    </row>
    <row r="1864" spans="1:6" x14ac:dyDescent="0.3">
      <c r="A1864" s="2620">
        <v>32020104</v>
      </c>
      <c r="B1864" s="2565" t="s">
        <v>4059</v>
      </c>
      <c r="C1864" s="1981"/>
      <c r="D1864" s="2600">
        <f>SUM(D1865)</f>
        <v>0</v>
      </c>
      <c r="E1864" s="2600">
        <f>SUM(E1865)</f>
        <v>0</v>
      </c>
      <c r="F1864" s="2600">
        <f>SUM(F1865)</f>
        <v>25500000</v>
      </c>
    </row>
    <row r="1865" spans="1:6" x14ac:dyDescent="0.3">
      <c r="A1865" s="2704" t="s">
        <v>4058</v>
      </c>
      <c r="B1865" s="2563" t="s">
        <v>2496</v>
      </c>
      <c r="C1865" s="1981"/>
      <c r="D1865" s="2584"/>
      <c r="E1865" s="2584"/>
      <c r="F1865" s="2584">
        <v>25500000</v>
      </c>
    </row>
    <row r="1866" spans="1:6" x14ac:dyDescent="0.3">
      <c r="A1866" s="2712">
        <v>32010211</v>
      </c>
      <c r="B1866" s="2565" t="s">
        <v>470</v>
      </c>
      <c r="C1866" s="2566"/>
      <c r="D1866" s="2600">
        <f>SUM(D1867:D1868)</f>
        <v>0</v>
      </c>
      <c r="E1866" s="2600">
        <f>SUM(E1867:E1868)</f>
        <v>0</v>
      </c>
      <c r="F1866" s="2600">
        <f>SUM(F1867:F1868)</f>
        <v>257923470</v>
      </c>
    </row>
    <row r="1867" spans="1:6" x14ac:dyDescent="0.3">
      <c r="A1867" s="2704" t="s">
        <v>4060</v>
      </c>
      <c r="B1867" s="3033" t="s">
        <v>2497</v>
      </c>
      <c r="C1867" s="2629"/>
      <c r="D1867" s="2584"/>
      <c r="E1867" s="2584"/>
      <c r="F1867" s="2584">
        <v>225900000</v>
      </c>
    </row>
    <row r="1868" spans="1:6" x14ac:dyDescent="0.3">
      <c r="A1868" s="2704" t="s">
        <v>4061</v>
      </c>
      <c r="B1868" s="3031" t="s">
        <v>1887</v>
      </c>
      <c r="C1868" s="3030"/>
      <c r="D1868" s="2584"/>
      <c r="E1868" s="2584"/>
      <c r="F1868" s="2584">
        <v>32023470</v>
      </c>
    </row>
    <row r="1869" spans="1:6" x14ac:dyDescent="0.3">
      <c r="A1869" s="2712">
        <v>32030109</v>
      </c>
      <c r="B1869" s="2565" t="s">
        <v>472</v>
      </c>
      <c r="C1869" s="2566"/>
      <c r="D1869" s="2584"/>
      <c r="E1869" s="2556"/>
      <c r="F1869" s="2584"/>
    </row>
    <row r="1870" spans="1:6" x14ac:dyDescent="0.3">
      <c r="A1870" s="2712">
        <v>32030109</v>
      </c>
      <c r="B1870" s="2565" t="s">
        <v>3517</v>
      </c>
      <c r="C1870" s="2566"/>
      <c r="D1870" s="2600">
        <f>SUM(D1871:D1877)</f>
        <v>0</v>
      </c>
      <c r="E1870" s="2600">
        <f>SUM(E1871:E1877)</f>
        <v>0</v>
      </c>
      <c r="F1870" s="2600">
        <f>SUM(F1871:F1877)</f>
        <v>2178100829</v>
      </c>
    </row>
    <row r="1871" spans="1:6" ht="37.5" x14ac:dyDescent="0.3">
      <c r="A1871" s="2704" t="s">
        <v>4062</v>
      </c>
      <c r="B1871" s="3031" t="s">
        <v>2463</v>
      </c>
      <c r="C1871" s="3030"/>
      <c r="D1871" s="2584"/>
      <c r="E1871" s="2584"/>
      <c r="F1871" s="2584">
        <v>60343615</v>
      </c>
    </row>
    <row r="1872" spans="1:6" ht="37.5" x14ac:dyDescent="0.3">
      <c r="A1872" s="2704" t="s">
        <v>4063</v>
      </c>
      <c r="B1872" s="3031" t="s">
        <v>1888</v>
      </c>
      <c r="C1872" s="3030"/>
      <c r="D1872" s="2584"/>
      <c r="E1872" s="2584"/>
      <c r="F1872" s="2584">
        <v>122400000</v>
      </c>
    </row>
    <row r="1873" spans="1:6" x14ac:dyDescent="0.3">
      <c r="A1873" s="2704" t="s">
        <v>4262</v>
      </c>
      <c r="B1873" s="2563" t="s">
        <v>2464</v>
      </c>
      <c r="C1873" s="1981"/>
      <c r="D1873" s="2584"/>
      <c r="E1873" s="2556"/>
      <c r="F1873" s="2584">
        <v>668988865</v>
      </c>
    </row>
    <row r="1874" spans="1:6" x14ac:dyDescent="0.3">
      <c r="A1874" s="2704" t="s">
        <v>4263</v>
      </c>
      <c r="B1874" s="2563" t="s">
        <v>1889</v>
      </c>
      <c r="C1874" s="1981"/>
      <c r="D1874" s="3034"/>
      <c r="E1874" s="2586"/>
      <c r="F1874" s="3034">
        <v>107529100</v>
      </c>
    </row>
    <row r="1875" spans="1:6" x14ac:dyDescent="0.3">
      <c r="A1875" s="2704" t="s">
        <v>4264</v>
      </c>
      <c r="B1875" s="2853" t="s">
        <v>2634</v>
      </c>
      <c r="C1875" s="1981"/>
      <c r="D1875" s="2584"/>
      <c r="E1875" s="2556"/>
      <c r="F1875" s="2584">
        <v>500000000</v>
      </c>
    </row>
    <row r="1876" spans="1:6" x14ac:dyDescent="0.3">
      <c r="A1876" s="2704" t="s">
        <v>4265</v>
      </c>
      <c r="B1876" s="2834" t="s">
        <v>2498</v>
      </c>
      <c r="C1876" s="2774"/>
      <c r="D1876" s="3035"/>
      <c r="E1876" s="3035"/>
      <c r="F1876" s="3035">
        <v>575071399</v>
      </c>
    </row>
    <row r="1877" spans="1:6" x14ac:dyDescent="0.3">
      <c r="A1877" s="2704" t="s">
        <v>4266</v>
      </c>
      <c r="B1877" s="2834" t="s">
        <v>2499</v>
      </c>
      <c r="C1877" s="2774"/>
      <c r="D1877" s="3035"/>
      <c r="E1877" s="3035"/>
      <c r="F1877" s="3035">
        <v>143767850</v>
      </c>
    </row>
    <row r="1878" spans="1:6" ht="19.5" thickBot="1" x14ac:dyDescent="0.35">
      <c r="A1878" s="3036"/>
      <c r="B1878" s="2563"/>
      <c r="C1878" s="1981"/>
      <c r="D1878" s="2612"/>
      <c r="E1878" s="2677"/>
      <c r="F1878" s="2612"/>
    </row>
    <row r="1879" spans="1:6" ht="19.5" thickBot="1" x14ac:dyDescent="0.35">
      <c r="A1879" s="2712"/>
      <c r="B1879" s="2565" t="s">
        <v>1903</v>
      </c>
      <c r="C1879" s="2565"/>
      <c r="D1879" s="3037">
        <f>D1870+D1866+D1851</f>
        <v>0</v>
      </c>
      <c r="E1879" s="3037">
        <f>E1870+E1866+E1851</f>
        <v>0</v>
      </c>
      <c r="F1879" s="3037">
        <f>SUM(F1851,F1864,F1866,F1870)</f>
        <v>3036225537</v>
      </c>
    </row>
    <row r="1880" spans="1:6" x14ac:dyDescent="0.3">
      <c r="A1880" s="2596"/>
      <c r="B1880" s="2577"/>
      <c r="C1880" s="2577"/>
      <c r="D1880" s="2578"/>
      <c r="E1880" s="2578"/>
      <c r="F1880" s="2578"/>
    </row>
    <row r="1881" spans="1:6" x14ac:dyDescent="0.3">
      <c r="A1881" s="3514" t="s">
        <v>81</v>
      </c>
      <c r="B1881" s="3514"/>
      <c r="C1881" s="3514"/>
      <c r="D1881" s="3514"/>
      <c r="E1881" s="3514"/>
      <c r="F1881" s="3514"/>
    </row>
    <row r="1882" spans="1:6" ht="19.5" thickBot="1" x14ac:dyDescent="0.35">
      <c r="A1882" s="3513" t="s">
        <v>1890</v>
      </c>
      <c r="B1882" s="3513"/>
      <c r="C1882" s="3513"/>
      <c r="D1882" s="3513"/>
      <c r="E1882" s="3513"/>
      <c r="F1882" s="3513"/>
    </row>
    <row r="1883" spans="1:6" s="2549" customFormat="1" ht="57" thickBot="1" x14ac:dyDescent="0.25">
      <c r="A1883" s="2548" t="s">
        <v>1</v>
      </c>
      <c r="B1883" s="2290" t="s">
        <v>282</v>
      </c>
      <c r="C1883" s="2548" t="s">
        <v>3197</v>
      </c>
      <c r="D1883" s="2292" t="s">
        <v>1174</v>
      </c>
      <c r="E1883" s="2292" t="s">
        <v>1145</v>
      </c>
      <c r="F1883" s="2292" t="s">
        <v>3096</v>
      </c>
    </row>
    <row r="1884" spans="1:6" x14ac:dyDescent="0.3">
      <c r="A1884" s="3038">
        <v>32010900</v>
      </c>
      <c r="B1884" s="2566" t="s">
        <v>470</v>
      </c>
      <c r="C1884" s="2607"/>
      <c r="D1884" s="2609"/>
      <c r="E1884" s="2609"/>
      <c r="F1884" s="2609"/>
    </row>
    <row r="1885" spans="1:6" x14ac:dyDescent="0.3">
      <c r="A1885" s="3038">
        <v>32010904</v>
      </c>
      <c r="B1885" s="2566" t="s">
        <v>4080</v>
      </c>
      <c r="C1885" s="2607"/>
      <c r="D1885" s="2600">
        <f>SUM(D1886:D1892)</f>
        <v>0</v>
      </c>
      <c r="E1885" s="2600">
        <f>SUM(E1886:E1892)</f>
        <v>0</v>
      </c>
      <c r="F1885" s="2600">
        <f>SUM(F1886:F1892)</f>
        <v>317500000</v>
      </c>
    </row>
    <row r="1886" spans="1:6" x14ac:dyDescent="0.3">
      <c r="A1886" s="2704" t="s">
        <v>4064</v>
      </c>
      <c r="B1886" s="2669" t="s">
        <v>1893</v>
      </c>
      <c r="C1886" s="2669"/>
      <c r="D1886" s="2584"/>
      <c r="E1886" s="2584">
        <v>0</v>
      </c>
      <c r="F1886" s="2584">
        <v>120000000</v>
      </c>
    </row>
    <row r="1887" spans="1:6" x14ac:dyDescent="0.3">
      <c r="A1887" s="2704" t="s">
        <v>4065</v>
      </c>
      <c r="B1887" s="2669" t="s">
        <v>1894</v>
      </c>
      <c r="C1887" s="2669"/>
      <c r="D1887" s="2584"/>
      <c r="E1887" s="2584">
        <v>0</v>
      </c>
      <c r="F1887" s="2584">
        <v>7500000</v>
      </c>
    </row>
    <row r="1888" spans="1:6" x14ac:dyDescent="0.3">
      <c r="A1888" s="2704" t="s">
        <v>4066</v>
      </c>
      <c r="B1888" s="2582" t="s">
        <v>1895</v>
      </c>
      <c r="C1888" s="2582"/>
      <c r="D1888" s="2584"/>
      <c r="E1888" s="2584">
        <v>0</v>
      </c>
      <c r="F1888" s="2584">
        <v>150000000</v>
      </c>
    </row>
    <row r="1889" spans="1:6" x14ac:dyDescent="0.3">
      <c r="A1889" s="2704" t="s">
        <v>4067</v>
      </c>
      <c r="B1889" s="1981" t="s">
        <v>1896</v>
      </c>
      <c r="C1889" s="1981"/>
      <c r="D1889" s="2584"/>
      <c r="E1889" s="2584">
        <v>0</v>
      </c>
      <c r="F1889" s="2584">
        <v>30000000</v>
      </c>
    </row>
    <row r="1890" spans="1:6" ht="37.5" x14ac:dyDescent="0.3">
      <c r="A1890" s="2704" t="s">
        <v>4068</v>
      </c>
      <c r="B1890" s="1981" t="s">
        <v>1897</v>
      </c>
      <c r="C1890" s="1981"/>
      <c r="D1890" s="2584"/>
      <c r="E1890" s="2584">
        <v>0</v>
      </c>
      <c r="F1890" s="2584">
        <v>0</v>
      </c>
    </row>
    <row r="1891" spans="1:6" x14ac:dyDescent="0.3">
      <c r="A1891" s="2704" t="s">
        <v>4069</v>
      </c>
      <c r="B1891" s="1981" t="s">
        <v>1898</v>
      </c>
      <c r="C1891" s="1981"/>
      <c r="D1891" s="2584"/>
      <c r="E1891" s="2584">
        <v>0</v>
      </c>
      <c r="F1891" s="2584">
        <v>0</v>
      </c>
    </row>
    <row r="1892" spans="1:6" x14ac:dyDescent="0.3">
      <c r="A1892" s="2704" t="s">
        <v>4070</v>
      </c>
      <c r="B1892" s="2591" t="s">
        <v>1899</v>
      </c>
      <c r="C1892" s="1981"/>
      <c r="D1892" s="2584"/>
      <c r="E1892" s="2584">
        <v>0</v>
      </c>
      <c r="F1892" s="2584">
        <v>10000000</v>
      </c>
    </row>
    <row r="1893" spans="1:6" x14ac:dyDescent="0.3">
      <c r="A1893" s="2712">
        <v>32030100</v>
      </c>
      <c r="B1893" s="2566" t="s">
        <v>472</v>
      </c>
      <c r="C1893" s="2566"/>
      <c r="D1893" s="2600">
        <f>SUM(D1894:D1895)</f>
        <v>0</v>
      </c>
      <c r="E1893" s="2600">
        <f>SUM(E1894:E1895)</f>
        <v>0</v>
      </c>
      <c r="F1893" s="2600">
        <f>SUM(F1894:F1895)</f>
        <v>813063126</v>
      </c>
    </row>
    <row r="1894" spans="1:6" x14ac:dyDescent="0.3">
      <c r="A1894" s="2704" t="s">
        <v>4071</v>
      </c>
      <c r="B1894" s="1981" t="s">
        <v>1900</v>
      </c>
      <c r="C1894" s="1981"/>
      <c r="D1894" s="2584"/>
      <c r="E1894" s="2584"/>
      <c r="F1894" s="2584">
        <v>813063126</v>
      </c>
    </row>
    <row r="1895" spans="1:6" x14ac:dyDescent="0.3">
      <c r="A1895" s="2704" t="s">
        <v>4072</v>
      </c>
      <c r="B1895" s="1981" t="s">
        <v>2469</v>
      </c>
      <c r="C1895" s="1981"/>
      <c r="D1895" s="2584"/>
      <c r="E1895" s="2584"/>
      <c r="F1895" s="2584">
        <v>0</v>
      </c>
    </row>
    <row r="1896" spans="1:6" ht="19.5" thickBot="1" x14ac:dyDescent="0.35">
      <c r="A1896" s="3036"/>
      <c r="B1896" s="1981"/>
      <c r="C1896" s="1981"/>
      <c r="D1896" s="2612"/>
      <c r="E1896" s="2677"/>
      <c r="F1896" s="2612"/>
    </row>
    <row r="1897" spans="1:6" ht="19.5" thickBot="1" x14ac:dyDescent="0.35">
      <c r="A1897" s="2712"/>
      <c r="B1897" s="2566" t="s">
        <v>1919</v>
      </c>
      <c r="C1897" s="2727"/>
      <c r="D1897" s="3039">
        <f>SUM(D1893,D1885)</f>
        <v>0</v>
      </c>
      <c r="E1897" s="3039">
        <f>SUM(E1893,E1885)</f>
        <v>0</v>
      </c>
      <c r="F1897" s="2595">
        <f>SUM(F1893,F1885)</f>
        <v>1130563126</v>
      </c>
    </row>
    <row r="1898" spans="1:6" x14ac:dyDescent="0.3">
      <c r="A1898" s="3040"/>
      <c r="B1898" s="2577"/>
      <c r="C1898" s="2577"/>
      <c r="D1898" s="2578"/>
      <c r="E1898" s="2578"/>
      <c r="F1898" s="2578"/>
    </row>
    <row r="1899" spans="1:6" x14ac:dyDescent="0.3">
      <c r="A1899" s="3514" t="s">
        <v>641</v>
      </c>
      <c r="B1899" s="3514"/>
      <c r="C1899" s="3514"/>
      <c r="D1899" s="3514"/>
      <c r="E1899" s="3514"/>
      <c r="F1899" s="3514"/>
    </row>
    <row r="1900" spans="1:6" ht="19.5" thickBot="1" x14ac:dyDescent="0.35">
      <c r="A1900" s="3513" t="s">
        <v>4284</v>
      </c>
      <c r="B1900" s="3513"/>
      <c r="C1900" s="3513"/>
      <c r="D1900" s="3513"/>
      <c r="E1900" s="3513"/>
      <c r="F1900" s="3513"/>
    </row>
    <row r="1901" spans="1:6" s="2549" customFormat="1" ht="57" thickBot="1" x14ac:dyDescent="0.25">
      <c r="A1901" s="2548" t="s">
        <v>1</v>
      </c>
      <c r="B1901" s="2290" t="s">
        <v>282</v>
      </c>
      <c r="C1901" s="2548" t="s">
        <v>3197</v>
      </c>
      <c r="D1901" s="2292" t="s">
        <v>1174</v>
      </c>
      <c r="E1901" s="2292" t="s">
        <v>1145</v>
      </c>
      <c r="F1901" s="2292" t="s">
        <v>3096</v>
      </c>
    </row>
    <row r="1902" spans="1:6" x14ac:dyDescent="0.3">
      <c r="A1902" s="3041">
        <v>32010100</v>
      </c>
      <c r="B1902" s="2923" t="s">
        <v>464</v>
      </c>
      <c r="C1902" s="2923"/>
      <c r="D1902" s="3042"/>
      <c r="E1902" s="3025"/>
      <c r="F1902" s="3025"/>
    </row>
    <row r="1903" spans="1:6" x14ac:dyDescent="0.3">
      <c r="A1903" s="2620">
        <v>32010101</v>
      </c>
      <c r="B1903" s="2558" t="s">
        <v>3212</v>
      </c>
      <c r="C1903" s="2558"/>
      <c r="D1903" s="2600">
        <f>SUM(D1904)</f>
        <v>0</v>
      </c>
      <c r="E1903" s="2600">
        <f>SUM(E1904)</f>
        <v>0</v>
      </c>
      <c r="F1903" s="2600">
        <f>SUM(F1904)</f>
        <v>0</v>
      </c>
    </row>
    <row r="1904" spans="1:6" x14ac:dyDescent="0.3">
      <c r="A1904" s="2704" t="s">
        <v>4073</v>
      </c>
      <c r="B1904" s="1981" t="s">
        <v>2030</v>
      </c>
      <c r="C1904" s="1981"/>
      <c r="D1904" s="2755"/>
      <c r="E1904" s="2584"/>
      <c r="F1904" s="2667">
        <v>0</v>
      </c>
    </row>
    <row r="1905" spans="1:6" x14ac:dyDescent="0.3">
      <c r="A1905" s="2704" t="s">
        <v>4074</v>
      </c>
      <c r="B1905" s="1981" t="s">
        <v>2032</v>
      </c>
      <c r="C1905" s="1981"/>
      <c r="D1905" s="2755"/>
      <c r="E1905" s="2584"/>
      <c r="F1905" s="2667">
        <v>0</v>
      </c>
    </row>
    <row r="1906" spans="1:6" x14ac:dyDescent="0.3">
      <c r="A1906" s="2712">
        <v>32010501</v>
      </c>
      <c r="B1906" s="2558" t="s">
        <v>3639</v>
      </c>
      <c r="C1906" s="2558"/>
      <c r="D1906" s="2600">
        <f>SUM(D1907)</f>
        <v>0</v>
      </c>
      <c r="E1906" s="2600">
        <f>SUM(E1907)</f>
        <v>0</v>
      </c>
      <c r="F1906" s="2600">
        <f>SUM(F1907:F1908)</f>
        <v>154690000</v>
      </c>
    </row>
    <row r="1907" spans="1:6" x14ac:dyDescent="0.3">
      <c r="A1907" s="2704" t="s">
        <v>4075</v>
      </c>
      <c r="B1907" s="2563" t="s">
        <v>2034</v>
      </c>
      <c r="C1907" s="1981"/>
      <c r="D1907" s="2755"/>
      <c r="E1907" s="2559"/>
      <c r="F1907" s="2584">
        <v>54690000</v>
      </c>
    </row>
    <row r="1908" spans="1:6" x14ac:dyDescent="0.3">
      <c r="A1908" s="2704" t="s">
        <v>4076</v>
      </c>
      <c r="B1908" s="2563" t="s">
        <v>2031</v>
      </c>
      <c r="C1908" s="1981"/>
      <c r="D1908" s="2755"/>
      <c r="E1908" s="2584"/>
      <c r="F1908" s="2584">
        <v>100000000</v>
      </c>
    </row>
    <row r="1909" spans="1:6" x14ac:dyDescent="0.3">
      <c r="A1909" s="2712">
        <v>32010500</v>
      </c>
      <c r="B1909" s="2557" t="s">
        <v>469</v>
      </c>
      <c r="C1909" s="2558"/>
      <c r="D1909" s="2764"/>
      <c r="E1909" s="2559"/>
      <c r="F1909" s="2670"/>
    </row>
    <row r="1910" spans="1:6" x14ac:dyDescent="0.3">
      <c r="A1910" s="2712">
        <v>32010501</v>
      </c>
      <c r="B1910" s="2557" t="s">
        <v>3479</v>
      </c>
      <c r="C1910" s="2558"/>
      <c r="D1910" s="2600">
        <f>SUM(D1911)</f>
        <v>0</v>
      </c>
      <c r="E1910" s="2600">
        <f>SUM(E1911)</f>
        <v>0</v>
      </c>
      <c r="F1910" s="2600">
        <f>SUM(F1911)</f>
        <v>0</v>
      </c>
    </row>
    <row r="1911" spans="1:6" x14ac:dyDescent="0.3">
      <c r="A1911" s="2704" t="s">
        <v>4077</v>
      </c>
      <c r="B1911" s="2563" t="s">
        <v>2033</v>
      </c>
      <c r="C1911" s="1981"/>
      <c r="D1911" s="2824"/>
      <c r="E1911" s="2560"/>
      <c r="F1911" s="2971">
        <v>0</v>
      </c>
    </row>
    <row r="1912" spans="1:6" x14ac:dyDescent="0.3">
      <c r="A1912" s="2712">
        <v>32030109</v>
      </c>
      <c r="B1912" s="2565" t="s">
        <v>472</v>
      </c>
      <c r="C1912" s="2566"/>
      <c r="D1912" s="2600">
        <f>SUM(D1913:D1914)</f>
        <v>0</v>
      </c>
      <c r="E1912" s="2600">
        <f>SUM(E1913:E1914)</f>
        <v>0</v>
      </c>
      <c r="F1912" s="2600">
        <f>SUM(F1913:F1914)</f>
        <v>3551303111</v>
      </c>
    </row>
    <row r="1913" spans="1:6" x14ac:dyDescent="0.3">
      <c r="A1913" s="2704" t="s">
        <v>4078</v>
      </c>
      <c r="B1913" s="3043" t="s">
        <v>2484</v>
      </c>
      <c r="C1913" s="2669"/>
      <c r="D1913" s="2806"/>
      <c r="E1913" s="2560"/>
      <c r="F1913" s="2559">
        <v>3513003111</v>
      </c>
    </row>
    <row r="1914" spans="1:6" x14ac:dyDescent="0.3">
      <c r="A1914" s="2704" t="s">
        <v>4079</v>
      </c>
      <c r="B1914" s="2563" t="s">
        <v>2035</v>
      </c>
      <c r="C1914" s="1981"/>
      <c r="D1914" s="2755"/>
      <c r="E1914" s="2559"/>
      <c r="F1914" s="2584">
        <v>38300000</v>
      </c>
    </row>
    <row r="1915" spans="1:6" ht="19.5" thickBot="1" x14ac:dyDescent="0.35">
      <c r="A1915" s="2704"/>
      <c r="B1915" s="2558"/>
      <c r="C1915" s="2558"/>
      <c r="D1915" s="3044"/>
      <c r="E1915" s="2772"/>
      <c r="F1915" s="2772"/>
    </row>
    <row r="1916" spans="1:6" ht="19.5" thickBot="1" x14ac:dyDescent="0.35">
      <c r="A1916" s="2712"/>
      <c r="B1916" s="2566" t="s">
        <v>2635</v>
      </c>
      <c r="C1916" s="2566"/>
      <c r="D1916" s="2595">
        <f>SUM(D1903,D1906,D1910,D1912)</f>
        <v>0</v>
      </c>
      <c r="E1916" s="2595">
        <f>SUM(E1903,E1906,E1910,E1912)</f>
        <v>0</v>
      </c>
      <c r="F1916" s="2595">
        <f>SUM(F1903,F1906,F1910,F1912)</f>
        <v>3705993111</v>
      </c>
    </row>
    <row r="1917" spans="1:6" x14ac:dyDescent="0.3">
      <c r="A1917" s="3040"/>
      <c r="B1917" s="2577"/>
      <c r="C1917" s="2577"/>
      <c r="D1917" s="3045"/>
      <c r="E1917" s="2578"/>
      <c r="F1917" s="2578"/>
    </row>
    <row r="1918" spans="1:6" s="2257" customFormat="1" ht="17.25" x14ac:dyDescent="0.25">
      <c r="A1918" s="3089"/>
      <c r="B1918" s="3528" t="s">
        <v>81</v>
      </c>
      <c r="C1918" s="3528"/>
      <c r="D1918" s="3528"/>
      <c r="E1918" s="3528"/>
      <c r="F1918" s="3528"/>
    </row>
    <row r="1919" spans="1:6" s="2257" customFormat="1" ht="18" thickBot="1" x14ac:dyDescent="0.3">
      <c r="A1919" s="3529" t="s">
        <v>2212</v>
      </c>
      <c r="B1919" s="3529"/>
      <c r="C1919" s="3529"/>
      <c r="D1919" s="3529"/>
      <c r="E1919" s="3529"/>
      <c r="F1919" s="3529"/>
    </row>
    <row r="1920" spans="1:6" s="3092" customFormat="1" ht="47.25" customHeight="1" thickBot="1" x14ac:dyDescent="0.25">
      <c r="A1920" s="3090" t="s">
        <v>1</v>
      </c>
      <c r="B1920" s="2236" t="s">
        <v>282</v>
      </c>
      <c r="C1920" s="3090" t="s">
        <v>3197</v>
      </c>
      <c r="D1920" s="3091" t="s">
        <v>1174</v>
      </c>
      <c r="E1920" s="3091" t="s">
        <v>1145</v>
      </c>
      <c r="F1920" s="3091" t="s">
        <v>3096</v>
      </c>
    </row>
    <row r="1921" spans="1:6" s="2968" customFormat="1" ht="17.25" x14ac:dyDescent="0.25">
      <c r="A1921" s="2965">
        <v>32010100</v>
      </c>
      <c r="B1921" s="2967" t="s">
        <v>464</v>
      </c>
      <c r="C1921" s="2857"/>
      <c r="D1921" s="3093"/>
      <c r="E1921" s="2860"/>
      <c r="F1921" s="3094"/>
    </row>
    <row r="1922" spans="1:6" s="2968" customFormat="1" ht="17.25" x14ac:dyDescent="0.25">
      <c r="A1922" s="2965">
        <v>32010101</v>
      </c>
      <c r="B1922" s="2967" t="s">
        <v>3212</v>
      </c>
      <c r="C1922" s="2857"/>
      <c r="D1922" s="3095">
        <f>SUM(D1923:D1936)</f>
        <v>0</v>
      </c>
      <c r="E1922" s="3095">
        <f t="shared" ref="E1922" si="146">SUM(E1923:E1936)</f>
        <v>0</v>
      </c>
      <c r="F1922" s="3095">
        <f>SUM(F1923:F1936)</f>
        <v>2070500000</v>
      </c>
    </row>
    <row r="1923" spans="1:6" s="2257" customFormat="1" ht="17.25" x14ac:dyDescent="0.25">
      <c r="A1923" s="2966" t="s">
        <v>4081</v>
      </c>
      <c r="B1923" s="3096" t="s">
        <v>2867</v>
      </c>
      <c r="C1923" s="2864"/>
      <c r="D1923" s="3097"/>
      <c r="E1923" s="2859"/>
      <c r="F1923" s="3098">
        <v>1000000000</v>
      </c>
    </row>
    <row r="1924" spans="1:6" s="2257" customFormat="1" ht="17.25" x14ac:dyDescent="0.25">
      <c r="A1924" s="2966" t="s">
        <v>4082</v>
      </c>
      <c r="B1924" s="3096" t="s">
        <v>2868</v>
      </c>
      <c r="C1924" s="2864"/>
      <c r="D1924" s="3097"/>
      <c r="E1924" s="2859"/>
      <c r="F1924" s="3098">
        <v>1000000000</v>
      </c>
    </row>
    <row r="1925" spans="1:6" s="2257" customFormat="1" ht="17.25" x14ac:dyDescent="0.25">
      <c r="A1925" s="2966" t="s">
        <v>4084</v>
      </c>
      <c r="B1925" s="3099" t="s">
        <v>2042</v>
      </c>
      <c r="C1925" s="2330"/>
      <c r="D1925" s="3100"/>
      <c r="E1925" s="3101"/>
      <c r="F1925" s="3101">
        <v>7000000</v>
      </c>
    </row>
    <row r="1926" spans="1:6" s="2257" customFormat="1" ht="17.25" x14ac:dyDescent="0.25">
      <c r="A1926" s="2966" t="s">
        <v>4085</v>
      </c>
      <c r="B1926" s="3099" t="s">
        <v>2043</v>
      </c>
      <c r="C1926" s="2330"/>
      <c r="D1926" s="3100"/>
      <c r="E1926" s="3101"/>
      <c r="F1926" s="3101">
        <v>10500000</v>
      </c>
    </row>
    <row r="1927" spans="1:6" s="2257" customFormat="1" ht="17.25" x14ac:dyDescent="0.25">
      <c r="A1927" s="2966" t="s">
        <v>4086</v>
      </c>
      <c r="B1927" s="3099" t="s">
        <v>2044</v>
      </c>
      <c r="C1927" s="2330"/>
      <c r="D1927" s="3100"/>
      <c r="E1927" s="3101"/>
      <c r="F1927" s="3101">
        <v>4000000</v>
      </c>
    </row>
    <row r="1928" spans="1:6" s="2257" customFormat="1" ht="17.25" x14ac:dyDescent="0.25">
      <c r="A1928" s="2966" t="s">
        <v>4087</v>
      </c>
      <c r="B1928" s="3099" t="s">
        <v>2045</v>
      </c>
      <c r="C1928" s="2330"/>
      <c r="D1928" s="3100"/>
      <c r="E1928" s="3101"/>
      <c r="F1928" s="3101">
        <v>4000000</v>
      </c>
    </row>
    <row r="1929" spans="1:6" s="2257" customFormat="1" ht="17.25" x14ac:dyDescent="0.25">
      <c r="A1929" s="2966" t="s">
        <v>4088</v>
      </c>
      <c r="B1929" s="3099" t="s">
        <v>4083</v>
      </c>
      <c r="C1929" s="2330"/>
      <c r="D1929" s="3100"/>
      <c r="E1929" s="3101"/>
      <c r="F1929" s="3101">
        <v>1500000</v>
      </c>
    </row>
    <row r="1930" spans="1:6" s="2257" customFormat="1" ht="17.25" x14ac:dyDescent="0.25">
      <c r="A1930" s="2966" t="s">
        <v>4089</v>
      </c>
      <c r="B1930" s="3099" t="s">
        <v>2047</v>
      </c>
      <c r="C1930" s="2330"/>
      <c r="D1930" s="3100"/>
      <c r="E1930" s="3101"/>
      <c r="F1930" s="3101">
        <v>3000000</v>
      </c>
    </row>
    <row r="1931" spans="1:6" s="2257" customFormat="1" ht="17.25" x14ac:dyDescent="0.25">
      <c r="A1931" s="2966" t="s">
        <v>4090</v>
      </c>
      <c r="B1931" s="3099" t="s">
        <v>2042</v>
      </c>
      <c r="C1931" s="2330"/>
      <c r="D1931" s="3100"/>
      <c r="E1931" s="3101"/>
      <c r="F1931" s="3101">
        <v>7000000</v>
      </c>
    </row>
    <row r="1932" spans="1:6" s="2257" customFormat="1" ht="17.25" x14ac:dyDescent="0.25">
      <c r="A1932" s="2966" t="s">
        <v>4091</v>
      </c>
      <c r="B1932" s="3099" t="s">
        <v>2043</v>
      </c>
      <c r="C1932" s="2330"/>
      <c r="D1932" s="3100"/>
      <c r="E1932" s="3101"/>
      <c r="F1932" s="3101">
        <v>20500000</v>
      </c>
    </row>
    <row r="1933" spans="1:6" s="2257" customFormat="1" ht="17.25" x14ac:dyDescent="0.25">
      <c r="A1933" s="2966" t="s">
        <v>4092</v>
      </c>
      <c r="B1933" s="3099" t="s">
        <v>2049</v>
      </c>
      <c r="C1933" s="2330"/>
      <c r="D1933" s="3100"/>
      <c r="E1933" s="3101"/>
      <c r="F1933" s="3101">
        <v>7000000</v>
      </c>
    </row>
    <row r="1934" spans="1:6" s="2257" customFormat="1" ht="17.25" x14ac:dyDescent="0.25">
      <c r="A1934" s="2966" t="s">
        <v>4093</v>
      </c>
      <c r="B1934" s="3099" t="s">
        <v>4083</v>
      </c>
      <c r="C1934" s="2330"/>
      <c r="D1934" s="3100"/>
      <c r="E1934" s="3101"/>
      <c r="F1934" s="3101">
        <v>1500000</v>
      </c>
    </row>
    <row r="1935" spans="1:6" s="2257" customFormat="1" ht="17.25" x14ac:dyDescent="0.25">
      <c r="A1935" s="2966" t="s">
        <v>4094</v>
      </c>
      <c r="B1935" s="3099" t="s">
        <v>2050</v>
      </c>
      <c r="C1935" s="2330"/>
      <c r="D1935" s="3100"/>
      <c r="E1935" s="3101"/>
      <c r="F1935" s="3101">
        <v>3000000</v>
      </c>
    </row>
    <row r="1936" spans="1:6" s="2257" customFormat="1" ht="17.25" x14ac:dyDescent="0.25">
      <c r="A1936" s="2966" t="s">
        <v>4095</v>
      </c>
      <c r="B1936" s="3102" t="s">
        <v>2039</v>
      </c>
      <c r="C1936" s="2867"/>
      <c r="D1936" s="3100"/>
      <c r="E1936" s="3101"/>
      <c r="F1936" s="3101">
        <v>1500000</v>
      </c>
    </row>
    <row r="1937" spans="1:6" s="2968" customFormat="1" ht="17.25" x14ac:dyDescent="0.25">
      <c r="A1937" s="2965">
        <v>32010102</v>
      </c>
      <c r="B1937" s="2967" t="s">
        <v>3213</v>
      </c>
      <c r="C1937" s="2857"/>
      <c r="D1937" s="3095">
        <f>SUM(D1938:D1943)</f>
        <v>0</v>
      </c>
      <c r="E1937" s="3095">
        <f>SUM(E1938:E1943)</f>
        <v>0</v>
      </c>
      <c r="F1937" s="3095">
        <f>SUM(F1938:F1943)</f>
        <v>78750000</v>
      </c>
    </row>
    <row r="1938" spans="1:6" s="2257" customFormat="1" ht="17.25" x14ac:dyDescent="0.25">
      <c r="A1938" s="2966" t="s">
        <v>4096</v>
      </c>
      <c r="B1938" s="3099" t="s">
        <v>2048</v>
      </c>
      <c r="C1938" s="2330"/>
      <c r="D1938" s="3100"/>
      <c r="E1938" s="3101"/>
      <c r="F1938" s="3101">
        <v>7000000</v>
      </c>
    </row>
    <row r="1939" spans="1:6" s="2257" customFormat="1" ht="17.25" x14ac:dyDescent="0.25">
      <c r="A1939" s="2966" t="s">
        <v>4097</v>
      </c>
      <c r="B1939" s="3099" t="s">
        <v>2046</v>
      </c>
      <c r="C1939" s="2330"/>
      <c r="D1939" s="3100"/>
      <c r="E1939" s="3101"/>
      <c r="F1939" s="3101">
        <v>4000000</v>
      </c>
    </row>
    <row r="1940" spans="1:6" s="2257" customFormat="1" ht="20.25" customHeight="1" x14ac:dyDescent="0.25">
      <c r="A1940" s="2966" t="s">
        <v>4098</v>
      </c>
      <c r="B1940" s="3102" t="s">
        <v>2036</v>
      </c>
      <c r="C1940" s="2867"/>
      <c r="D1940" s="3100"/>
      <c r="E1940" s="3101"/>
      <c r="F1940" s="3101">
        <v>58000000</v>
      </c>
    </row>
    <row r="1941" spans="1:6" s="2257" customFormat="1" ht="17.25" x14ac:dyDescent="0.25">
      <c r="A1941" s="2966" t="s">
        <v>4099</v>
      </c>
      <c r="B1941" s="3099" t="s">
        <v>2040</v>
      </c>
      <c r="C1941" s="2330"/>
      <c r="D1941" s="3100"/>
      <c r="E1941" s="3101"/>
      <c r="F1941" s="3101">
        <v>1000000</v>
      </c>
    </row>
    <row r="1942" spans="1:6" s="2257" customFormat="1" ht="17.25" x14ac:dyDescent="0.25">
      <c r="A1942" s="2966" t="s">
        <v>4100</v>
      </c>
      <c r="B1942" s="3099" t="s">
        <v>2041</v>
      </c>
      <c r="C1942" s="2330"/>
      <c r="D1942" s="3100"/>
      <c r="E1942" s="3101"/>
      <c r="F1942" s="3101">
        <v>2750000</v>
      </c>
    </row>
    <row r="1943" spans="1:6" s="2257" customFormat="1" ht="17.25" x14ac:dyDescent="0.25">
      <c r="A1943" s="2966" t="s">
        <v>4101</v>
      </c>
      <c r="B1943" s="3102" t="s">
        <v>2053</v>
      </c>
      <c r="C1943" s="2867"/>
      <c r="D1943" s="3103"/>
      <c r="E1943" s="2863"/>
      <c r="F1943" s="2863">
        <v>6000000</v>
      </c>
    </row>
    <row r="1944" spans="1:6" s="2257" customFormat="1" ht="17.25" x14ac:dyDescent="0.25">
      <c r="A1944" s="2965">
        <v>32010207</v>
      </c>
      <c r="B1944" s="3104" t="s">
        <v>3202</v>
      </c>
      <c r="C1944" s="2867"/>
      <c r="D1944" s="3095">
        <f>SUM(D1945)</f>
        <v>0</v>
      </c>
      <c r="E1944" s="3095">
        <f t="shared" ref="E1944:F1944" si="147">SUM(E1945)</f>
        <v>0</v>
      </c>
      <c r="F1944" s="3095">
        <f t="shared" si="147"/>
        <v>1000000</v>
      </c>
    </row>
    <row r="1945" spans="1:6" s="2257" customFormat="1" ht="17.25" x14ac:dyDescent="0.25">
      <c r="A1945" s="2966" t="s">
        <v>4102</v>
      </c>
      <c r="B1945" s="3102" t="s">
        <v>2037</v>
      </c>
      <c r="C1945" s="2867"/>
      <c r="D1945" s="3100"/>
      <c r="E1945" s="3101"/>
      <c r="F1945" s="3101">
        <v>1000000</v>
      </c>
    </row>
    <row r="1946" spans="1:6" s="2968" customFormat="1" ht="17.25" x14ac:dyDescent="0.25">
      <c r="A1946" s="2965">
        <v>32010211</v>
      </c>
      <c r="B1946" s="2967" t="s">
        <v>4107</v>
      </c>
      <c r="C1946" s="2857"/>
      <c r="D1946" s="3095">
        <f>SUM(D1947:D1949)</f>
        <v>0</v>
      </c>
      <c r="E1946" s="3095">
        <f t="shared" ref="E1946" si="148">SUM(E1947:E1949)</f>
        <v>0</v>
      </c>
      <c r="F1946" s="3095">
        <f>SUM(F1947:F1949)</f>
        <v>12000000</v>
      </c>
    </row>
    <row r="1947" spans="1:6" s="2257" customFormat="1" ht="17.25" x14ac:dyDescent="0.25">
      <c r="A1947" s="2966" t="s">
        <v>4104</v>
      </c>
      <c r="B1947" s="3102" t="s">
        <v>2051</v>
      </c>
      <c r="C1947" s="2867"/>
      <c r="D1947" s="3103"/>
      <c r="E1947" s="2863"/>
      <c r="F1947" s="2863">
        <v>2000000</v>
      </c>
    </row>
    <row r="1948" spans="1:6" s="2257" customFormat="1" ht="17.25" x14ac:dyDescent="0.25">
      <c r="A1948" s="2966" t="s">
        <v>4105</v>
      </c>
      <c r="B1948" s="3102" t="s">
        <v>2052</v>
      </c>
      <c r="C1948" s="2867"/>
      <c r="D1948" s="3103"/>
      <c r="E1948" s="2863"/>
      <c r="F1948" s="2863">
        <v>5000000</v>
      </c>
    </row>
    <row r="1949" spans="1:6" s="2257" customFormat="1" ht="17.25" x14ac:dyDescent="0.25">
      <c r="A1949" s="2966" t="s">
        <v>4106</v>
      </c>
      <c r="B1949" s="3102" t="s">
        <v>2054</v>
      </c>
      <c r="C1949" s="2867"/>
      <c r="D1949" s="3105"/>
      <c r="E1949" s="2859">
        <f>SUM(E1948:E1948)</f>
        <v>0</v>
      </c>
      <c r="F1949" s="2859">
        <f>SUM(F1948:F1948)</f>
        <v>5000000</v>
      </c>
    </row>
    <row r="1950" spans="1:6" s="2257" customFormat="1" ht="17.25" x14ac:dyDescent="0.25">
      <c r="A1950" s="2965">
        <v>32010600</v>
      </c>
      <c r="B1950" s="3104" t="s">
        <v>469</v>
      </c>
      <c r="C1950" s="2867"/>
      <c r="D1950" s="3095">
        <f t="shared" ref="D1950" si="149">SUM(D1951)</f>
        <v>0</v>
      </c>
      <c r="E1950" s="3095">
        <f t="shared" ref="E1950" si="150">SUM(E1951)</f>
        <v>0</v>
      </c>
      <c r="F1950" s="3095">
        <f t="shared" ref="F1950" si="151">SUM(F1951)</f>
        <v>300000</v>
      </c>
    </row>
    <row r="1951" spans="1:6" s="2257" customFormat="1" ht="17.25" x14ac:dyDescent="0.25">
      <c r="A1951" s="2966" t="s">
        <v>4103</v>
      </c>
      <c r="B1951" s="3099" t="s">
        <v>2038</v>
      </c>
      <c r="C1951" s="3099"/>
      <c r="D1951" s="3100"/>
      <c r="E1951" s="3101"/>
      <c r="F1951" s="3101">
        <v>300000</v>
      </c>
    </row>
    <row r="1952" spans="1:6" s="2257" customFormat="1" ht="18" thickBot="1" x14ac:dyDescent="0.3">
      <c r="A1952" s="2966"/>
      <c r="B1952" s="3099"/>
      <c r="C1952" s="3099"/>
      <c r="D1952" s="3106"/>
      <c r="E1952" s="3107"/>
      <c r="F1952" s="3107"/>
    </row>
    <row r="1953" spans="1:6" ht="19.5" thickBot="1" x14ac:dyDescent="0.35">
      <c r="A1953" s="3047"/>
      <c r="B1953" s="2557" t="s">
        <v>2636</v>
      </c>
      <c r="C1953" s="2557"/>
      <c r="D1953" s="3048">
        <f>SUM(D1922,D1937,D1944,D1946,D1950)</f>
        <v>0</v>
      </c>
      <c r="E1953" s="3048">
        <f t="shared" ref="E1953:F1953" si="152">SUM(E1922,E1937,E1944,E1946,E1950)</f>
        <v>0</v>
      </c>
      <c r="F1953" s="3048">
        <f t="shared" si="152"/>
        <v>2162550000</v>
      </c>
    </row>
    <row r="1954" spans="1:6" x14ac:dyDescent="0.3">
      <c r="A1954" s="3049"/>
      <c r="B1954" s="2740"/>
      <c r="C1954" s="2740"/>
      <c r="D1954" s="3050"/>
      <c r="E1954" s="3051"/>
      <c r="F1954" s="3051"/>
    </row>
    <row r="1955" spans="1:6" x14ac:dyDescent="0.3">
      <c r="A1955" s="3049"/>
      <c r="B1955" s="2740"/>
      <c r="C1955" s="2740"/>
      <c r="D1955" s="3050"/>
      <c r="E1955" s="3051"/>
      <c r="F1955" s="3051"/>
    </row>
    <row r="1956" spans="1:6" x14ac:dyDescent="0.3">
      <c r="A1956" s="3527" t="s">
        <v>81</v>
      </c>
      <c r="B1956" s="3527"/>
      <c r="C1956" s="3527"/>
      <c r="D1956" s="3527"/>
      <c r="E1956" s="3527"/>
      <c r="F1956" s="3527"/>
    </row>
    <row r="1957" spans="1:6" ht="19.5" thickBot="1" x14ac:dyDescent="0.35">
      <c r="A1957" s="3520" t="s">
        <v>1935</v>
      </c>
      <c r="B1957" s="3520"/>
      <c r="C1957" s="3520"/>
      <c r="D1957" s="3520"/>
      <c r="E1957" s="3520"/>
      <c r="F1957" s="3520"/>
    </row>
    <row r="1958" spans="1:6" s="2549" customFormat="1" ht="57" thickBot="1" x14ac:dyDescent="0.25">
      <c r="A1958" s="2548" t="s">
        <v>1</v>
      </c>
      <c r="B1958" s="2290" t="s">
        <v>282</v>
      </c>
      <c r="C1958" s="2548" t="s">
        <v>3197</v>
      </c>
      <c r="D1958" s="2292" t="s">
        <v>1174</v>
      </c>
      <c r="E1958" s="2292" t="s">
        <v>1145</v>
      </c>
      <c r="F1958" s="2292" t="s">
        <v>3096</v>
      </c>
    </row>
    <row r="1959" spans="1:6" s="2549" customFormat="1" x14ac:dyDescent="0.2">
      <c r="A1959" s="2596"/>
      <c r="B1959" s="2674"/>
      <c r="C1959" s="2596"/>
      <c r="D1959" s="3052"/>
      <c r="E1959" s="3052"/>
      <c r="F1959" s="3052"/>
    </row>
    <row r="1960" spans="1:6" x14ac:dyDescent="0.3">
      <c r="A1960" s="2712">
        <v>32010100</v>
      </c>
      <c r="B1960" s="2557" t="s">
        <v>464</v>
      </c>
      <c r="C1960" s="2558"/>
      <c r="D1960" s="3046"/>
      <c r="E1960" s="2559"/>
      <c r="F1960" s="2559"/>
    </row>
    <row r="1961" spans="1:6" x14ac:dyDescent="0.3">
      <c r="A1961" s="2712">
        <v>32010101</v>
      </c>
      <c r="B1961" s="2557" t="s">
        <v>3212</v>
      </c>
      <c r="C1961" s="2558"/>
      <c r="D1961" s="2560">
        <f>SUM(D1962:D1980)</f>
        <v>0</v>
      </c>
      <c r="E1961" s="2560">
        <f>SUM(E1962:E1980)</f>
        <v>0</v>
      </c>
      <c r="F1961" s="2560">
        <f>SUM(F1962:F1980)</f>
        <v>321165600</v>
      </c>
    </row>
    <row r="1962" spans="1:6" x14ac:dyDescent="0.3">
      <c r="A1962" s="3036" t="s">
        <v>4108</v>
      </c>
      <c r="B1962" s="1981" t="s">
        <v>2066</v>
      </c>
      <c r="C1962" s="1981"/>
      <c r="D1962" s="2822"/>
      <c r="E1962" s="2584"/>
      <c r="F1962" s="1982">
        <v>15700000</v>
      </c>
    </row>
    <row r="1963" spans="1:6" x14ac:dyDescent="0.3">
      <c r="A1963" s="3036" t="s">
        <v>4109</v>
      </c>
      <c r="B1963" s="1981" t="s">
        <v>2069</v>
      </c>
      <c r="C1963" s="1981"/>
      <c r="D1963" s="2822"/>
      <c r="E1963" s="2584"/>
      <c r="F1963" s="1982">
        <v>20000000</v>
      </c>
    </row>
    <row r="1964" spans="1:6" x14ac:dyDescent="0.3">
      <c r="A1964" s="3036" t="s">
        <v>4110</v>
      </c>
      <c r="B1964" s="1981" t="s">
        <v>2070</v>
      </c>
      <c r="C1964" s="1981"/>
      <c r="D1964" s="2822"/>
      <c r="E1964" s="2584"/>
      <c r="F1964" s="1982">
        <v>5000000</v>
      </c>
    </row>
    <row r="1965" spans="1:6" x14ac:dyDescent="0.3">
      <c r="A1965" s="3036" t="s">
        <v>4111</v>
      </c>
      <c r="B1965" s="1981" t="s">
        <v>2067</v>
      </c>
      <c r="C1965" s="1981"/>
      <c r="D1965" s="2822"/>
      <c r="E1965" s="2584"/>
      <c r="F1965" s="1982">
        <v>7000000</v>
      </c>
    </row>
    <row r="1966" spans="1:6" x14ac:dyDescent="0.3">
      <c r="A1966" s="3036" t="s">
        <v>4112</v>
      </c>
      <c r="B1966" s="1981" t="s">
        <v>2068</v>
      </c>
      <c r="C1966" s="1981"/>
      <c r="D1966" s="2822"/>
      <c r="E1966" s="2584"/>
      <c r="F1966" s="1982">
        <v>20000000</v>
      </c>
    </row>
    <row r="1967" spans="1:6" x14ac:dyDescent="0.3">
      <c r="A1967" s="3036" t="s">
        <v>4113</v>
      </c>
      <c r="B1967" s="1981" t="s">
        <v>2073</v>
      </c>
      <c r="C1967" s="1981"/>
      <c r="D1967" s="2822"/>
      <c r="E1967" s="2584"/>
      <c r="F1967" s="1982">
        <v>40965600</v>
      </c>
    </row>
    <row r="1968" spans="1:6" x14ac:dyDescent="0.3">
      <c r="A1968" s="3036" t="s">
        <v>4114</v>
      </c>
      <c r="B1968" s="1981" t="s">
        <v>2075</v>
      </c>
      <c r="C1968" s="1981"/>
      <c r="D1968" s="2822"/>
      <c r="E1968" s="2584"/>
      <c r="F1968" s="1982">
        <v>10000000</v>
      </c>
    </row>
    <row r="1969" spans="1:6" x14ac:dyDescent="0.3">
      <c r="A1969" s="3036" t="s">
        <v>4115</v>
      </c>
      <c r="B1969" s="1981" t="s">
        <v>2077</v>
      </c>
      <c r="C1969" s="1981"/>
      <c r="D1969" s="2822"/>
      <c r="E1969" s="2584"/>
      <c r="F1969" s="1982">
        <v>15000000</v>
      </c>
    </row>
    <row r="1970" spans="1:6" x14ac:dyDescent="0.3">
      <c r="A1970" s="3036" t="s">
        <v>4116</v>
      </c>
      <c r="B1970" s="1981" t="s">
        <v>2079</v>
      </c>
      <c r="C1970" s="1981"/>
      <c r="D1970" s="2822"/>
      <c r="E1970" s="2584"/>
      <c r="F1970" s="1982">
        <v>10000000</v>
      </c>
    </row>
    <row r="1971" spans="1:6" x14ac:dyDescent="0.3">
      <c r="A1971" s="3036" t="s">
        <v>4117</v>
      </c>
      <c r="B1971" s="1981" t="s">
        <v>2080</v>
      </c>
      <c r="C1971" s="1981"/>
      <c r="D1971" s="2822"/>
      <c r="E1971" s="2584"/>
      <c r="F1971" s="1982">
        <v>3500000</v>
      </c>
    </row>
    <row r="1972" spans="1:6" x14ac:dyDescent="0.3">
      <c r="A1972" s="3036" t="s">
        <v>4118</v>
      </c>
      <c r="B1972" s="1981" t="s">
        <v>2071</v>
      </c>
      <c r="C1972" s="1981"/>
      <c r="D1972" s="2822"/>
      <c r="E1972" s="2584"/>
      <c r="F1972" s="1982">
        <v>58000000</v>
      </c>
    </row>
    <row r="1973" spans="1:6" x14ac:dyDescent="0.3">
      <c r="A1973" s="3036" t="s">
        <v>4119</v>
      </c>
      <c r="B1973" s="1981" t="s">
        <v>2074</v>
      </c>
      <c r="C1973" s="1981"/>
      <c r="D1973" s="2822"/>
      <c r="E1973" s="2584"/>
      <c r="F1973" s="1982">
        <v>20000000</v>
      </c>
    </row>
    <row r="1974" spans="1:6" x14ac:dyDescent="0.3">
      <c r="A1974" s="3036" t="s">
        <v>4120</v>
      </c>
      <c r="B1974" s="1981" t="s">
        <v>2078</v>
      </c>
      <c r="C1974" s="1981"/>
      <c r="D1974" s="2822"/>
      <c r="E1974" s="2584"/>
      <c r="F1974" s="1982">
        <v>9000000</v>
      </c>
    </row>
    <row r="1975" spans="1:6" x14ac:dyDescent="0.3">
      <c r="A1975" s="3036" t="s">
        <v>4121</v>
      </c>
      <c r="B1975" s="1981" t="s">
        <v>2082</v>
      </c>
      <c r="C1975" s="1981"/>
      <c r="D1975" s="2822"/>
      <c r="E1975" s="2584"/>
      <c r="F1975" s="1982">
        <v>15000000</v>
      </c>
    </row>
    <row r="1976" spans="1:6" x14ac:dyDescent="0.3">
      <c r="A1976" s="3036" t="s">
        <v>4122</v>
      </c>
      <c r="B1976" s="1981" t="s">
        <v>4285</v>
      </c>
      <c r="C1976" s="1981"/>
      <c r="D1976" s="2822"/>
      <c r="E1976" s="2584"/>
      <c r="F1976" s="1982">
        <v>15000000</v>
      </c>
    </row>
    <row r="1977" spans="1:6" x14ac:dyDescent="0.3">
      <c r="A1977" s="3036" t="s">
        <v>4123</v>
      </c>
      <c r="B1977" s="1981" t="s">
        <v>2085</v>
      </c>
      <c r="C1977" s="1981"/>
      <c r="D1977" s="2822"/>
      <c r="E1977" s="2584"/>
      <c r="F1977" s="1983">
        <v>13000000</v>
      </c>
    </row>
    <row r="1978" spans="1:6" x14ac:dyDescent="0.3">
      <c r="A1978" s="3036" t="s">
        <v>4124</v>
      </c>
      <c r="B1978" s="1981" t="s">
        <v>4286</v>
      </c>
      <c r="C1978" s="1981"/>
      <c r="D1978" s="2822"/>
      <c r="E1978" s="2584"/>
      <c r="F1978" s="1982">
        <v>5000000</v>
      </c>
    </row>
    <row r="1979" spans="1:6" x14ac:dyDescent="0.3">
      <c r="A1979" s="3036" t="s">
        <v>4125</v>
      </c>
      <c r="B1979" s="1981" t="s">
        <v>2084</v>
      </c>
      <c r="C1979" s="1981"/>
      <c r="D1979" s="2822"/>
      <c r="E1979" s="2584"/>
      <c r="F1979" s="1982">
        <v>15000000</v>
      </c>
    </row>
    <row r="1980" spans="1:6" x14ac:dyDescent="0.3">
      <c r="A1980" s="3036" t="s">
        <v>4126</v>
      </c>
      <c r="B1980" s="1981" t="s">
        <v>2081</v>
      </c>
      <c r="C1980" s="1981"/>
      <c r="D1980" s="2822"/>
      <c r="E1980" s="2584"/>
      <c r="F1980" s="1982">
        <v>24000000</v>
      </c>
    </row>
    <row r="1981" spans="1:6" x14ac:dyDescent="0.3">
      <c r="A1981" s="2712">
        <v>32010102</v>
      </c>
      <c r="B1981" s="2557" t="s">
        <v>3213</v>
      </c>
      <c r="C1981" s="1981"/>
      <c r="D1981" s="2560">
        <f>SUM(D1983:D1983)</f>
        <v>0</v>
      </c>
      <c r="E1981" s="2560">
        <f>SUM(E1983:E1983)</f>
        <v>0</v>
      </c>
      <c r="F1981" s="2560">
        <f>SUM(F1982:F1984)</f>
        <v>55000000</v>
      </c>
    </row>
    <row r="1982" spans="1:6" x14ac:dyDescent="0.3">
      <c r="A1982" s="3036" t="s">
        <v>4127</v>
      </c>
      <c r="B1982" s="2563" t="s">
        <v>2083</v>
      </c>
      <c r="C1982" s="1981"/>
      <c r="D1982" s="2822"/>
      <c r="E1982" s="2584"/>
      <c r="F1982" s="2584">
        <v>40000000</v>
      </c>
    </row>
    <row r="1983" spans="1:6" x14ac:dyDescent="0.3">
      <c r="A1983" s="3036" t="s">
        <v>4128</v>
      </c>
      <c r="B1983" s="2563" t="s">
        <v>2072</v>
      </c>
      <c r="C1983" s="1981"/>
      <c r="D1983" s="2822"/>
      <c r="E1983" s="2584"/>
      <c r="F1983" s="2584">
        <v>10000000</v>
      </c>
    </row>
    <row r="1984" spans="1:6" x14ac:dyDescent="0.3">
      <c r="A1984" s="3036" t="s">
        <v>4129</v>
      </c>
      <c r="B1984" s="2563" t="s">
        <v>2076</v>
      </c>
      <c r="C1984" s="1981"/>
      <c r="D1984" s="2822"/>
      <c r="E1984" s="2584"/>
      <c r="F1984" s="2584">
        <v>5000000</v>
      </c>
    </row>
    <row r="1985" spans="1:6" x14ac:dyDescent="0.3">
      <c r="A1985" s="2712">
        <v>32010202</v>
      </c>
      <c r="B1985" s="2557" t="s">
        <v>3199</v>
      </c>
      <c r="C1985" s="2669"/>
      <c r="D1985" s="2560">
        <f>SUM(D1986)</f>
        <v>0</v>
      </c>
      <c r="E1985" s="2560">
        <f>SUM(E1986)</f>
        <v>0</v>
      </c>
      <c r="F1985" s="2560">
        <f>SUM(F1986:F1987)</f>
        <v>30000000</v>
      </c>
    </row>
    <row r="1986" spans="1:6" x14ac:dyDescent="0.3">
      <c r="A1986" s="3036" t="s">
        <v>4130</v>
      </c>
      <c r="B1986" s="2563" t="s">
        <v>2087</v>
      </c>
      <c r="C1986" s="1981"/>
      <c r="D1986" s="2822"/>
      <c r="E1986" s="2584"/>
      <c r="F1986" s="2584">
        <v>25000000</v>
      </c>
    </row>
    <row r="1987" spans="1:6" x14ac:dyDescent="0.3">
      <c r="A1987" s="3036" t="s">
        <v>4131</v>
      </c>
      <c r="B1987" s="2563" t="s">
        <v>2088</v>
      </c>
      <c r="C1987" s="1981"/>
      <c r="D1987" s="2822" t="s">
        <v>179</v>
      </c>
      <c r="E1987" s="2584"/>
      <c r="F1987" s="2584">
        <v>5000000</v>
      </c>
    </row>
    <row r="1988" spans="1:6" x14ac:dyDescent="0.3">
      <c r="A1988" s="2712">
        <v>32010208</v>
      </c>
      <c r="B1988" s="2557" t="s">
        <v>3702</v>
      </c>
      <c r="C1988" s="2558"/>
      <c r="D1988" s="2600">
        <f>SUM(D1989:D1989)</f>
        <v>0</v>
      </c>
      <c r="E1988" s="2600">
        <f>SUM(E1989:E1989)</f>
        <v>0</v>
      </c>
      <c r="F1988" s="2600">
        <f>SUM(F1989:F1989)</f>
        <v>3000000</v>
      </c>
    </row>
    <row r="1989" spans="1:6" x14ac:dyDescent="0.3">
      <c r="A1989" s="3036" t="s">
        <v>4132</v>
      </c>
      <c r="B1989" s="2563" t="s">
        <v>2086</v>
      </c>
      <c r="C1989" s="1981"/>
      <c r="D1989" s="2822"/>
      <c r="E1989" s="2584"/>
      <c r="F1989" s="2584">
        <v>3000000</v>
      </c>
    </row>
    <row r="1990" spans="1:6" s="2599" customFormat="1" x14ac:dyDescent="0.3">
      <c r="A1990" s="170">
        <v>32010211</v>
      </c>
      <c r="B1990" s="2557" t="s">
        <v>4107</v>
      </c>
      <c r="C1990" s="2558"/>
      <c r="D1990" s="2809">
        <f>SUM(D1991:D2000)</f>
        <v>0</v>
      </c>
      <c r="E1990" s="2809">
        <f>SUM(E1991:E2000)</f>
        <v>0</v>
      </c>
      <c r="F1990" s="2809">
        <f>SUM(F1991:F2000)</f>
        <v>68500000</v>
      </c>
    </row>
    <row r="1991" spans="1:6" x14ac:dyDescent="0.3">
      <c r="A1991" s="3036" t="s">
        <v>4133</v>
      </c>
      <c r="B1991" s="3043" t="s">
        <v>2055</v>
      </c>
      <c r="C1991" s="2669"/>
      <c r="D1991" s="3046"/>
      <c r="E1991" s="2559"/>
      <c r="F1991" s="2559">
        <v>15000000</v>
      </c>
    </row>
    <row r="1992" spans="1:6" x14ac:dyDescent="0.3">
      <c r="A1992" s="3036" t="s">
        <v>4134</v>
      </c>
      <c r="B1992" s="3043" t="s">
        <v>2060</v>
      </c>
      <c r="C1992" s="2669"/>
      <c r="D1992" s="3046"/>
      <c r="E1992" s="2559"/>
      <c r="F1992" s="2559">
        <v>6000000</v>
      </c>
    </row>
    <row r="1993" spans="1:6" x14ac:dyDescent="0.3">
      <c r="A1993" s="3036" t="s">
        <v>4135</v>
      </c>
      <c r="B1993" s="3043" t="s">
        <v>2062</v>
      </c>
      <c r="C1993" s="2669"/>
      <c r="D1993" s="3046"/>
      <c r="E1993" s="2559"/>
      <c r="F1993" s="2559">
        <v>5000000</v>
      </c>
    </row>
    <row r="1994" spans="1:6" x14ac:dyDescent="0.3">
      <c r="A1994" s="3036" t="s">
        <v>4136</v>
      </c>
      <c r="B1994" s="3043" t="s">
        <v>2063</v>
      </c>
      <c r="C1994" s="2669"/>
      <c r="D1994" s="3046"/>
      <c r="E1994" s="2559"/>
      <c r="F1994" s="2559">
        <v>5000000</v>
      </c>
    </row>
    <row r="1995" spans="1:6" x14ac:dyDescent="0.3">
      <c r="A1995" s="3036" t="s">
        <v>4267</v>
      </c>
      <c r="B1995" s="3043" t="s">
        <v>2056</v>
      </c>
      <c r="C1995" s="2669"/>
      <c r="D1995" s="3046"/>
      <c r="E1995" s="2559"/>
      <c r="F1995" s="2559">
        <v>3500000</v>
      </c>
    </row>
    <row r="1996" spans="1:6" x14ac:dyDescent="0.3">
      <c r="A1996" s="3036" t="s">
        <v>4268</v>
      </c>
      <c r="B1996" s="3043" t="s">
        <v>2057</v>
      </c>
      <c r="C1996" s="2669"/>
      <c r="D1996" s="3046"/>
      <c r="E1996" s="2559"/>
      <c r="F1996" s="2559">
        <v>6000000</v>
      </c>
    </row>
    <row r="1997" spans="1:6" x14ac:dyDescent="0.3">
      <c r="A1997" s="3036" t="s">
        <v>4137</v>
      </c>
      <c r="B1997" s="3043" t="s">
        <v>2058</v>
      </c>
      <c r="C1997" s="2669"/>
      <c r="D1997" s="3046"/>
      <c r="E1997" s="2559"/>
      <c r="F1997" s="2559">
        <v>15000000</v>
      </c>
    </row>
    <row r="1998" spans="1:6" x14ac:dyDescent="0.3">
      <c r="A1998" s="3036" t="s">
        <v>4138</v>
      </c>
      <c r="B1998" s="3043" t="s">
        <v>2059</v>
      </c>
      <c r="C1998" s="2669"/>
      <c r="D1998" s="3046"/>
      <c r="E1998" s="2559"/>
      <c r="F1998" s="2559">
        <v>5000000</v>
      </c>
    </row>
    <row r="1999" spans="1:6" x14ac:dyDescent="0.3">
      <c r="A1999" s="3036" t="s">
        <v>4139</v>
      </c>
      <c r="B1999" s="3043" t="s">
        <v>2064</v>
      </c>
      <c r="C1999" s="2669"/>
      <c r="D1999" s="3046"/>
      <c r="E1999" s="2559"/>
      <c r="F1999" s="2559">
        <v>3000000</v>
      </c>
    </row>
    <row r="2000" spans="1:6" x14ac:dyDescent="0.3">
      <c r="A2000" s="3036" t="s">
        <v>4140</v>
      </c>
      <c r="B2000" s="3043" t="s">
        <v>2065</v>
      </c>
      <c r="C2000" s="2669"/>
      <c r="D2000" s="3046"/>
      <c r="E2000" s="2559"/>
      <c r="F2000" s="2559">
        <v>5000000</v>
      </c>
    </row>
    <row r="2001" spans="1:6" x14ac:dyDescent="0.3">
      <c r="A2001" s="2712">
        <v>32010501</v>
      </c>
      <c r="B2001" s="2557" t="s">
        <v>3639</v>
      </c>
      <c r="C2001" s="2669"/>
      <c r="D2001" s="2560">
        <f>SUM(D2002)</f>
        <v>0</v>
      </c>
      <c r="E2001" s="2560">
        <f>SUM(E2002)</f>
        <v>0</v>
      </c>
      <c r="F2001" s="2560">
        <f>SUM(F2002)</f>
        <v>6000000</v>
      </c>
    </row>
    <row r="2002" spans="1:6" x14ac:dyDescent="0.3">
      <c r="A2002" s="3036" t="s">
        <v>4141</v>
      </c>
      <c r="B2002" s="3043" t="s">
        <v>4146</v>
      </c>
      <c r="C2002" s="2669"/>
      <c r="D2002" s="3046"/>
      <c r="E2002" s="2559"/>
      <c r="F2002" s="2559">
        <v>6000000</v>
      </c>
    </row>
    <row r="2003" spans="1:6" x14ac:dyDescent="0.3">
      <c r="A2003" s="2989">
        <v>32010510</v>
      </c>
      <c r="B2003" s="2599" t="s">
        <v>3453</v>
      </c>
      <c r="D2003" s="2560">
        <f>SUM(D2004)</f>
        <v>0</v>
      </c>
      <c r="E2003" s="2560">
        <f>SUM(E2004)</f>
        <v>0</v>
      </c>
      <c r="F2003" s="2560">
        <f>SUM(F2004)</f>
        <v>5000000</v>
      </c>
    </row>
    <row r="2004" spans="1:6" x14ac:dyDescent="0.3">
      <c r="A2004" s="3036" t="s">
        <v>4142</v>
      </c>
      <c r="B2004" s="3043" t="s">
        <v>2061</v>
      </c>
      <c r="C2004" s="2669"/>
      <c r="D2004" s="3046"/>
      <c r="E2004" s="2559"/>
      <c r="F2004" s="2559">
        <v>5000000</v>
      </c>
    </row>
    <row r="2005" spans="1:6" x14ac:dyDescent="0.3">
      <c r="A2005" s="2712">
        <v>32010600</v>
      </c>
      <c r="B2005" s="2557" t="s">
        <v>469</v>
      </c>
      <c r="C2005" s="2558"/>
      <c r="D2005" s="3046"/>
      <c r="E2005" s="2559"/>
      <c r="F2005" s="2559"/>
    </row>
    <row r="2006" spans="1:6" x14ac:dyDescent="0.3">
      <c r="A2006" s="2712">
        <v>32010601</v>
      </c>
      <c r="B2006" s="2557" t="s">
        <v>3479</v>
      </c>
      <c r="C2006" s="2558"/>
      <c r="D2006" s="2560">
        <f>SUM(D2007:D2008)</f>
        <v>0</v>
      </c>
      <c r="E2006" s="2560">
        <f>SUM(E2007:E2008)</f>
        <v>0</v>
      </c>
      <c r="F2006" s="2560">
        <f>SUM(F2007:F2008)</f>
        <v>23000000</v>
      </c>
    </row>
    <row r="2007" spans="1:6" x14ac:dyDescent="0.3">
      <c r="A2007" s="3036" t="s">
        <v>4143</v>
      </c>
      <c r="B2007" s="2563" t="s">
        <v>2641</v>
      </c>
      <c r="C2007" s="1981"/>
      <c r="D2007" s="2822" t="s">
        <v>179</v>
      </c>
      <c r="E2007" s="2559"/>
      <c r="F2007" s="2584">
        <v>3000000</v>
      </c>
    </row>
    <row r="2008" spans="1:6" x14ac:dyDescent="0.3">
      <c r="A2008" s="3036" t="s">
        <v>4144</v>
      </c>
      <c r="B2008" s="2563" t="s">
        <v>2089</v>
      </c>
      <c r="C2008" s="1981"/>
      <c r="D2008" s="2822"/>
      <c r="E2008" s="2559"/>
      <c r="F2008" s="2584">
        <v>20000000</v>
      </c>
    </row>
    <row r="2009" spans="1:6" x14ac:dyDescent="0.3">
      <c r="A2009" s="2712">
        <v>320301</v>
      </c>
      <c r="B2009" s="2565" t="s">
        <v>472</v>
      </c>
      <c r="C2009" s="2566"/>
      <c r="D2009" s="2822"/>
      <c r="E2009" s="2556"/>
      <c r="F2009" s="2584"/>
    </row>
    <row r="2010" spans="1:6" x14ac:dyDescent="0.3">
      <c r="A2010" s="2712">
        <v>32030109</v>
      </c>
      <c r="B2010" s="2565" t="s">
        <v>3517</v>
      </c>
      <c r="C2010" s="2566"/>
      <c r="D2010" s="2560">
        <f>SUM(D2011:D2013)</f>
        <v>0</v>
      </c>
      <c r="E2010" s="2560">
        <f>SUM(E2011:E2013)</f>
        <v>0</v>
      </c>
      <c r="F2010" s="2560">
        <f>SUM(F2011:F2013)</f>
        <v>50000000</v>
      </c>
    </row>
    <row r="2011" spans="1:6" x14ac:dyDescent="0.3">
      <c r="A2011" s="3036" t="s">
        <v>4145</v>
      </c>
      <c r="B2011" s="2563" t="s">
        <v>2090</v>
      </c>
      <c r="C2011" s="1981"/>
      <c r="D2011" s="2822"/>
      <c r="E2011" s="2584"/>
      <c r="F2011" s="2584">
        <v>6000000</v>
      </c>
    </row>
    <row r="2012" spans="1:6" x14ac:dyDescent="0.3">
      <c r="A2012" s="3036" t="s">
        <v>4287</v>
      </c>
      <c r="B2012" s="2563" t="s">
        <v>2091</v>
      </c>
      <c r="C2012" s="1981"/>
      <c r="D2012" s="2822"/>
      <c r="E2012" s="2584"/>
      <c r="F2012" s="2584">
        <v>4000000</v>
      </c>
    </row>
    <row r="2013" spans="1:6" x14ac:dyDescent="0.3">
      <c r="A2013" s="3036" t="s">
        <v>4288</v>
      </c>
      <c r="B2013" s="2563" t="s">
        <v>2092</v>
      </c>
      <c r="C2013" s="1981"/>
      <c r="D2013" s="2822">
        <v>0</v>
      </c>
      <c r="E2013" s="2584">
        <v>0</v>
      </c>
      <c r="F2013" s="2584">
        <v>40000000</v>
      </c>
    </row>
    <row r="2014" spans="1:6" ht="19.5" thickBot="1" x14ac:dyDescent="0.35">
      <c r="A2014" s="2704"/>
      <c r="B2014" s="2565"/>
      <c r="C2014" s="2566"/>
      <c r="D2014" s="3053"/>
      <c r="E2014" s="2772"/>
      <c r="F2014" s="2772"/>
    </row>
    <row r="2015" spans="1:6" ht="19.5" thickBot="1" x14ac:dyDescent="0.35">
      <c r="A2015" s="2712"/>
      <c r="B2015" s="2565" t="s">
        <v>2637</v>
      </c>
      <c r="C2015" s="2607"/>
      <c r="D2015" s="3054">
        <f>SUM(D1990,D2001,D1985,D1961,D1981,D1988,D2003,D2006,D2010)</f>
        <v>0</v>
      </c>
      <c r="E2015" s="3054">
        <f>SUM(E1990,E2001,E1985,E1961,E1981,E1988,E2003,E2006,E2010)</f>
        <v>0</v>
      </c>
      <c r="F2015" s="3055">
        <f>SUM(F1990,F2001,F1985,F1961,F1981,F1988,F2003,F2006,F2010)</f>
        <v>561665600</v>
      </c>
    </row>
    <row r="2016" spans="1:6" x14ac:dyDescent="0.3">
      <c r="A2016" s="169"/>
      <c r="D2016" s="3056"/>
    </row>
    <row r="2017" spans="1:6" x14ac:dyDescent="0.3">
      <c r="A2017" s="169"/>
      <c r="D2017" s="3056"/>
    </row>
    <row r="2018" spans="1:6" x14ac:dyDescent="0.3">
      <c r="A2018" s="169"/>
      <c r="D2018" s="3056"/>
    </row>
    <row r="2019" spans="1:6" x14ac:dyDescent="0.3">
      <c r="A2019" s="169"/>
      <c r="D2019" s="3056"/>
    </row>
    <row r="2020" spans="1:6" x14ac:dyDescent="0.3">
      <c r="A2020" s="3527" t="s">
        <v>81</v>
      </c>
      <c r="B2020" s="3527"/>
      <c r="C2020" s="3527"/>
      <c r="D2020" s="3527"/>
      <c r="E2020" s="3527"/>
      <c r="F2020" s="3527"/>
    </row>
    <row r="2021" spans="1:6" ht="19.5" thickBot="1" x14ac:dyDescent="0.35">
      <c r="A2021" s="3520" t="s">
        <v>2093</v>
      </c>
      <c r="B2021" s="3520"/>
      <c r="C2021" s="3520"/>
      <c r="D2021" s="3520"/>
      <c r="E2021" s="3520"/>
      <c r="F2021" s="3520"/>
    </row>
    <row r="2022" spans="1:6" s="2549" customFormat="1" ht="57" thickBot="1" x14ac:dyDescent="0.25">
      <c r="A2022" s="2548" t="s">
        <v>1</v>
      </c>
      <c r="B2022" s="2290" t="s">
        <v>282</v>
      </c>
      <c r="C2022" s="2548" t="s">
        <v>3197</v>
      </c>
      <c r="D2022" s="2292" t="s">
        <v>1174</v>
      </c>
      <c r="E2022" s="2292" t="s">
        <v>1145</v>
      </c>
      <c r="F2022" s="2292" t="s">
        <v>3096</v>
      </c>
    </row>
    <row r="2023" spans="1:6" s="2549" customFormat="1" x14ac:dyDescent="0.2">
      <c r="A2023" s="2841"/>
      <c r="B2023" s="2664"/>
      <c r="C2023" s="2841"/>
      <c r="D2023" s="2729"/>
      <c r="E2023" s="2729"/>
      <c r="F2023" s="2729"/>
    </row>
    <row r="2024" spans="1:6" x14ac:dyDescent="0.3">
      <c r="A2024" s="2712">
        <v>32010211</v>
      </c>
      <c r="B2024" s="2558" t="s">
        <v>4149</v>
      </c>
      <c r="C2024" s="2558"/>
      <c r="D2024" s="2806">
        <f>SUM(D2025:D2025)</f>
        <v>0</v>
      </c>
      <c r="E2024" s="2560">
        <f>SUM(E2025:E2025)</f>
        <v>0</v>
      </c>
      <c r="F2024" s="2560">
        <f>SUM(F2025:F2025)</f>
        <v>25750000</v>
      </c>
    </row>
    <row r="2025" spans="1:6" x14ac:dyDescent="0.3">
      <c r="A2025" s="2720" t="s">
        <v>4147</v>
      </c>
      <c r="B2025" s="2669" t="s">
        <v>4154</v>
      </c>
      <c r="C2025" s="2669"/>
      <c r="D2025" s="3046"/>
      <c r="E2025" s="2559"/>
      <c r="F2025" s="2559">
        <v>25750000</v>
      </c>
    </row>
    <row r="2026" spans="1:6" x14ac:dyDescent="0.3">
      <c r="A2026" s="2712">
        <v>32010900</v>
      </c>
      <c r="B2026" s="2566" t="s">
        <v>470</v>
      </c>
      <c r="C2026" s="2566"/>
      <c r="D2026" s="2600"/>
      <c r="E2026" s="2600"/>
      <c r="F2026" s="2600"/>
    </row>
    <row r="2027" spans="1:6" x14ac:dyDescent="0.3">
      <c r="A2027" s="2712">
        <v>32010904</v>
      </c>
      <c r="B2027" s="2566" t="s">
        <v>4080</v>
      </c>
      <c r="C2027" s="2566"/>
      <c r="D2027" s="2600">
        <f>SUM(D2028:D2029)</f>
        <v>0</v>
      </c>
      <c r="E2027" s="2600">
        <f t="shared" ref="E2027:F2027" si="153">SUM(E2028:E2029)</f>
        <v>0</v>
      </c>
      <c r="F2027" s="2600">
        <f t="shared" si="153"/>
        <v>200000000</v>
      </c>
    </row>
    <row r="2028" spans="1:6" s="2599" customFormat="1" x14ac:dyDescent="0.3">
      <c r="A2028" s="2720" t="s">
        <v>4148</v>
      </c>
      <c r="B2028" s="2673" t="s">
        <v>2094</v>
      </c>
      <c r="C2028" s="2673"/>
      <c r="D2028" s="3057"/>
      <c r="E2028" s="2665"/>
      <c r="F2028" s="2556">
        <v>200000000</v>
      </c>
    </row>
    <row r="2029" spans="1:6" x14ac:dyDescent="0.3">
      <c r="A2029" s="2720" t="s">
        <v>4150</v>
      </c>
      <c r="B2029" s="2673" t="s">
        <v>2470</v>
      </c>
      <c r="C2029" s="2673"/>
      <c r="D2029" s="3057"/>
      <c r="E2029" s="2691"/>
      <c r="F2029" s="2691">
        <v>0</v>
      </c>
    </row>
    <row r="2030" spans="1:6" s="2599" customFormat="1" x14ac:dyDescent="0.3">
      <c r="A2030" s="2712"/>
      <c r="B2030" s="2558"/>
      <c r="C2030" s="2558"/>
      <c r="D2030" s="2806"/>
      <c r="E2030" s="2560"/>
      <c r="F2030" s="2560"/>
    </row>
    <row r="2031" spans="1:6" x14ac:dyDescent="0.3">
      <c r="A2031" s="2712"/>
      <c r="B2031" s="2566" t="s">
        <v>2638</v>
      </c>
      <c r="C2031" s="2566"/>
      <c r="D2031" s="2809">
        <f>SUM(D2024,D2027)</f>
        <v>0</v>
      </c>
      <c r="E2031" s="2809">
        <f t="shared" ref="E2031:F2031" si="154">SUM(E2024,E2027)</f>
        <v>0</v>
      </c>
      <c r="F2031" s="2809">
        <f t="shared" si="154"/>
        <v>225750000</v>
      </c>
    </row>
    <row r="2032" spans="1:6" x14ac:dyDescent="0.3">
      <c r="A2032" s="3040"/>
      <c r="B2032" s="2577"/>
      <c r="C2032" s="2577"/>
      <c r="D2032" s="3045"/>
      <c r="E2032" s="3045"/>
      <c r="F2032" s="3045"/>
    </row>
    <row r="2033" spans="1:6" x14ac:dyDescent="0.3">
      <c r="A2033" s="3040"/>
      <c r="B2033" s="2577"/>
      <c r="C2033" s="2577"/>
      <c r="D2033" s="3045"/>
      <c r="E2033" s="3045"/>
      <c r="F2033" s="3045"/>
    </row>
    <row r="2034" spans="1:6" x14ac:dyDescent="0.3">
      <c r="A2034" s="3517" t="s">
        <v>81</v>
      </c>
      <c r="B2034" s="3517"/>
      <c r="C2034" s="3517"/>
      <c r="D2034" s="3517"/>
      <c r="E2034" s="3517"/>
      <c r="F2034" s="3517"/>
    </row>
    <row r="2035" spans="1:6" ht="19.5" thickBot="1" x14ac:dyDescent="0.35">
      <c r="A2035" s="3526" t="s">
        <v>1800</v>
      </c>
      <c r="B2035" s="3526"/>
      <c r="C2035" s="3526"/>
      <c r="D2035" s="3526"/>
      <c r="E2035" s="3526"/>
      <c r="F2035" s="3526"/>
    </row>
    <row r="2036" spans="1:6" s="2549" customFormat="1" ht="57" thickBot="1" x14ac:dyDescent="0.25">
      <c r="A2036" s="2548" t="s">
        <v>1</v>
      </c>
      <c r="B2036" s="2290" t="s">
        <v>282</v>
      </c>
      <c r="C2036" s="2548" t="s">
        <v>3197</v>
      </c>
      <c r="D2036" s="2292" t="s">
        <v>1174</v>
      </c>
      <c r="E2036" s="2292" t="s">
        <v>1145</v>
      </c>
      <c r="F2036" s="2292" t="s">
        <v>3096</v>
      </c>
    </row>
    <row r="2037" spans="1:6" x14ac:dyDescent="0.3">
      <c r="A2037" s="2955"/>
      <c r="B2037" s="3058" t="s">
        <v>1801</v>
      </c>
      <c r="C2037" s="3058"/>
      <c r="D2037" s="2698"/>
      <c r="E2037" s="2552"/>
      <c r="F2037" s="2552"/>
    </row>
    <row r="2038" spans="1:6" x14ac:dyDescent="0.3">
      <c r="A2038" s="3059">
        <v>32010100</v>
      </c>
      <c r="B2038" s="2558" t="s">
        <v>464</v>
      </c>
      <c r="C2038" s="2558"/>
      <c r="D2038" s="2559"/>
      <c r="E2038" s="2559"/>
      <c r="F2038" s="2559"/>
    </row>
    <row r="2039" spans="1:6" x14ac:dyDescent="0.3">
      <c r="A2039" s="3059">
        <v>32010101</v>
      </c>
      <c r="B2039" s="2558" t="s">
        <v>3212</v>
      </c>
      <c r="C2039" s="2558"/>
      <c r="D2039" s="2560">
        <f>SUM(D2040:D2042)</f>
        <v>0</v>
      </c>
      <c r="E2039" s="2560">
        <f>SUM(E2040:E2042)</f>
        <v>0</v>
      </c>
      <c r="F2039" s="2560">
        <f>SUM(F2040:F2042)</f>
        <v>120000000</v>
      </c>
    </row>
    <row r="2040" spans="1:6" x14ac:dyDescent="0.3">
      <c r="A2040" s="2621" t="s">
        <v>4151</v>
      </c>
      <c r="B2040" s="1981" t="s">
        <v>1802</v>
      </c>
      <c r="C2040" s="1981"/>
      <c r="D2040" s="2584" t="s">
        <v>179</v>
      </c>
      <c r="E2040" s="2584" t="s">
        <v>179</v>
      </c>
      <c r="F2040" s="2584">
        <v>70000000</v>
      </c>
    </row>
    <row r="2041" spans="1:6" x14ac:dyDescent="0.3">
      <c r="A2041" s="2621" t="s">
        <v>4152</v>
      </c>
      <c r="B2041" s="1981" t="s">
        <v>1803</v>
      </c>
      <c r="C2041" s="1981"/>
      <c r="D2041" s="2584" t="s">
        <v>179</v>
      </c>
      <c r="E2041" s="2584" t="s">
        <v>179</v>
      </c>
      <c r="F2041" s="2584">
        <v>20000000</v>
      </c>
    </row>
    <row r="2042" spans="1:6" x14ac:dyDescent="0.3">
      <c r="A2042" s="2621" t="s">
        <v>4153</v>
      </c>
      <c r="B2042" s="1981" t="s">
        <v>1804</v>
      </c>
      <c r="C2042" s="1981"/>
      <c r="D2042" s="2584" t="s">
        <v>179</v>
      </c>
      <c r="E2042" s="2584" t="s">
        <v>179</v>
      </c>
      <c r="F2042" s="2584">
        <v>30000000</v>
      </c>
    </row>
    <row r="2043" spans="1:6" x14ac:dyDescent="0.3">
      <c r="A2043" s="3059">
        <v>32010400</v>
      </c>
      <c r="B2043" s="2558" t="s">
        <v>467</v>
      </c>
      <c r="C2043" s="2558"/>
      <c r="D2043" s="2559"/>
      <c r="E2043" s="2559"/>
      <c r="F2043" s="2559"/>
    </row>
    <row r="2044" spans="1:6" x14ac:dyDescent="0.3">
      <c r="A2044" s="2849">
        <v>32010405</v>
      </c>
      <c r="B2044" s="2558" t="s">
        <v>3452</v>
      </c>
      <c r="C2044" s="2558"/>
      <c r="D2044" s="2560">
        <f>SUM(D2045)</f>
        <v>0</v>
      </c>
      <c r="E2044" s="2560">
        <f t="shared" ref="E2044" si="155">SUM(E2045)</f>
        <v>0</v>
      </c>
      <c r="F2044" s="2560">
        <f>SUM(F2045)</f>
        <v>48000000</v>
      </c>
    </row>
    <row r="2045" spans="1:6" x14ac:dyDescent="0.3">
      <c r="A2045" s="2621" t="s">
        <v>4155</v>
      </c>
      <c r="B2045" s="1981" t="s">
        <v>1805</v>
      </c>
      <c r="C2045" s="1981"/>
      <c r="D2045" s="2559" t="s">
        <v>179</v>
      </c>
      <c r="E2045" s="2559" t="s">
        <v>179</v>
      </c>
      <c r="F2045" s="2584">
        <v>48000000</v>
      </c>
    </row>
    <row r="2046" spans="1:6" x14ac:dyDescent="0.3">
      <c r="A2046" s="2849">
        <v>32010508</v>
      </c>
      <c r="B2046" s="2566" t="s">
        <v>3460</v>
      </c>
      <c r="C2046" s="2566"/>
      <c r="D2046" s="2560">
        <f>SUM(D2047:D2047)</f>
        <v>0</v>
      </c>
      <c r="E2046" s="2560">
        <f t="shared" ref="E2046:F2046" si="156">SUM(E2047:E2047)</f>
        <v>0</v>
      </c>
      <c r="F2046" s="2560">
        <f t="shared" si="156"/>
        <v>10000000</v>
      </c>
    </row>
    <row r="2047" spans="1:6" ht="37.5" x14ac:dyDescent="0.3">
      <c r="A2047" s="2766" t="s">
        <v>4156</v>
      </c>
      <c r="B2047" s="1981" t="s">
        <v>1806</v>
      </c>
      <c r="C2047" s="1981"/>
      <c r="D2047" s="2584" t="s">
        <v>179</v>
      </c>
      <c r="E2047" s="2584" t="s">
        <v>179</v>
      </c>
      <c r="F2047" s="2584">
        <v>10000000</v>
      </c>
    </row>
    <row r="2048" spans="1:6" ht="19.5" thickBot="1" x14ac:dyDescent="0.35">
      <c r="A2048" s="2621"/>
      <c r="B2048" s="1981"/>
      <c r="C2048" s="1981"/>
      <c r="D2048" s="2772"/>
      <c r="E2048" s="2772"/>
      <c r="F2048" s="2772"/>
    </row>
    <row r="2049" spans="1:6" ht="19.5" thickBot="1" x14ac:dyDescent="0.35">
      <c r="A2049" s="3060"/>
      <c r="B2049" s="2566" t="s">
        <v>2639</v>
      </c>
      <c r="C2049" s="2565"/>
      <c r="D2049" s="3039"/>
      <c r="E2049" s="2739"/>
      <c r="F2049" s="2595">
        <f>SUM(F2039,F2044,F2046)</f>
        <v>178000000</v>
      </c>
    </row>
    <row r="2050" spans="1:6" x14ac:dyDescent="0.3">
      <c r="A2050" s="169"/>
    </row>
    <row r="2051" spans="1:6" x14ac:dyDescent="0.3">
      <c r="A2051" s="3517"/>
      <c r="B2051" s="3517"/>
      <c r="C2051" s="3517"/>
      <c r="D2051" s="3517"/>
      <c r="E2051" s="3517"/>
      <c r="F2051" s="3517"/>
    </row>
    <row r="2052" spans="1:6" x14ac:dyDescent="0.3">
      <c r="A2052" s="3517" t="s">
        <v>81</v>
      </c>
      <c r="B2052" s="3517"/>
      <c r="C2052" s="3517"/>
      <c r="D2052" s="3517"/>
      <c r="E2052" s="3517"/>
      <c r="F2052" s="3517"/>
    </row>
    <row r="2053" spans="1:6" ht="19.5" thickBot="1" x14ac:dyDescent="0.35">
      <c r="A2053" s="3516" t="s">
        <v>558</v>
      </c>
      <c r="B2053" s="3516"/>
      <c r="C2053" s="3516"/>
      <c r="D2053" s="3516"/>
      <c r="E2053" s="3516"/>
      <c r="F2053" s="3516"/>
    </row>
    <row r="2054" spans="1:6" s="2549" customFormat="1" ht="57" thickBot="1" x14ac:dyDescent="0.25">
      <c r="A2054" s="2548" t="s">
        <v>1</v>
      </c>
      <c r="B2054" s="2290" t="s">
        <v>282</v>
      </c>
      <c r="C2054" s="2548" t="s">
        <v>3197</v>
      </c>
      <c r="D2054" s="2292" t="s">
        <v>4295</v>
      </c>
      <c r="E2054" s="2292" t="s">
        <v>1145</v>
      </c>
      <c r="F2054" s="2292" t="s">
        <v>3096</v>
      </c>
    </row>
    <row r="2055" spans="1:6" s="2599" customFormat="1" x14ac:dyDescent="0.3">
      <c r="A2055" s="3061"/>
      <c r="B2055" s="3062"/>
      <c r="C2055" s="3062"/>
      <c r="D2055" s="2552"/>
      <c r="E2055" s="2552"/>
      <c r="F2055" s="2552"/>
    </row>
    <row r="2056" spans="1:6" x14ac:dyDescent="0.3">
      <c r="A2056" s="3063">
        <v>32000000</v>
      </c>
      <c r="B2056" s="2831" t="s">
        <v>462</v>
      </c>
      <c r="C2056" s="2831"/>
      <c r="D2056" s="2556"/>
      <c r="E2056" s="2556"/>
      <c r="F2056" s="2556"/>
    </row>
    <row r="2057" spans="1:6" x14ac:dyDescent="0.3">
      <c r="A2057" s="2624">
        <v>32010200</v>
      </c>
      <c r="B2057" s="2558" t="s">
        <v>465</v>
      </c>
      <c r="C2057" s="2558"/>
      <c r="D2057" s="2559"/>
      <c r="E2057" s="2559"/>
      <c r="F2057" s="2559"/>
    </row>
    <row r="2058" spans="1:6" s="2599" customFormat="1" x14ac:dyDescent="0.3">
      <c r="A2058" s="2624">
        <v>32010202</v>
      </c>
      <c r="B2058" s="2566" t="s">
        <v>633</v>
      </c>
      <c r="C2058" s="2566"/>
      <c r="F2058" s="2600"/>
    </row>
    <row r="2059" spans="1:6" s="2599" customFormat="1" x14ac:dyDescent="0.3">
      <c r="A2059" s="2624">
        <v>32010202</v>
      </c>
      <c r="B2059" s="2566" t="s">
        <v>4157</v>
      </c>
      <c r="C2059" s="2566"/>
      <c r="D2059" s="2600">
        <f>SUM(D2060:D2068)</f>
        <v>28861698905</v>
      </c>
      <c r="E2059" s="2600">
        <f>SUM(E2060:E2068)</f>
        <v>6961636808</v>
      </c>
      <c r="F2059" s="2600">
        <f>SUM(F2060:F2068)</f>
        <v>23501456685</v>
      </c>
    </row>
    <row r="2060" spans="1:6" ht="37.5" x14ac:dyDescent="0.3">
      <c r="A2060" s="2766" t="s">
        <v>4270</v>
      </c>
      <c r="B2060" s="1981" t="s">
        <v>2455</v>
      </c>
      <c r="C2060" s="1981"/>
      <c r="D2060" s="2584">
        <v>1080000000</v>
      </c>
      <c r="E2060" s="2584">
        <v>260000000</v>
      </c>
      <c r="F2060" s="2584">
        <v>1080000000</v>
      </c>
    </row>
    <row r="2061" spans="1:6" s="2599" customFormat="1" ht="37.5" x14ac:dyDescent="0.3">
      <c r="A2061" s="2766" t="s">
        <v>4271</v>
      </c>
      <c r="B2061" s="1981" t="s">
        <v>2456</v>
      </c>
      <c r="C2061" s="1981"/>
      <c r="D2061" s="2584">
        <v>1164000000</v>
      </c>
      <c r="E2061" s="2559">
        <v>672538733</v>
      </c>
      <c r="F2061" s="2584">
        <v>1164000000</v>
      </c>
    </row>
    <row r="2062" spans="1:6" x14ac:dyDescent="0.3">
      <c r="A2062" s="2766" t="s">
        <v>4272</v>
      </c>
      <c r="B2062" s="1981" t="s">
        <v>2457</v>
      </c>
      <c r="C2062" s="1981"/>
      <c r="D2062" s="2584">
        <v>20000000000</v>
      </c>
      <c r="E2062" s="2584">
        <v>6020209380</v>
      </c>
      <c r="F2062" s="2584">
        <v>16043549088</v>
      </c>
    </row>
    <row r="2063" spans="1:6" x14ac:dyDescent="0.3">
      <c r="A2063" s="2766" t="s">
        <v>4273</v>
      </c>
      <c r="B2063" s="1981" t="s">
        <v>1787</v>
      </c>
      <c r="C2063" s="1981"/>
      <c r="D2063" s="2584">
        <v>237500000</v>
      </c>
      <c r="E2063" s="2584"/>
      <c r="F2063" s="2584">
        <v>213907597</v>
      </c>
    </row>
    <row r="2064" spans="1:6" x14ac:dyDescent="0.3">
      <c r="A2064" s="2766" t="s">
        <v>4274</v>
      </c>
      <c r="B2064" s="1981" t="s">
        <v>1790</v>
      </c>
      <c r="C2064" s="1981"/>
      <c r="D2064" s="2584">
        <v>120198905</v>
      </c>
      <c r="E2064" s="2584">
        <v>8888695</v>
      </c>
      <c r="F2064" s="2584">
        <v>0</v>
      </c>
    </row>
    <row r="2065" spans="1:6" x14ac:dyDescent="0.3">
      <c r="A2065" s="2766" t="s">
        <v>4275</v>
      </c>
      <c r="B2065" s="1981" t="s">
        <v>1788</v>
      </c>
      <c r="C2065" s="1981"/>
      <c r="D2065" s="2584">
        <v>4500000000</v>
      </c>
      <c r="E2065" s="2559"/>
      <c r="F2065" s="2584">
        <v>3500000000</v>
      </c>
    </row>
    <row r="2066" spans="1:6" ht="37.5" x14ac:dyDescent="0.3">
      <c r="A2066" s="2766" t="s">
        <v>4276</v>
      </c>
      <c r="B2066" s="1981" t="s">
        <v>1789</v>
      </c>
      <c r="C2066" s="1981"/>
      <c r="D2066" s="2584">
        <v>1250000000</v>
      </c>
      <c r="E2066" s="2559"/>
      <c r="F2066" s="2584">
        <v>1250000000</v>
      </c>
    </row>
    <row r="2067" spans="1:6" x14ac:dyDescent="0.3">
      <c r="A2067" s="2766" t="s">
        <v>4277</v>
      </c>
      <c r="B2067" s="1981" t="s">
        <v>1791</v>
      </c>
      <c r="C2067" s="1981"/>
      <c r="D2067" s="2584">
        <v>250000000</v>
      </c>
      <c r="E2067" s="2559"/>
      <c r="F2067" s="2584">
        <v>250000000</v>
      </c>
    </row>
    <row r="2068" spans="1:6" ht="37.5" x14ac:dyDescent="0.3">
      <c r="A2068" s="2562" t="s">
        <v>4278</v>
      </c>
      <c r="B2068" s="1981" t="s">
        <v>4269</v>
      </c>
      <c r="C2068" s="1981"/>
      <c r="D2068" s="2818">
        <v>260000000</v>
      </c>
      <c r="E2068" s="2559"/>
      <c r="F2068" s="2584"/>
    </row>
    <row r="2069" spans="1:6" x14ac:dyDescent="0.3">
      <c r="A2069" s="170">
        <v>32010510</v>
      </c>
      <c r="B2069" s="2558" t="s">
        <v>3453</v>
      </c>
      <c r="C2069" s="2558"/>
      <c r="D2069" s="2756">
        <f>SUM(D2070)</f>
        <v>5000000</v>
      </c>
      <c r="E2069" s="2600">
        <f>SUM(E2070)</f>
        <v>4500000</v>
      </c>
      <c r="F2069" s="2600">
        <f>SUM(F2070)</f>
        <v>25000000</v>
      </c>
    </row>
    <row r="2070" spans="1:6" x14ac:dyDescent="0.3">
      <c r="A2070" s="2562" t="s">
        <v>4279</v>
      </c>
      <c r="B2070" s="1981" t="s">
        <v>2733</v>
      </c>
      <c r="C2070" s="1981"/>
      <c r="D2070" s="2818">
        <v>5000000</v>
      </c>
      <c r="E2070" s="2559">
        <v>4500000</v>
      </c>
      <c r="F2070" s="2584">
        <v>25000000</v>
      </c>
    </row>
    <row r="2071" spans="1:6" x14ac:dyDescent="0.3">
      <c r="A2071" s="170">
        <v>32030100</v>
      </c>
      <c r="B2071" s="2566" t="s">
        <v>472</v>
      </c>
      <c r="C2071" s="2566"/>
      <c r="D2071" s="2818"/>
      <c r="E2071" s="2556"/>
      <c r="F2071" s="2584"/>
    </row>
    <row r="2072" spans="1:6" x14ac:dyDescent="0.3">
      <c r="A2072" s="170">
        <v>32030109</v>
      </c>
      <c r="B2072" s="2566" t="s">
        <v>3517</v>
      </c>
      <c r="C2072" s="2566"/>
      <c r="D2072" s="2756">
        <f>SUM(D2073)</f>
        <v>5000000</v>
      </c>
      <c r="E2072" s="2600">
        <f>SUM(E2073)</f>
        <v>0</v>
      </c>
      <c r="F2072" s="2600">
        <f>SUM(F2073)</f>
        <v>5000000</v>
      </c>
    </row>
    <row r="2073" spans="1:6" x14ac:dyDescent="0.3">
      <c r="A2073" s="2562" t="s">
        <v>4280</v>
      </c>
      <c r="B2073" s="1981" t="s">
        <v>506</v>
      </c>
      <c r="C2073" s="1981"/>
      <c r="D2073" s="2818">
        <v>5000000</v>
      </c>
      <c r="E2073" s="2584"/>
      <c r="F2073" s="2584">
        <v>5000000</v>
      </c>
    </row>
    <row r="2074" spans="1:6" ht="19.5" thickBot="1" x14ac:dyDescent="0.35">
      <c r="A2074" s="2562"/>
      <c r="B2074" s="1981"/>
      <c r="C2074" s="1981"/>
      <c r="D2074" s="2820"/>
      <c r="E2074" s="2677"/>
      <c r="F2074" s="2612"/>
    </row>
    <row r="2075" spans="1:6" ht="19.5" thickBot="1" x14ac:dyDescent="0.35">
      <c r="A2075" s="170"/>
      <c r="B2075" s="2566" t="s">
        <v>2640</v>
      </c>
      <c r="C2075" s="2565"/>
      <c r="D2075" s="2595">
        <f>SUM(D2059,D2069,D2072)</f>
        <v>28871698905</v>
      </c>
      <c r="E2075" s="2595">
        <f t="shared" ref="E2075:F2075" si="157">SUM(E2059,E2069,E2072)</f>
        <v>6966136808</v>
      </c>
      <c r="F2075" s="2595">
        <f t="shared" si="157"/>
        <v>23531456685</v>
      </c>
    </row>
    <row r="2076" spans="1:6" x14ac:dyDescent="0.3">
      <c r="A2076" s="2596"/>
      <c r="B2076" s="2577"/>
      <c r="C2076" s="2577"/>
      <c r="D2076" s="3108"/>
      <c r="E2076" s="3108"/>
      <c r="F2076" s="3108"/>
    </row>
    <row r="2077" spans="1:6" x14ac:dyDescent="0.3">
      <c r="A2077" s="3517" t="s">
        <v>81</v>
      </c>
      <c r="B2077" s="3517"/>
      <c r="C2077" s="3517"/>
      <c r="D2077" s="3517"/>
      <c r="E2077" s="3517"/>
      <c r="F2077" s="3517"/>
    </row>
    <row r="2078" spans="1:6" ht="19.5" thickBot="1" x14ac:dyDescent="0.35">
      <c r="A2078" s="3516" t="s">
        <v>559</v>
      </c>
      <c r="B2078" s="3516"/>
      <c r="C2078" s="3516"/>
      <c r="D2078" s="3516"/>
      <c r="E2078" s="3516"/>
      <c r="F2078" s="3516"/>
    </row>
    <row r="2079" spans="1:6" s="2549" customFormat="1" ht="57" thickBot="1" x14ac:dyDescent="0.25">
      <c r="A2079" s="2548" t="s">
        <v>1</v>
      </c>
      <c r="B2079" s="2290" t="s">
        <v>282</v>
      </c>
      <c r="C2079" s="2548" t="s">
        <v>3197</v>
      </c>
      <c r="D2079" s="2292" t="s">
        <v>1174</v>
      </c>
      <c r="E2079" s="2292" t="s">
        <v>1145</v>
      </c>
      <c r="F2079" s="2292" t="s">
        <v>3096</v>
      </c>
    </row>
    <row r="2080" spans="1:6" s="2599" customFormat="1" x14ac:dyDescent="0.3">
      <c r="A2080" s="2830">
        <v>32000000</v>
      </c>
      <c r="B2080" s="2831" t="s">
        <v>462</v>
      </c>
      <c r="C2080" s="2831"/>
      <c r="D2080" s="2556"/>
      <c r="E2080" s="2556"/>
      <c r="F2080" s="2556"/>
    </row>
    <row r="2081" spans="1:6" x14ac:dyDescent="0.3">
      <c r="A2081" s="170">
        <v>32010000</v>
      </c>
      <c r="B2081" s="2558" t="s">
        <v>463</v>
      </c>
      <c r="C2081" s="2558"/>
      <c r="D2081" s="2559"/>
      <c r="E2081" s="2559"/>
      <c r="F2081" s="2559"/>
    </row>
    <row r="2082" spans="1:6" x14ac:dyDescent="0.3">
      <c r="A2082" s="170">
        <v>32010100</v>
      </c>
      <c r="B2082" s="2558" t="s">
        <v>471</v>
      </c>
      <c r="C2082" s="2558"/>
      <c r="D2082" s="2559"/>
      <c r="E2082" s="2559"/>
      <c r="F2082" s="2559"/>
    </row>
    <row r="2083" spans="1:6" x14ac:dyDescent="0.3">
      <c r="A2083" s="170">
        <v>32010101</v>
      </c>
      <c r="B2083" s="2558" t="s">
        <v>3212</v>
      </c>
      <c r="C2083" s="2558"/>
      <c r="D2083" s="2560">
        <f>SUM(D2084:D2088)</f>
        <v>128149000</v>
      </c>
      <c r="E2083" s="2560">
        <f>SUM(E2084:E2088)</f>
        <v>10000000</v>
      </c>
      <c r="F2083" s="2560">
        <f>SUM(F2084:F2088)</f>
        <v>138149000</v>
      </c>
    </row>
    <row r="2084" spans="1:6" x14ac:dyDescent="0.3">
      <c r="A2084" s="2562" t="s">
        <v>4159</v>
      </c>
      <c r="B2084" s="2582" t="s">
        <v>336</v>
      </c>
      <c r="C2084" s="2582"/>
      <c r="D2084" s="2584">
        <v>4973800</v>
      </c>
      <c r="E2084" s="2584"/>
      <c r="F2084" s="2584">
        <v>4973800</v>
      </c>
    </row>
    <row r="2085" spans="1:6" x14ac:dyDescent="0.3">
      <c r="A2085" s="2562" t="s">
        <v>4160</v>
      </c>
      <c r="B2085" s="2582" t="s">
        <v>334</v>
      </c>
      <c r="C2085" s="2582"/>
      <c r="D2085" s="2584">
        <v>20000000</v>
      </c>
      <c r="E2085" s="2584"/>
      <c r="F2085" s="2584">
        <v>20000000</v>
      </c>
    </row>
    <row r="2086" spans="1:6" x14ac:dyDescent="0.3">
      <c r="A2086" s="2562" t="s">
        <v>4161</v>
      </c>
      <c r="B2086" s="2582" t="s">
        <v>340</v>
      </c>
      <c r="C2086" s="2582"/>
      <c r="D2086" s="2584">
        <v>3175200</v>
      </c>
      <c r="E2086" s="2584"/>
      <c r="F2086" s="2584">
        <v>13175200</v>
      </c>
    </row>
    <row r="2087" spans="1:6" x14ac:dyDescent="0.3">
      <c r="A2087" s="2562" t="s">
        <v>4162</v>
      </c>
      <c r="B2087" s="2582" t="s">
        <v>637</v>
      </c>
      <c r="C2087" s="2582"/>
      <c r="D2087" s="2584">
        <v>20000000</v>
      </c>
      <c r="E2087" s="2584"/>
      <c r="F2087" s="2584">
        <v>20000000</v>
      </c>
    </row>
    <row r="2088" spans="1:6" x14ac:dyDescent="0.3">
      <c r="A2088" s="2562" t="s">
        <v>4163</v>
      </c>
      <c r="B2088" s="2582" t="s">
        <v>636</v>
      </c>
      <c r="C2088" s="2582"/>
      <c r="D2088" s="2584">
        <v>80000000</v>
      </c>
      <c r="E2088" s="2584">
        <v>10000000</v>
      </c>
      <c r="F2088" s="2584">
        <v>80000000</v>
      </c>
    </row>
    <row r="2089" spans="1:6" x14ac:dyDescent="0.3">
      <c r="A2089" s="2624">
        <v>32010205</v>
      </c>
      <c r="B2089" s="2558" t="s">
        <v>4158</v>
      </c>
      <c r="C2089" s="2558"/>
      <c r="D2089" s="2600">
        <f>SUM(D2090:D2090)</f>
        <v>20000000</v>
      </c>
      <c r="E2089" s="2600">
        <f t="shared" ref="E2089:F2089" si="158">SUM(E2090:E2090)</f>
        <v>0</v>
      </c>
      <c r="F2089" s="2600">
        <f t="shared" si="158"/>
        <v>20000000</v>
      </c>
    </row>
    <row r="2090" spans="1:6" x14ac:dyDescent="0.3">
      <c r="A2090" s="2562" t="s">
        <v>4164</v>
      </c>
      <c r="B2090" s="2582" t="s">
        <v>338</v>
      </c>
      <c r="C2090" s="2582"/>
      <c r="D2090" s="2584">
        <v>20000000</v>
      </c>
      <c r="E2090" s="2559"/>
      <c r="F2090" s="2584">
        <v>20000000</v>
      </c>
    </row>
    <row r="2091" spans="1:6" x14ac:dyDescent="0.3">
      <c r="A2091" s="2624">
        <v>32010510</v>
      </c>
      <c r="B2091" s="2558" t="s">
        <v>3453</v>
      </c>
      <c r="C2091" s="2558"/>
      <c r="D2091" s="2600">
        <f>SUM(D2092:D2098)</f>
        <v>90037500</v>
      </c>
      <c r="E2091" s="2600">
        <f t="shared" ref="E2091" si="159">SUM(E2092:E2098)</f>
        <v>20000000</v>
      </c>
      <c r="F2091" s="2600">
        <f>SUM(F2092:F2098)</f>
        <v>90037500</v>
      </c>
    </row>
    <row r="2092" spans="1:6" x14ac:dyDescent="0.3">
      <c r="A2092" s="2562" t="s">
        <v>4165</v>
      </c>
      <c r="B2092" s="2582" t="s">
        <v>335</v>
      </c>
      <c r="C2092" s="2582"/>
      <c r="D2092" s="2584">
        <v>6063800</v>
      </c>
      <c r="E2092" s="2559"/>
      <c r="F2092" s="2584">
        <v>6063800</v>
      </c>
    </row>
    <row r="2093" spans="1:6" x14ac:dyDescent="0.3">
      <c r="A2093" s="2562" t="s">
        <v>4166</v>
      </c>
      <c r="B2093" s="2582" t="s">
        <v>332</v>
      </c>
      <c r="C2093" s="2582"/>
      <c r="D2093" s="2584">
        <v>9702000</v>
      </c>
      <c r="E2093" s="2584"/>
      <c r="F2093" s="2584">
        <v>9702000</v>
      </c>
    </row>
    <row r="2094" spans="1:6" x14ac:dyDescent="0.3">
      <c r="A2094" s="2562" t="s">
        <v>4167</v>
      </c>
      <c r="B2094" s="2582" t="s">
        <v>331</v>
      </c>
      <c r="C2094" s="2582"/>
      <c r="D2094" s="2584">
        <v>35000000</v>
      </c>
      <c r="E2094" s="2559">
        <v>20000000</v>
      </c>
      <c r="F2094" s="2584">
        <v>35000000</v>
      </c>
    </row>
    <row r="2095" spans="1:6" x14ac:dyDescent="0.3">
      <c r="A2095" s="2562" t="s">
        <v>4169</v>
      </c>
      <c r="B2095" s="2582" t="s">
        <v>339</v>
      </c>
      <c r="C2095" s="2582"/>
      <c r="D2095" s="2584">
        <v>5821200</v>
      </c>
      <c r="E2095" s="2584"/>
      <c r="F2095" s="2584">
        <v>5821200</v>
      </c>
    </row>
    <row r="2096" spans="1:6" x14ac:dyDescent="0.3">
      <c r="A2096" s="2562" t="s">
        <v>4170</v>
      </c>
      <c r="B2096" s="2582" t="s">
        <v>341</v>
      </c>
      <c r="C2096" s="2582"/>
      <c r="D2096" s="2584">
        <v>2425500</v>
      </c>
      <c r="E2096" s="2584"/>
      <c r="F2096" s="2584">
        <v>2425500</v>
      </c>
    </row>
    <row r="2097" spans="1:6" x14ac:dyDescent="0.3">
      <c r="A2097" s="2562" t="s">
        <v>4171</v>
      </c>
      <c r="B2097" s="2582" t="s">
        <v>634</v>
      </c>
      <c r="C2097" s="2582"/>
      <c r="D2097" s="2584">
        <v>20000000</v>
      </c>
      <c r="E2097" s="2584"/>
      <c r="F2097" s="2584">
        <v>20000000</v>
      </c>
    </row>
    <row r="2098" spans="1:6" x14ac:dyDescent="0.3">
      <c r="A2098" s="2562" t="s">
        <v>4172</v>
      </c>
      <c r="B2098" s="2582" t="s">
        <v>337</v>
      </c>
      <c r="C2098" s="2582"/>
      <c r="D2098" s="2584">
        <v>11025000</v>
      </c>
      <c r="E2098" s="2584"/>
      <c r="F2098" s="2584">
        <v>11025000</v>
      </c>
    </row>
    <row r="2099" spans="1:6" x14ac:dyDescent="0.3">
      <c r="A2099" s="2624">
        <v>32010900</v>
      </c>
      <c r="B2099" s="2566" t="s">
        <v>470</v>
      </c>
      <c r="C2099" s="2566"/>
      <c r="D2099" s="2600"/>
      <c r="E2099" s="2600"/>
      <c r="F2099" s="2600"/>
    </row>
    <row r="2100" spans="1:6" x14ac:dyDescent="0.3">
      <c r="A2100" s="2624">
        <v>32010905</v>
      </c>
      <c r="B2100" s="2566" t="s">
        <v>4168</v>
      </c>
      <c r="C2100" s="2566"/>
      <c r="D2100" s="2600">
        <f>SUM(D2101:D2102)</f>
        <v>20000000</v>
      </c>
      <c r="E2100" s="2600">
        <f t="shared" ref="E2100:F2100" si="160">SUM(E2101:E2102)</f>
        <v>13000000</v>
      </c>
      <c r="F2100" s="2600">
        <f t="shared" si="160"/>
        <v>20000000</v>
      </c>
    </row>
    <row r="2101" spans="1:6" x14ac:dyDescent="0.3">
      <c r="A2101" s="2562" t="s">
        <v>4173</v>
      </c>
      <c r="B2101" s="2582" t="s">
        <v>333</v>
      </c>
      <c r="C2101" s="2582"/>
      <c r="D2101" s="2584">
        <v>10000000</v>
      </c>
      <c r="E2101" s="2584">
        <v>6000000</v>
      </c>
      <c r="F2101" s="2584">
        <v>10000000</v>
      </c>
    </row>
    <row r="2102" spans="1:6" x14ac:dyDescent="0.3">
      <c r="A2102" s="2562" t="s">
        <v>4174</v>
      </c>
      <c r="B2102" s="2582" t="s">
        <v>635</v>
      </c>
      <c r="C2102" s="2582"/>
      <c r="D2102" s="2584">
        <v>10000000</v>
      </c>
      <c r="E2102" s="2584">
        <v>7000000</v>
      </c>
      <c r="F2102" s="2584">
        <v>10000000</v>
      </c>
    </row>
    <row r="2103" spans="1:6" s="2635" customFormat="1" ht="16.5" x14ac:dyDescent="0.25">
      <c r="A2103" s="2639">
        <v>32030100</v>
      </c>
      <c r="B2103" s="2653" t="s">
        <v>472</v>
      </c>
      <c r="C2103" s="2653"/>
      <c r="D2103" s="2644"/>
      <c r="E2103" s="2638"/>
      <c r="F2103" s="2644"/>
    </row>
    <row r="2104" spans="1:6" s="2635" customFormat="1" x14ac:dyDescent="0.3">
      <c r="A2104" s="2639">
        <v>32030109</v>
      </c>
      <c r="B2104" s="2653" t="s">
        <v>3517</v>
      </c>
      <c r="C2104" s="2653"/>
      <c r="D2104" s="2600">
        <f>SUM(D2105)</f>
        <v>200000000</v>
      </c>
      <c r="E2104" s="2600">
        <f t="shared" ref="E2104:F2104" si="161">SUM(E2105)</f>
        <v>130620000</v>
      </c>
      <c r="F2104" s="2600">
        <f t="shared" si="161"/>
        <v>400000000</v>
      </c>
    </row>
    <row r="2105" spans="1:6" x14ac:dyDescent="0.3">
      <c r="A2105" s="2562" t="s">
        <v>4175</v>
      </c>
      <c r="B2105" s="2582" t="s">
        <v>505</v>
      </c>
      <c r="C2105" s="2582"/>
      <c r="D2105" s="2584">
        <v>200000000</v>
      </c>
      <c r="E2105" s="2559">
        <v>130620000</v>
      </c>
      <c r="F2105" s="2584">
        <v>400000000</v>
      </c>
    </row>
    <row r="2106" spans="1:6" ht="19.5" thickBot="1" x14ac:dyDescent="0.35">
      <c r="A2106" s="2877"/>
      <c r="B2106" s="2558"/>
      <c r="C2106" s="2558"/>
      <c r="D2106" s="2772"/>
      <c r="E2106" s="2772"/>
      <c r="F2106" s="2772"/>
    </row>
    <row r="2107" spans="1:6" ht="19.5" thickBot="1" x14ac:dyDescent="0.35">
      <c r="A2107" s="170"/>
      <c r="B2107" s="2566" t="s">
        <v>2533</v>
      </c>
      <c r="C2107" s="2565"/>
      <c r="D2107" s="2595">
        <f>SUM(D2083,D2089,D2091,D2100,D2104)</f>
        <v>458186500</v>
      </c>
      <c r="E2107" s="2739">
        <f>SUM(E2083,E2089,E2091,E2100,E2104)</f>
        <v>173620000</v>
      </c>
      <c r="F2107" s="2739">
        <f>SUM(F2083,F2089,F2091,F2100,F2104)</f>
        <v>668186500</v>
      </c>
    </row>
    <row r="2108" spans="1:6" x14ac:dyDescent="0.3">
      <c r="A2108" s="2724"/>
      <c r="B2108" s="2724"/>
      <c r="C2108" s="2724"/>
      <c r="D2108" s="2725"/>
      <c r="E2108" s="2725"/>
      <c r="F2108" s="2725"/>
    </row>
    <row r="2109" spans="1:6" x14ac:dyDescent="0.3">
      <c r="A2109" s="2596"/>
      <c r="B2109" s="2577"/>
      <c r="C2109" s="2577"/>
      <c r="D2109" s="2578"/>
      <c r="E2109" s="2578"/>
      <c r="F2109" s="2578"/>
    </row>
    <row r="2110" spans="1:6" x14ac:dyDescent="0.3">
      <c r="A2110" s="3517" t="s">
        <v>81</v>
      </c>
      <c r="B2110" s="3517"/>
      <c r="C2110" s="3517"/>
      <c r="D2110" s="3517"/>
      <c r="E2110" s="3517"/>
      <c r="F2110" s="3517"/>
    </row>
    <row r="2111" spans="1:6" ht="19.5" thickBot="1" x14ac:dyDescent="0.35">
      <c r="A2111" s="3516" t="s">
        <v>1265</v>
      </c>
      <c r="B2111" s="3516"/>
      <c r="C2111" s="3516"/>
      <c r="D2111" s="3516"/>
      <c r="E2111" s="3516"/>
      <c r="F2111" s="3516"/>
    </row>
    <row r="2112" spans="1:6" s="2549" customFormat="1" ht="57" thickBot="1" x14ac:dyDescent="0.25">
      <c r="A2112" s="2548" t="s">
        <v>1</v>
      </c>
      <c r="B2112" s="2290" t="s">
        <v>282</v>
      </c>
      <c r="C2112" s="2548" t="s">
        <v>3197</v>
      </c>
      <c r="D2112" s="2292" t="s">
        <v>1174</v>
      </c>
      <c r="E2112" s="2292" t="s">
        <v>1145</v>
      </c>
      <c r="F2112" s="2292" t="s">
        <v>3096</v>
      </c>
    </row>
    <row r="2113" spans="1:6" s="2599" customFormat="1" x14ac:dyDescent="0.3">
      <c r="A2113" s="3061"/>
      <c r="B2113" s="3062"/>
      <c r="C2113" s="3062"/>
      <c r="D2113" s="2552"/>
      <c r="E2113" s="2552"/>
      <c r="F2113" s="2552"/>
    </row>
    <row r="2114" spans="1:6" x14ac:dyDescent="0.3">
      <c r="A2114" s="2624">
        <v>32010200</v>
      </c>
      <c r="B2114" s="2558" t="s">
        <v>465</v>
      </c>
      <c r="C2114" s="2558"/>
      <c r="D2114" s="2559"/>
      <c r="E2114" s="2559"/>
      <c r="F2114" s="2559"/>
    </row>
    <row r="2115" spans="1:6" x14ac:dyDescent="0.3">
      <c r="A2115" s="2624">
        <v>32010202</v>
      </c>
      <c r="B2115" s="2558" t="s">
        <v>3199</v>
      </c>
      <c r="C2115" s="2558"/>
      <c r="D2115" s="2600">
        <f>SUM(D2116:D2117)</f>
        <v>600000000</v>
      </c>
      <c r="E2115" s="2600">
        <f t="shared" ref="E2115:F2115" si="162">SUM(E2116:E2117)</f>
        <v>482475098.94999999</v>
      </c>
      <c r="F2115" s="2600">
        <f t="shared" si="162"/>
        <v>1400000000</v>
      </c>
    </row>
    <row r="2116" spans="1:6" x14ac:dyDescent="0.3">
      <c r="A2116" s="2562" t="s">
        <v>4178</v>
      </c>
      <c r="B2116" s="3064" t="s">
        <v>1146</v>
      </c>
      <c r="C2116" s="3064"/>
      <c r="D2116" s="2913">
        <v>500000000</v>
      </c>
      <c r="E2116" s="2584">
        <v>465322598.94999999</v>
      </c>
      <c r="F2116" s="2584">
        <v>1300000000</v>
      </c>
    </row>
    <row r="2117" spans="1:6" x14ac:dyDescent="0.3">
      <c r="A2117" s="2562" t="s">
        <v>4179</v>
      </c>
      <c r="B2117" s="3064" t="s">
        <v>2994</v>
      </c>
      <c r="C2117" s="3064"/>
      <c r="D2117" s="2913">
        <v>100000000</v>
      </c>
      <c r="E2117" s="2559">
        <v>17152500</v>
      </c>
      <c r="F2117" s="2710">
        <v>100000000</v>
      </c>
    </row>
    <row r="2118" spans="1:6" s="2635" customFormat="1" ht="16.5" x14ac:dyDescent="0.25">
      <c r="A2118" s="2639">
        <v>32030100</v>
      </c>
      <c r="B2118" s="2653" t="s">
        <v>472</v>
      </c>
      <c r="C2118" s="2653"/>
      <c r="D2118" s="3065"/>
      <c r="E2118" s="2638"/>
      <c r="F2118" s="2644"/>
    </row>
    <row r="2119" spans="1:6" s="2635" customFormat="1" x14ac:dyDescent="0.3">
      <c r="A2119" s="2639">
        <v>32030109</v>
      </c>
      <c r="B2119" s="2653" t="s">
        <v>3517</v>
      </c>
      <c r="C2119" s="2653"/>
      <c r="D2119" s="2756">
        <f>SUM(D2120:D2121)</f>
        <v>0</v>
      </c>
      <c r="E2119" s="2600">
        <f t="shared" ref="E2119:F2119" si="163">SUM(E2120:E2121)</f>
        <v>0</v>
      </c>
      <c r="F2119" s="2600">
        <f t="shared" si="163"/>
        <v>1500000000</v>
      </c>
    </row>
    <row r="2120" spans="1:6" ht="18" customHeight="1" x14ac:dyDescent="0.3">
      <c r="A2120" s="2562" t="s">
        <v>4176</v>
      </c>
      <c r="B2120" s="1981" t="s">
        <v>4292</v>
      </c>
      <c r="C2120" s="1981"/>
      <c r="D2120" s="2818"/>
      <c r="E2120" s="2584">
        <v>0</v>
      </c>
      <c r="F2120" s="2584">
        <v>1000000000</v>
      </c>
    </row>
    <row r="2121" spans="1:6" x14ac:dyDescent="0.3">
      <c r="A2121" s="2562" t="s">
        <v>4177</v>
      </c>
      <c r="B2121" s="1981" t="s">
        <v>2995</v>
      </c>
      <c r="C2121" s="1981"/>
      <c r="D2121" s="2818"/>
      <c r="E2121" s="2584"/>
      <c r="F2121" s="2584">
        <v>500000000</v>
      </c>
    </row>
    <row r="2122" spans="1:6" s="2599" customFormat="1" ht="19.5" thickBot="1" x14ac:dyDescent="0.35">
      <c r="A2122" s="170"/>
      <c r="B2122" s="2566"/>
      <c r="C2122" s="2566"/>
      <c r="D2122" s="2771"/>
      <c r="E2122" s="2772"/>
      <c r="F2122" s="2772"/>
    </row>
    <row r="2123" spans="1:6" ht="19.5" thickBot="1" x14ac:dyDescent="0.35">
      <c r="A2123" s="170"/>
      <c r="B2123" s="2566" t="s">
        <v>2869</v>
      </c>
      <c r="C2123" s="2565"/>
      <c r="D2123" s="2595">
        <f>SUM(D2115,D2119)</f>
        <v>600000000</v>
      </c>
      <c r="E2123" s="2595">
        <f t="shared" ref="E2123:F2123" si="164">SUM(E2115,E2119)</f>
        <v>482475098.94999999</v>
      </c>
      <c r="F2123" s="2595">
        <f t="shared" si="164"/>
        <v>2900000000</v>
      </c>
    </row>
    <row r="2124" spans="1:6" x14ac:dyDescent="0.3">
      <c r="A2124" s="2596"/>
      <c r="B2124" s="2577"/>
      <c r="C2124" s="2577"/>
      <c r="D2124" s="2578"/>
      <c r="E2124" s="2578"/>
      <c r="F2124" s="2578"/>
    </row>
    <row r="2125" spans="1:6" x14ac:dyDescent="0.3">
      <c r="A2125" s="2596"/>
      <c r="B2125" s="2577"/>
      <c r="C2125" s="2577"/>
      <c r="D2125" s="2578"/>
      <c r="E2125" s="2578"/>
      <c r="F2125" s="2578"/>
    </row>
    <row r="2126" spans="1:6" x14ac:dyDescent="0.3">
      <c r="A2126" s="2596"/>
      <c r="B2126" s="2577"/>
      <c r="C2126" s="2577"/>
      <c r="D2126" s="2578"/>
      <c r="E2126" s="2578"/>
      <c r="F2126" s="2578"/>
    </row>
    <row r="2128" spans="1:6" x14ac:dyDescent="0.3">
      <c r="A2128" s="3517" t="s">
        <v>81</v>
      </c>
      <c r="B2128" s="3517"/>
      <c r="C2128" s="3517"/>
      <c r="D2128" s="3517"/>
      <c r="E2128" s="3517"/>
      <c r="F2128" s="3517"/>
    </row>
    <row r="2129" spans="1:6" ht="19.5" thickBot="1" x14ac:dyDescent="0.35">
      <c r="A2129" s="3516" t="s">
        <v>1267</v>
      </c>
      <c r="B2129" s="3516"/>
      <c r="C2129" s="3516"/>
      <c r="D2129" s="3516"/>
      <c r="E2129" s="3516"/>
      <c r="F2129" s="3516"/>
    </row>
    <row r="2130" spans="1:6" s="2549" customFormat="1" ht="57" thickBot="1" x14ac:dyDescent="0.25">
      <c r="A2130" s="2548" t="s">
        <v>1</v>
      </c>
      <c r="B2130" s="2290" t="s">
        <v>282</v>
      </c>
      <c r="C2130" s="2548" t="s">
        <v>3197</v>
      </c>
      <c r="D2130" s="2292" t="s">
        <v>1174</v>
      </c>
      <c r="E2130" s="2292" t="s">
        <v>1145</v>
      </c>
      <c r="F2130" s="2292" t="s">
        <v>3096</v>
      </c>
    </row>
    <row r="2131" spans="1:6" x14ac:dyDescent="0.3">
      <c r="A2131" s="170">
        <v>32010100</v>
      </c>
      <c r="B2131" s="2558" t="s">
        <v>464</v>
      </c>
      <c r="C2131" s="2558"/>
      <c r="D2131" s="2559"/>
      <c r="E2131" s="2559"/>
      <c r="F2131" s="2559"/>
    </row>
    <row r="2132" spans="1:6" x14ac:dyDescent="0.3">
      <c r="A2132" s="170">
        <v>32010101</v>
      </c>
      <c r="B2132" s="2558" t="s">
        <v>3212</v>
      </c>
      <c r="C2132" s="2558"/>
      <c r="D2132" s="2756">
        <f>SUM(D2133)</f>
        <v>0</v>
      </c>
      <c r="E2132" s="2600">
        <f t="shared" ref="E2132:F2132" si="165">SUM(E2133)</f>
        <v>0</v>
      </c>
      <c r="F2132" s="2600">
        <f t="shared" si="165"/>
        <v>40000000</v>
      </c>
    </row>
    <row r="2133" spans="1:6" x14ac:dyDescent="0.3">
      <c r="A2133" s="2562" t="s">
        <v>4180</v>
      </c>
      <c r="B2133" s="2582" t="s">
        <v>2534</v>
      </c>
      <c r="C2133" s="2582"/>
      <c r="D2133" s="2757" t="s">
        <v>179</v>
      </c>
      <c r="E2133" s="2559" t="s">
        <v>179</v>
      </c>
      <c r="F2133" s="2584">
        <v>40000000</v>
      </c>
    </row>
    <row r="2134" spans="1:6" s="2635" customFormat="1" x14ac:dyDescent="0.3">
      <c r="A2134" s="170">
        <v>32030100</v>
      </c>
      <c r="B2134" s="2566" t="s">
        <v>472</v>
      </c>
      <c r="C2134" s="2566"/>
      <c r="D2134" s="2818"/>
      <c r="E2134" s="2556"/>
      <c r="F2134" s="2584"/>
    </row>
    <row r="2135" spans="1:6" s="2635" customFormat="1" x14ac:dyDescent="0.3">
      <c r="A2135" s="170">
        <v>32030109</v>
      </c>
      <c r="B2135" s="2566" t="s">
        <v>3517</v>
      </c>
      <c r="C2135" s="2566"/>
      <c r="D2135" s="2756">
        <f>SUM(D2136:D2138)</f>
        <v>100000000</v>
      </c>
      <c r="E2135" s="2600">
        <f t="shared" ref="E2135:F2135" si="166">SUM(E2136:E2138)</f>
        <v>53000000</v>
      </c>
      <c r="F2135" s="2600">
        <f t="shared" si="166"/>
        <v>250000000</v>
      </c>
    </row>
    <row r="2136" spans="1:6" x14ac:dyDescent="0.3">
      <c r="A2136" s="2562" t="s">
        <v>4181</v>
      </c>
      <c r="B2136" s="2582" t="s">
        <v>1991</v>
      </c>
      <c r="C2136" s="2582"/>
      <c r="D2136" s="2757">
        <v>100000000</v>
      </c>
      <c r="E2136" s="2584">
        <v>53000000</v>
      </c>
      <c r="F2136" s="2584">
        <v>100000000</v>
      </c>
    </row>
    <row r="2137" spans="1:6" x14ac:dyDescent="0.3">
      <c r="A2137" s="2562" t="s">
        <v>4182</v>
      </c>
      <c r="B2137" s="2582" t="s">
        <v>1992</v>
      </c>
      <c r="C2137" s="2582"/>
      <c r="D2137" s="2757"/>
      <c r="E2137" s="2584"/>
      <c r="F2137" s="2584">
        <v>100000000</v>
      </c>
    </row>
    <row r="2138" spans="1:6" x14ac:dyDescent="0.3">
      <c r="A2138" s="2562" t="s">
        <v>4183</v>
      </c>
      <c r="B2138" s="2582" t="s">
        <v>1993</v>
      </c>
      <c r="C2138" s="2582"/>
      <c r="D2138" s="2757"/>
      <c r="E2138" s="2584"/>
      <c r="F2138" s="2584">
        <v>50000000</v>
      </c>
    </row>
    <row r="2139" spans="1:6" ht="19.5" thickBot="1" x14ac:dyDescent="0.35">
      <c r="A2139" s="2562"/>
      <c r="B2139" s="2558"/>
      <c r="C2139" s="2558"/>
      <c r="D2139" s="2771"/>
      <c r="E2139" s="2772"/>
      <c r="F2139" s="2772"/>
    </row>
    <row r="2140" spans="1:6" ht="19.5" thickBot="1" x14ac:dyDescent="0.35">
      <c r="A2140" s="2562"/>
      <c r="B2140" s="2566" t="s">
        <v>1369</v>
      </c>
      <c r="C2140" s="2565"/>
      <c r="D2140" s="2595">
        <f>SUM(D2132,D2135)</f>
        <v>100000000</v>
      </c>
      <c r="E2140" s="2595">
        <f t="shared" ref="E2140:F2140" si="167">SUM(E2132,E2135)</f>
        <v>53000000</v>
      </c>
      <c r="F2140" s="2595">
        <f t="shared" si="167"/>
        <v>290000000</v>
      </c>
    </row>
    <row r="2146" spans="1:6" x14ac:dyDescent="0.3">
      <c r="A2146" s="3517" t="s">
        <v>81</v>
      </c>
      <c r="B2146" s="3517"/>
      <c r="C2146" s="3517"/>
      <c r="D2146" s="3517"/>
      <c r="E2146" s="3517"/>
      <c r="F2146" s="3517"/>
    </row>
    <row r="2147" spans="1:6" ht="19.5" thickBot="1" x14ac:dyDescent="0.35">
      <c r="A2147" s="3516" t="s">
        <v>1795</v>
      </c>
      <c r="B2147" s="3516"/>
      <c r="C2147" s="3516"/>
      <c r="D2147" s="3516"/>
      <c r="E2147" s="3516"/>
      <c r="F2147" s="3516"/>
    </row>
    <row r="2148" spans="1:6" s="2549" customFormat="1" ht="57" thickBot="1" x14ac:dyDescent="0.25">
      <c r="A2148" s="2548" t="s">
        <v>1</v>
      </c>
      <c r="B2148" s="2290" t="s">
        <v>282</v>
      </c>
      <c r="C2148" s="2548" t="s">
        <v>3197</v>
      </c>
      <c r="D2148" s="2292" t="s">
        <v>1174</v>
      </c>
      <c r="E2148" s="2292" t="s">
        <v>1145</v>
      </c>
      <c r="F2148" s="2292" t="s">
        <v>3096</v>
      </c>
    </row>
    <row r="2149" spans="1:6" s="2599" customFormat="1" x14ac:dyDescent="0.3">
      <c r="A2149" s="2830">
        <v>32000000</v>
      </c>
      <c r="B2149" s="2831" t="s">
        <v>462</v>
      </c>
      <c r="C2149" s="2831"/>
      <c r="D2149" s="2556"/>
      <c r="E2149" s="2556"/>
      <c r="F2149" s="2556"/>
    </row>
    <row r="2150" spans="1:6" x14ac:dyDescent="0.3">
      <c r="A2150" s="2624">
        <v>32010000</v>
      </c>
      <c r="B2150" s="2558" t="s">
        <v>463</v>
      </c>
      <c r="C2150" s="2558"/>
      <c r="D2150" s="2559"/>
      <c r="E2150" s="2559"/>
      <c r="F2150" s="2559"/>
    </row>
    <row r="2151" spans="1:6" x14ac:dyDescent="0.3">
      <c r="A2151" s="170">
        <v>32010100</v>
      </c>
      <c r="B2151" s="2558" t="s">
        <v>464</v>
      </c>
      <c r="C2151" s="2746"/>
      <c r="D2151" s="2559"/>
      <c r="E2151" s="2559"/>
      <c r="F2151" s="2559"/>
    </row>
    <row r="2152" spans="1:6" x14ac:dyDescent="0.3">
      <c r="A2152" s="170">
        <v>32010101</v>
      </c>
      <c r="B2152" s="2558" t="s">
        <v>3212</v>
      </c>
      <c r="C2152" s="2746"/>
      <c r="D2152" s="2600">
        <f>SUM(D2153:D2154)</f>
        <v>0</v>
      </c>
      <c r="E2152" s="2600">
        <f>SUM(E2153:E2154)</f>
        <v>0</v>
      </c>
      <c r="F2152" s="2600">
        <f>SUM(F2153:F2154)</f>
        <v>43701397</v>
      </c>
    </row>
    <row r="2153" spans="1:6" x14ac:dyDescent="0.3">
      <c r="A2153" s="2562" t="s">
        <v>4184</v>
      </c>
      <c r="B2153" s="2774" t="s">
        <v>1793</v>
      </c>
      <c r="C2153" s="3066"/>
      <c r="D2153" s="2584"/>
      <c r="E2153" s="2584"/>
      <c r="F2153" s="2584">
        <v>22702642</v>
      </c>
    </row>
    <row r="2154" spans="1:6" x14ac:dyDescent="0.3">
      <c r="A2154" s="2562" t="s">
        <v>4185</v>
      </c>
      <c r="B2154" s="1981" t="s">
        <v>1792</v>
      </c>
      <c r="C2154" s="2601"/>
      <c r="D2154" s="2559"/>
      <c r="E2154" s="2584"/>
      <c r="F2154" s="2559">
        <v>20998755</v>
      </c>
    </row>
    <row r="2155" spans="1:6" s="2635" customFormat="1" ht="16.5" x14ac:dyDescent="0.25">
      <c r="A2155" s="2639">
        <v>32030100</v>
      </c>
      <c r="B2155" s="2653" t="s">
        <v>472</v>
      </c>
      <c r="C2155" s="3067"/>
      <c r="D2155" s="2638"/>
      <c r="E2155" s="2638"/>
      <c r="F2155" s="2638"/>
    </row>
    <row r="2156" spans="1:6" s="2635" customFormat="1" x14ac:dyDescent="0.25">
      <c r="A2156" s="2639">
        <v>32030109</v>
      </c>
      <c r="B2156" s="2653" t="s">
        <v>3517</v>
      </c>
      <c r="C2156" s="2653"/>
      <c r="D2156" s="2560">
        <f>SUM(D2157:D2157)</f>
        <v>78976530</v>
      </c>
      <c r="E2156" s="2560">
        <f>SUM(E2157:E2157)</f>
        <v>0</v>
      </c>
      <c r="F2156" s="2560">
        <f>SUM(F2157:F2157)</f>
        <v>78976530</v>
      </c>
    </row>
    <row r="2157" spans="1:6" x14ac:dyDescent="0.3">
      <c r="A2157" s="2562" t="s">
        <v>4186</v>
      </c>
      <c r="B2157" s="1981" t="s">
        <v>638</v>
      </c>
      <c r="C2157" s="1981"/>
      <c r="D2157" s="2559">
        <v>78976530</v>
      </c>
      <c r="E2157" s="2559"/>
      <c r="F2157" s="2559">
        <v>78976530</v>
      </c>
    </row>
    <row r="2158" spans="1:6" x14ac:dyDescent="0.3">
      <c r="A2158" s="2562"/>
      <c r="B2158" s="2558"/>
      <c r="C2158" s="2558"/>
      <c r="D2158" s="2886"/>
      <c r="E2158" s="2560"/>
      <c r="F2158" s="2560"/>
    </row>
    <row r="2159" spans="1:6" ht="19.5" thickBot="1" x14ac:dyDescent="0.35">
      <c r="A2159" s="2562"/>
      <c r="B2159" s="2566" t="s">
        <v>2870</v>
      </c>
      <c r="C2159" s="2566"/>
      <c r="D2159" s="2813">
        <f>SUM(D2152,D2156)</f>
        <v>78976530</v>
      </c>
      <c r="E2159" s="2605">
        <f>SUM(E2152,E2156)</f>
        <v>0</v>
      </c>
      <c r="F2159" s="2605">
        <f>SUM(F2152,F2156)</f>
        <v>122677927</v>
      </c>
    </row>
    <row r="2160" spans="1:6" x14ac:dyDescent="0.3">
      <c r="A2160" s="2576"/>
      <c r="B2160" s="2577"/>
      <c r="C2160" s="2577"/>
      <c r="D2160" s="2578"/>
      <c r="E2160" s="2681"/>
      <c r="F2160" s="2578"/>
    </row>
  </sheetData>
  <mergeCells count="216">
    <mergeCell ref="A415:F415"/>
    <mergeCell ref="A416:F416"/>
    <mergeCell ref="A417:F417"/>
    <mergeCell ref="A318:F318"/>
    <mergeCell ref="A319:F319"/>
    <mergeCell ref="A341:F341"/>
    <mergeCell ref="A400:F400"/>
    <mergeCell ref="A343:F343"/>
    <mergeCell ref="A686:F686"/>
    <mergeCell ref="A684:F684"/>
    <mergeCell ref="A685:F685"/>
    <mergeCell ref="A643:F643"/>
    <mergeCell ref="A452:F452"/>
    <mergeCell ref="A453:F453"/>
    <mergeCell ref="A344:F344"/>
    <mergeCell ref="A370:F370"/>
    <mergeCell ref="A371:F371"/>
    <mergeCell ref="A372:F372"/>
    <mergeCell ref="A373:F373"/>
    <mergeCell ref="A473:F473"/>
    <mergeCell ref="A687:F687"/>
    <mergeCell ref="A806:F806"/>
    <mergeCell ref="A832:F832"/>
    <mergeCell ref="A831:F831"/>
    <mergeCell ref="A770:F770"/>
    <mergeCell ref="A758:F758"/>
    <mergeCell ref="A787:F787"/>
    <mergeCell ref="A769:F769"/>
    <mergeCell ref="A713:F713"/>
    <mergeCell ref="A741:F741"/>
    <mergeCell ref="A742:F742"/>
    <mergeCell ref="A2078:F2078"/>
    <mergeCell ref="A1772:F1772"/>
    <mergeCell ref="A1:F1"/>
    <mergeCell ref="A2:F2"/>
    <mergeCell ref="A383:F383"/>
    <mergeCell ref="A384:F384"/>
    <mergeCell ref="A429:F429"/>
    <mergeCell ref="A440:F440"/>
    <mergeCell ref="A55:F55"/>
    <mergeCell ref="A56:F56"/>
    <mergeCell ref="A64:F64"/>
    <mergeCell ref="A401:F401"/>
    <mergeCell ref="A402:F402"/>
    <mergeCell ref="A403:F403"/>
    <mergeCell ref="A414:F414"/>
    <mergeCell ref="A24:F24"/>
    <mergeCell ref="A25:F25"/>
    <mergeCell ref="A197:F197"/>
    <mergeCell ref="A229:F229"/>
    <mergeCell ref="A3:F3"/>
    <mergeCell ref="A526:F526"/>
    <mergeCell ref="A544:F544"/>
    <mergeCell ref="A280:F280"/>
    <mergeCell ref="A441:F441"/>
    <mergeCell ref="A4:F4"/>
    <mergeCell ref="A146:F146"/>
    <mergeCell ref="A147:F147"/>
    <mergeCell ref="A148:F148"/>
    <mergeCell ref="A931:F931"/>
    <mergeCell ref="A917:F917"/>
    <mergeCell ref="A928:F928"/>
    <mergeCell ref="A952:F952"/>
    <mergeCell ref="A257:F257"/>
    <mergeCell ref="A259:F259"/>
    <mergeCell ref="A260:F260"/>
    <mergeCell ref="A597:F597"/>
    <mergeCell ref="A619:F619"/>
    <mergeCell ref="A506:F506"/>
    <mergeCell ref="A428:F428"/>
    <mergeCell ref="A472:F472"/>
    <mergeCell ref="A474:F474"/>
    <mergeCell ref="A560:F560"/>
    <mergeCell ref="A561:F561"/>
    <mergeCell ref="A489:F489"/>
    <mergeCell ref="A281:F281"/>
    <mergeCell ref="A471:F471"/>
    <mergeCell ref="A916:F916"/>
    <mergeCell ref="A901:F901"/>
    <mergeCell ref="A930:F930"/>
    <mergeCell ref="A66:F66"/>
    <mergeCell ref="A67:F67"/>
    <mergeCell ref="A74:F74"/>
    <mergeCell ref="A95:F95"/>
    <mergeCell ref="A114:F114"/>
    <mergeCell ref="A115:F115"/>
    <mergeCell ref="A298:F298"/>
    <mergeCell ref="A196:F196"/>
    <mergeCell ref="A75:F75"/>
    <mergeCell ref="A76:F76"/>
    <mergeCell ref="A94:F94"/>
    <mergeCell ref="A295:F295"/>
    <mergeCell ref="A129:F129"/>
    <mergeCell ref="A620:F620"/>
    <mergeCell ref="A128:F128"/>
    <mergeCell ref="A297:F297"/>
    <mergeCell ref="A642:F642"/>
    <mergeCell ref="A621:F621"/>
    <mergeCell ref="A665:F665"/>
    <mergeCell ref="A666:F666"/>
    <mergeCell ref="A230:F230"/>
    <mergeCell ref="A231:F231"/>
    <mergeCell ref="A598:F598"/>
    <mergeCell ref="A1293:F1293"/>
    <mergeCell ref="A953:F953"/>
    <mergeCell ref="A1070:F1070"/>
    <mergeCell ref="A1273:F1273"/>
    <mergeCell ref="A1169:F1169"/>
    <mergeCell ref="A1171:F1171"/>
    <mergeCell ref="A1235:F1235"/>
    <mergeCell ref="A1004:F1004"/>
    <mergeCell ref="A975:F975"/>
    <mergeCell ref="A1134:F1134"/>
    <mergeCell ref="A2035:F2035"/>
    <mergeCell ref="A2034:F2034"/>
    <mergeCell ref="A2110:F2110"/>
    <mergeCell ref="A2147:F2147"/>
    <mergeCell ref="A1058:F1058"/>
    <mergeCell ref="A1385:F1385"/>
    <mergeCell ref="A2129:F2129"/>
    <mergeCell ref="A1407:F1407"/>
    <mergeCell ref="A1408:F1408"/>
    <mergeCell ref="A2128:F2128"/>
    <mergeCell ref="A1344:F1344"/>
    <mergeCell ref="A1345:F1345"/>
    <mergeCell ref="A1720:F1720"/>
    <mergeCell ref="A1507:F1507"/>
    <mergeCell ref="A1525:F1525"/>
    <mergeCell ref="A1526:F1526"/>
    <mergeCell ref="A1527:F1527"/>
    <mergeCell ref="A1686:F1686"/>
    <mergeCell ref="B1388:F1388"/>
    <mergeCell ref="B1584:F1584"/>
    <mergeCell ref="A2111:F2111"/>
    <mergeCell ref="A1846:F1846"/>
    <mergeCell ref="A1059:F1059"/>
    <mergeCell ref="A1104:F1104"/>
    <mergeCell ref="A2146:F2146"/>
    <mergeCell ref="A2052:F2052"/>
    <mergeCell ref="A2053:F2053"/>
    <mergeCell ref="A2077:F2077"/>
    <mergeCell ref="A711:F711"/>
    <mergeCell ref="A862:F862"/>
    <mergeCell ref="A863:F863"/>
    <mergeCell ref="A1172:F1172"/>
    <mergeCell ref="A1173:F1173"/>
    <mergeCell ref="A1272:F1272"/>
    <mergeCell ref="A1105:F1105"/>
    <mergeCell ref="A1101:F1101"/>
    <mergeCell ref="A929:F929"/>
    <mergeCell ref="A757:F757"/>
    <mergeCell ref="A805:F805"/>
    <mergeCell ref="A804:F804"/>
    <mergeCell ref="A900:F900"/>
    <mergeCell ref="A714:F714"/>
    <mergeCell ref="A788:F788"/>
    <mergeCell ref="A821:F821"/>
    <mergeCell ref="A822:F822"/>
    <mergeCell ref="A1827:F1827"/>
    <mergeCell ref="A2051:F2051"/>
    <mergeCell ref="A1829:F1829"/>
    <mergeCell ref="A2021:F2021"/>
    <mergeCell ref="B1719:F1719"/>
    <mergeCell ref="B1685:F1685"/>
    <mergeCell ref="A1624:F1624"/>
    <mergeCell ref="B1608:F1608"/>
    <mergeCell ref="A1612:F1612"/>
    <mergeCell ref="A1613:F1613"/>
    <mergeCell ref="A1658:F1658"/>
    <mergeCell ref="A1623:F1623"/>
    <mergeCell ref="A1847:F1847"/>
    <mergeCell ref="A1881:F1881"/>
    <mergeCell ref="A1882:F1882"/>
    <mergeCell ref="A1899:F1899"/>
    <mergeCell ref="A1957:F1957"/>
    <mergeCell ref="A2020:F2020"/>
    <mergeCell ref="A1657:F1657"/>
    <mergeCell ref="B1771:F1771"/>
    <mergeCell ref="A1828:F1828"/>
    <mergeCell ref="A1900:F1900"/>
    <mergeCell ref="B1918:F1918"/>
    <mergeCell ref="A1919:F1919"/>
    <mergeCell ref="A1956:F1956"/>
    <mergeCell ref="A1325:F1325"/>
    <mergeCell ref="A1028:F1028"/>
    <mergeCell ref="A1029:F1029"/>
    <mergeCell ref="A1071:F1071"/>
    <mergeCell ref="B1482:F1482"/>
    <mergeCell ref="B1481:F1481"/>
    <mergeCell ref="A1135:F1135"/>
    <mergeCell ref="A1236:F1236"/>
    <mergeCell ref="A1326:F1326"/>
    <mergeCell ref="A1360:F1360"/>
    <mergeCell ref="B1389:F1389"/>
    <mergeCell ref="A1194:F1194"/>
    <mergeCell ref="A1238:F1238"/>
    <mergeCell ref="A1361:F1361"/>
    <mergeCell ref="A1237:F1237"/>
    <mergeCell ref="A1431:F1431"/>
    <mergeCell ref="A1195:F1195"/>
    <mergeCell ref="A1462:F1462"/>
    <mergeCell ref="A1150:F1150"/>
    <mergeCell ref="A1151:F1151"/>
    <mergeCell ref="A1343:F1343"/>
    <mergeCell ref="A1170:F1170"/>
    <mergeCell ref="A1196:F1196"/>
    <mergeCell ref="A1292:F1292"/>
    <mergeCell ref="B1483:F1483"/>
    <mergeCell ref="A1432:F1432"/>
    <mergeCell ref="B1480:F1480"/>
    <mergeCell ref="B1586:F1586"/>
    <mergeCell ref="B1544:F1544"/>
    <mergeCell ref="A1506:F1506"/>
    <mergeCell ref="B1585:F1585"/>
    <mergeCell ref="B1545:F1545"/>
    <mergeCell ref="B1543:F1543"/>
  </mergeCells>
  <printOptions horizontalCentered="1" verticalCentered="1"/>
  <pageMargins left="0.25" right="0.25" top="0.75" bottom="0.75" header="0.3" footer="0.3"/>
  <pageSetup paperSize="9" scale="61" firstPageNumber="236" fitToHeight="0" orientation="landscape" useFirstPageNumber="1" r:id="rId1"/>
  <headerFooter>
    <oddHeader>&amp;L&amp;G&amp;R&amp;12&amp;K05+000KATSINA STATE GOVERNMENT 2021 APPROVED APPROPRIATION LAW</oddHeader>
    <oddFooter>&amp;L&amp;12&amp;K05+000KATSINA STATE GOVERNMENT 2021 APPROVED APPROPRIATION LAW&amp;C&amp;18&amp;P&amp;R&amp;G</oddFooter>
  </headerFooter>
  <rowBreaks count="92" manualBreakCount="92">
    <brk id="23" max="5" man="1"/>
    <brk id="53" max="5" man="1"/>
    <brk id="64" max="16383" man="1"/>
    <brk id="74" max="16383" man="1"/>
    <brk id="92" max="16383" man="1"/>
    <brk id="112" max="16383" man="1"/>
    <brk id="127" max="16383" man="1"/>
    <brk id="146" max="5" man="1"/>
    <brk id="175" max="5" man="1"/>
    <brk id="193" max="16383" man="1"/>
    <brk id="227" max="5" man="1"/>
    <brk id="256" max="5" man="1"/>
    <brk id="278" max="16383" man="1"/>
    <brk id="295" max="16383" man="1"/>
    <brk id="317" max="16383" man="1"/>
    <brk id="340" max="5" man="1"/>
    <brk id="370" max="5" man="1"/>
    <brk id="381" max="5" man="1"/>
    <brk id="399" max="5" man="1"/>
    <brk id="413" max="16383" man="1"/>
    <brk id="426" max="16383" man="1"/>
    <brk id="436" max="5" man="1"/>
    <brk id="449" max="16383" man="1"/>
    <brk id="471" max="5" man="1"/>
    <brk id="505" max="5" man="1"/>
    <brk id="540" max="5" man="1"/>
    <brk id="559" max="16383" man="1"/>
    <brk id="594" max="5" man="1"/>
    <brk id="617" max="16383" man="1"/>
    <brk id="641" max="5" man="1"/>
    <brk id="661" max="5" man="1"/>
    <brk id="684" max="5" man="1"/>
    <brk id="711" max="16383" man="1"/>
    <brk id="738" max="5" man="1"/>
    <brk id="755" max="16383" man="1"/>
    <brk id="766" max="5" man="1"/>
    <brk id="786" max="16383" man="1"/>
    <brk id="803" max="16383" man="1"/>
    <brk id="818" max="16383" man="1"/>
    <brk id="830" max="16383" man="1"/>
    <brk id="861" max="5" man="1"/>
    <brk id="897" max="5" man="1"/>
    <brk id="912" max="16383" man="1"/>
    <brk id="928" max="16383" man="1"/>
    <brk id="950" max="16383" man="1"/>
    <brk id="974" max="5" man="1"/>
    <brk id="1002" max="5" man="1"/>
    <brk id="1025" max="5" man="1"/>
    <brk id="1055" max="5" man="1"/>
    <brk id="1069" max="16383" man="1"/>
    <brk id="1101" max="5" man="1"/>
    <brk id="1131" max="5" man="1"/>
    <brk id="1147" max="16383" man="1"/>
    <brk id="1169" max="5" man="1"/>
    <brk id="1194" max="5" man="1"/>
    <brk id="1234" max="5" man="1"/>
    <brk id="1270" max="5" man="1"/>
    <brk id="1290" max="16383" man="1"/>
    <brk id="1320" max="5" man="1"/>
    <brk id="1339" max="16383" man="1"/>
    <brk id="1358" max="16383" man="1"/>
    <brk id="1385" max="16383" man="1"/>
    <brk id="1406" max="5" man="1"/>
    <brk id="1429" max="5" man="1"/>
    <brk id="1459" max="5" man="1"/>
    <brk id="1480" max="16383" man="1"/>
    <brk id="1503" max="5" man="1"/>
    <brk id="1524" max="5" man="1"/>
    <brk id="1543" max="16383" man="1"/>
    <brk id="1584" max="5" man="1"/>
    <brk id="1608" max="16383" man="1"/>
    <brk id="1621" max="5" man="1"/>
    <brk id="1655" max="5" man="1"/>
    <brk id="1684" max="16383" man="1"/>
    <brk id="1716" max="5" man="1"/>
    <brk id="1745" max="5" man="1"/>
    <brk id="1769" max="16383" man="1"/>
    <brk id="1795" max="5" man="1"/>
    <brk id="1826" max="16383" man="1"/>
    <brk id="1845" max="16383" man="1"/>
    <brk id="1879" max="5" man="1"/>
    <brk id="1897" max="16383" man="1"/>
    <brk id="1917" max="16383" man="1"/>
    <brk id="1954" max="5" man="1"/>
    <brk id="1987" max="5" man="1"/>
    <brk id="2016" max="5" man="1"/>
    <brk id="2031" max="5" man="1"/>
    <brk id="2050" max="16383" man="1"/>
    <brk id="2075" max="5" man="1"/>
    <brk id="2107" max="5" man="1"/>
    <brk id="2124" max="16383" man="1"/>
    <brk id="2141" max="16383" man="1"/>
  </rowBreaks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85"/>
  <sheetViews>
    <sheetView view="pageLayout" topLeftCell="A2669" zoomScale="70" zoomScaleNormal="100" zoomScaleSheetLayoutView="55" zoomScalePageLayoutView="70" workbookViewId="0">
      <selection activeCell="D2682" sqref="D2682"/>
    </sheetView>
  </sheetViews>
  <sheetFormatPr defaultRowHeight="20.25" x14ac:dyDescent="0.2"/>
  <cols>
    <col min="1" max="1" width="64.5703125" style="919" customWidth="1"/>
    <col min="2" max="2" width="14.42578125" style="932" customWidth="1"/>
    <col min="3" max="3" width="25.85546875" style="947" customWidth="1"/>
    <col min="4" max="4" width="28.28515625" style="989" customWidth="1"/>
    <col min="5" max="5" width="20.42578125" style="947" customWidth="1"/>
    <col min="6" max="6" width="30.140625" style="989" customWidth="1"/>
    <col min="7" max="7" width="18.85546875" style="919" customWidth="1"/>
    <col min="8" max="16384" width="9.140625" style="919"/>
  </cols>
  <sheetData>
    <row r="1" spans="1:6" x14ac:dyDescent="0.2">
      <c r="A1" s="3545" t="s">
        <v>183</v>
      </c>
      <c r="B1" s="3545"/>
      <c r="C1" s="3545"/>
      <c r="D1" s="3545"/>
      <c r="E1" s="3545"/>
      <c r="F1" s="3545"/>
    </row>
    <row r="2" spans="1:6" ht="21" thickBot="1" x14ac:dyDescent="0.25">
      <c r="A2" s="3545" t="s">
        <v>184</v>
      </c>
      <c r="B2" s="3545"/>
      <c r="C2" s="3545"/>
      <c r="D2" s="3545"/>
      <c r="E2" s="3545"/>
      <c r="F2" s="3545"/>
    </row>
    <row r="3" spans="1:6" s="924" customFormat="1" ht="41.25" thickBot="1" x14ac:dyDescent="0.25">
      <c r="A3" s="920" t="s">
        <v>185</v>
      </c>
      <c r="B3" s="921" t="s">
        <v>186</v>
      </c>
      <c r="C3" s="922" t="s">
        <v>564</v>
      </c>
      <c r="D3" s="923" t="s">
        <v>1128</v>
      </c>
      <c r="E3" s="922" t="s">
        <v>1129</v>
      </c>
      <c r="F3" s="923" t="s">
        <v>3096</v>
      </c>
    </row>
    <row r="4" spans="1:6" x14ac:dyDescent="0.3">
      <c r="A4" s="925"/>
      <c r="B4" s="926">
        <v>1</v>
      </c>
      <c r="C4" s="927"/>
      <c r="D4" s="928">
        <v>0</v>
      </c>
      <c r="E4" s="929" t="s">
        <v>179</v>
      </c>
      <c r="F4" s="930">
        <v>0</v>
      </c>
    </row>
    <row r="5" spans="1:6" x14ac:dyDescent="0.3">
      <c r="A5" s="931"/>
      <c r="B5" s="932">
        <v>2</v>
      </c>
      <c r="C5" s="933">
        <v>5</v>
      </c>
      <c r="D5" s="934">
        <v>1069330</v>
      </c>
      <c r="E5" s="935">
        <v>5</v>
      </c>
      <c r="F5" s="936">
        <v>1122797</v>
      </c>
    </row>
    <row r="6" spans="1:6" x14ac:dyDescent="0.3">
      <c r="A6" s="931"/>
      <c r="B6" s="932">
        <v>3</v>
      </c>
      <c r="C6" s="933">
        <v>28</v>
      </c>
      <c r="D6" s="934">
        <v>12787905</v>
      </c>
      <c r="E6" s="935">
        <v>28</v>
      </c>
      <c r="F6" s="936">
        <v>13427300</v>
      </c>
    </row>
    <row r="7" spans="1:6" x14ac:dyDescent="0.3">
      <c r="A7" s="931"/>
      <c r="B7" s="932">
        <v>4</v>
      </c>
      <c r="C7" s="933">
        <v>39</v>
      </c>
      <c r="D7" s="934">
        <v>14052035</v>
      </c>
      <c r="E7" s="935">
        <v>39</v>
      </c>
      <c r="F7" s="936">
        <v>14745637</v>
      </c>
    </row>
    <row r="8" spans="1:6" x14ac:dyDescent="0.3">
      <c r="A8" s="931"/>
      <c r="B8" s="932">
        <v>5</v>
      </c>
      <c r="C8" s="933">
        <v>6</v>
      </c>
      <c r="D8" s="934">
        <v>1749525</v>
      </c>
      <c r="E8" s="935">
        <v>6</v>
      </c>
      <c r="F8" s="936">
        <v>1837001</v>
      </c>
    </row>
    <row r="9" spans="1:6" ht="21" thickBot="1" x14ac:dyDescent="0.35">
      <c r="A9" s="931"/>
      <c r="B9" s="932">
        <v>6</v>
      </c>
      <c r="C9" s="933">
        <v>12</v>
      </c>
      <c r="D9" s="934">
        <v>4704035</v>
      </c>
      <c r="E9" s="935">
        <v>12</v>
      </c>
      <c r="F9" s="936">
        <v>4939237</v>
      </c>
    </row>
    <row r="10" spans="1:6" s="924" customFormat="1" ht="21" thickBot="1" x14ac:dyDescent="0.35">
      <c r="A10" s="937" t="s">
        <v>187</v>
      </c>
      <c r="B10" s="938"/>
      <c r="C10" s="939">
        <f>SUM(C4:C9)</f>
        <v>90</v>
      </c>
      <c r="D10" s="940">
        <f>SUM(D4:D9)</f>
        <v>34362830</v>
      </c>
      <c r="E10" s="941">
        <f>SUM(E5:E9)</f>
        <v>90</v>
      </c>
      <c r="F10" s="942">
        <v>36080972</v>
      </c>
    </row>
    <row r="11" spans="1:6" x14ac:dyDescent="0.3">
      <c r="A11" s="931"/>
      <c r="B11" s="932">
        <v>7</v>
      </c>
      <c r="C11" s="933">
        <v>17</v>
      </c>
      <c r="D11" s="934">
        <v>14733160</v>
      </c>
      <c r="E11" s="935">
        <v>17</v>
      </c>
      <c r="F11" s="936">
        <v>15469818</v>
      </c>
    </row>
    <row r="12" spans="1:6" x14ac:dyDescent="0.3">
      <c r="A12" s="931"/>
      <c r="B12" s="932">
        <v>8</v>
      </c>
      <c r="C12" s="933">
        <v>4</v>
      </c>
      <c r="D12" s="934">
        <v>2179375</v>
      </c>
      <c r="E12" s="935">
        <v>4</v>
      </c>
      <c r="F12" s="936">
        <v>2288344</v>
      </c>
    </row>
    <row r="13" spans="1:6" x14ac:dyDescent="0.3">
      <c r="A13" s="931"/>
      <c r="B13" s="932">
        <v>9</v>
      </c>
      <c r="C13" s="933">
        <v>4</v>
      </c>
      <c r="D13" s="934">
        <v>5347570</v>
      </c>
      <c r="E13" s="935">
        <v>4</v>
      </c>
      <c r="F13" s="936">
        <v>5614949</v>
      </c>
    </row>
    <row r="14" spans="1:6" x14ac:dyDescent="0.3">
      <c r="A14" s="931"/>
      <c r="B14" s="932">
        <v>10</v>
      </c>
      <c r="C14" s="933">
        <v>2</v>
      </c>
      <c r="D14" s="934">
        <v>2198765</v>
      </c>
      <c r="E14" s="935">
        <v>2</v>
      </c>
      <c r="F14" s="936">
        <v>2308703</v>
      </c>
    </row>
    <row r="15" spans="1:6" ht="21" thickBot="1" x14ac:dyDescent="0.35">
      <c r="A15" s="931"/>
      <c r="B15" s="932">
        <v>12</v>
      </c>
      <c r="C15" s="933">
        <v>1</v>
      </c>
      <c r="D15" s="934">
        <v>1532830</v>
      </c>
      <c r="E15" s="935">
        <v>1</v>
      </c>
      <c r="F15" s="936">
        <v>1609471</v>
      </c>
    </row>
    <row r="16" spans="1:6" s="924" customFormat="1" ht="21" thickBot="1" x14ac:dyDescent="0.35">
      <c r="A16" s="937" t="s">
        <v>188</v>
      </c>
      <c r="B16" s="938"/>
      <c r="C16" s="939">
        <f>SUM(C11:C15)</f>
        <v>28</v>
      </c>
      <c r="D16" s="940">
        <f>SUM(D11:D15)</f>
        <v>25991700</v>
      </c>
      <c r="E16" s="943">
        <f>SUM(E11:E15)</f>
        <v>28</v>
      </c>
      <c r="F16" s="942">
        <f>SUM(F11:F15)</f>
        <v>27291285</v>
      </c>
    </row>
    <row r="17" spans="1:6" x14ac:dyDescent="0.3">
      <c r="A17" s="931"/>
      <c r="B17" s="932">
        <v>13</v>
      </c>
      <c r="C17" s="933">
        <v>4</v>
      </c>
      <c r="D17" s="934">
        <v>5653805</v>
      </c>
      <c r="E17" s="935">
        <v>4</v>
      </c>
      <c r="F17" s="936">
        <v>5936495</v>
      </c>
    </row>
    <row r="18" spans="1:6" x14ac:dyDescent="0.3">
      <c r="A18" s="931"/>
      <c r="B18" s="932">
        <v>14</v>
      </c>
      <c r="C18" s="933">
        <v>9</v>
      </c>
      <c r="D18" s="934">
        <v>15219295</v>
      </c>
      <c r="E18" s="935">
        <v>9</v>
      </c>
      <c r="F18" s="936">
        <v>15980260</v>
      </c>
    </row>
    <row r="19" spans="1:6" x14ac:dyDescent="0.3">
      <c r="A19" s="931"/>
      <c r="B19" s="932">
        <v>15</v>
      </c>
      <c r="C19" s="933">
        <v>1</v>
      </c>
      <c r="D19" s="934">
        <v>2382130</v>
      </c>
      <c r="E19" s="935">
        <v>1</v>
      </c>
      <c r="F19" s="936">
        <v>2501237</v>
      </c>
    </row>
    <row r="20" spans="1:6" ht="21" thickBot="1" x14ac:dyDescent="0.35">
      <c r="A20" s="931"/>
      <c r="B20" s="932">
        <v>16</v>
      </c>
      <c r="C20" s="933">
        <v>2</v>
      </c>
      <c r="D20" s="934">
        <v>4950260</v>
      </c>
      <c r="E20" s="935">
        <v>2</v>
      </c>
      <c r="F20" s="936">
        <v>5197773</v>
      </c>
    </row>
    <row r="21" spans="1:6" s="924" customFormat="1" ht="21" thickBot="1" x14ac:dyDescent="0.35">
      <c r="A21" s="937" t="s">
        <v>189</v>
      </c>
      <c r="B21" s="938"/>
      <c r="C21" s="939">
        <v>15</v>
      </c>
      <c r="D21" s="940">
        <f>SUM(D17:D20)</f>
        <v>28205490</v>
      </c>
      <c r="E21" s="943">
        <f>SUM(E17:E20)</f>
        <v>16</v>
      </c>
      <c r="F21" s="942">
        <f>SUM(F17:F20)</f>
        <v>29615765</v>
      </c>
    </row>
    <row r="22" spans="1:6" s="924" customFormat="1" ht="21" thickBot="1" x14ac:dyDescent="0.35">
      <c r="A22" s="937" t="s">
        <v>190</v>
      </c>
      <c r="B22" s="938"/>
      <c r="C22" s="939">
        <v>165</v>
      </c>
      <c r="D22" s="940">
        <f>D21+D16+D10</f>
        <v>88560020</v>
      </c>
      <c r="E22" s="943">
        <f>E21+E16+E10</f>
        <v>134</v>
      </c>
      <c r="F22" s="944">
        <f>F21+F16+F10</f>
        <v>92988022</v>
      </c>
    </row>
    <row r="23" spans="1:6" x14ac:dyDescent="0.2">
      <c r="A23" s="945" t="s">
        <v>2834</v>
      </c>
      <c r="B23" s="946"/>
      <c r="C23" s="947">
        <v>1</v>
      </c>
      <c r="D23" s="934">
        <v>2223705</v>
      </c>
      <c r="E23" s="947">
        <v>1</v>
      </c>
      <c r="F23" s="928">
        <v>2223705</v>
      </c>
    </row>
    <row r="24" spans="1:6" x14ac:dyDescent="0.2">
      <c r="A24" s="945" t="s">
        <v>2835</v>
      </c>
      <c r="B24" s="948"/>
      <c r="D24" s="934">
        <v>5559285</v>
      </c>
      <c r="F24" s="934">
        <v>5559285</v>
      </c>
    </row>
    <row r="25" spans="1:6" x14ac:dyDescent="0.2">
      <c r="A25" s="945" t="s">
        <v>191</v>
      </c>
      <c r="B25" s="948"/>
      <c r="C25" s="947">
        <v>1</v>
      </c>
      <c r="D25" s="934">
        <v>1337225</v>
      </c>
      <c r="E25" s="947">
        <v>1</v>
      </c>
      <c r="F25" s="934">
        <v>1337225</v>
      </c>
    </row>
    <row r="26" spans="1:6" x14ac:dyDescent="0.2">
      <c r="A26" s="945" t="s">
        <v>2836</v>
      </c>
      <c r="B26" s="948"/>
      <c r="D26" s="934">
        <v>4479705</v>
      </c>
      <c r="F26" s="934">
        <v>4479705</v>
      </c>
    </row>
    <row r="27" spans="1:6" x14ac:dyDescent="0.2">
      <c r="A27" s="945" t="s">
        <v>1130</v>
      </c>
      <c r="B27" s="948"/>
      <c r="C27" s="947">
        <v>1</v>
      </c>
      <c r="D27" s="934">
        <v>1247870</v>
      </c>
      <c r="E27" s="947">
        <v>1</v>
      </c>
      <c r="F27" s="934">
        <v>1247870</v>
      </c>
    </row>
    <row r="28" spans="1:6" ht="21" thickBot="1" x14ac:dyDescent="0.25">
      <c r="A28" s="945" t="s">
        <v>1132</v>
      </c>
      <c r="B28" s="948"/>
      <c r="D28" s="949">
        <v>4180365</v>
      </c>
      <c r="F28" s="949">
        <v>4180365</v>
      </c>
    </row>
    <row r="29" spans="1:6" s="924" customFormat="1" ht="21" thickBot="1" x14ac:dyDescent="0.25">
      <c r="A29" s="950" t="s">
        <v>117</v>
      </c>
      <c r="B29" s="951"/>
      <c r="C29" s="952"/>
      <c r="D29" s="940">
        <f>SUM(D23:D28)</f>
        <v>19028155</v>
      </c>
      <c r="E29" s="952"/>
      <c r="F29" s="940">
        <f>SUM(F23:F28)</f>
        <v>19028155</v>
      </c>
    </row>
    <row r="30" spans="1:6" s="924" customFormat="1" ht="21" thickBot="1" x14ac:dyDescent="0.25">
      <c r="A30" s="950" t="s">
        <v>192</v>
      </c>
      <c r="B30" s="951"/>
      <c r="C30" s="952">
        <v>172</v>
      </c>
      <c r="D30" s="940">
        <f>SUM(D22,D29)</f>
        <v>107588175</v>
      </c>
      <c r="E30" s="952">
        <v>172</v>
      </c>
      <c r="F30" s="940">
        <f>SUM(F22,F29)</f>
        <v>112016177</v>
      </c>
    </row>
    <row r="31" spans="1:6" x14ac:dyDescent="0.2">
      <c r="A31" s="3545" t="s">
        <v>183</v>
      </c>
      <c r="B31" s="3545"/>
      <c r="C31" s="3545"/>
      <c r="D31" s="3545"/>
      <c r="E31" s="3545"/>
      <c r="F31" s="3545"/>
    </row>
    <row r="32" spans="1:6" ht="21" thickBot="1" x14ac:dyDescent="0.25">
      <c r="A32" s="3546" t="s">
        <v>219</v>
      </c>
      <c r="B32" s="3546"/>
      <c r="C32" s="3546"/>
      <c r="D32" s="3546"/>
      <c r="E32" s="3546"/>
      <c r="F32" s="3546"/>
    </row>
    <row r="33" spans="1:6" s="924" customFormat="1" ht="41.25" thickBot="1" x14ac:dyDescent="0.25">
      <c r="A33" s="920" t="s">
        <v>185</v>
      </c>
      <c r="B33" s="921" t="s">
        <v>186</v>
      </c>
      <c r="C33" s="922" t="s">
        <v>564</v>
      </c>
      <c r="D33" s="953" t="s">
        <v>1128</v>
      </c>
      <c r="E33" s="922" t="s">
        <v>1129</v>
      </c>
      <c r="F33" s="923" t="s">
        <v>3096</v>
      </c>
    </row>
    <row r="34" spans="1:6" x14ac:dyDescent="0.3">
      <c r="A34" s="931"/>
      <c r="B34" s="954">
        <v>1</v>
      </c>
      <c r="C34" s="955" t="s">
        <v>130</v>
      </c>
      <c r="D34" s="928" t="s">
        <v>130</v>
      </c>
      <c r="E34" s="956" t="s">
        <v>130</v>
      </c>
      <c r="F34" s="957" t="s">
        <v>130</v>
      </c>
    </row>
    <row r="35" spans="1:6" x14ac:dyDescent="0.3">
      <c r="A35" s="931"/>
      <c r="B35" s="954">
        <v>2</v>
      </c>
      <c r="C35" s="955">
        <v>1</v>
      </c>
      <c r="D35" s="934">
        <v>283245</v>
      </c>
      <c r="E35" s="956" t="s">
        <v>130</v>
      </c>
      <c r="F35" s="958" t="s">
        <v>130</v>
      </c>
    </row>
    <row r="36" spans="1:6" x14ac:dyDescent="0.3">
      <c r="A36" s="931"/>
      <c r="B36" s="954">
        <v>3</v>
      </c>
      <c r="C36" s="955">
        <v>6</v>
      </c>
      <c r="D36" s="934">
        <v>1975363</v>
      </c>
      <c r="E36" s="956">
        <v>4</v>
      </c>
      <c r="F36" s="958">
        <v>1307649</v>
      </c>
    </row>
    <row r="37" spans="1:6" x14ac:dyDescent="0.3">
      <c r="A37" s="931"/>
      <c r="B37" s="954">
        <v>4</v>
      </c>
      <c r="C37" s="955">
        <v>9</v>
      </c>
      <c r="D37" s="934">
        <v>3231968</v>
      </c>
      <c r="E37" s="956">
        <v>10</v>
      </c>
      <c r="F37" s="958">
        <v>3591070</v>
      </c>
    </row>
    <row r="38" spans="1:6" x14ac:dyDescent="0.3">
      <c r="A38" s="931"/>
      <c r="B38" s="954">
        <v>5</v>
      </c>
      <c r="C38" s="955">
        <v>6</v>
      </c>
      <c r="D38" s="934">
        <v>2378646</v>
      </c>
      <c r="E38" s="956">
        <v>3</v>
      </c>
      <c r="F38" s="958">
        <v>1189323</v>
      </c>
    </row>
    <row r="39" spans="1:6" ht="21" thickBot="1" x14ac:dyDescent="0.35">
      <c r="A39" s="931"/>
      <c r="B39" s="954">
        <v>6</v>
      </c>
      <c r="C39" s="955">
        <v>7</v>
      </c>
      <c r="D39" s="934">
        <v>3428360</v>
      </c>
      <c r="E39" s="956">
        <v>6</v>
      </c>
      <c r="F39" s="958">
        <v>2938590</v>
      </c>
    </row>
    <row r="40" spans="1:6" ht="21" thickBot="1" x14ac:dyDescent="0.35">
      <c r="A40" s="937" t="s">
        <v>187</v>
      </c>
      <c r="B40" s="938"/>
      <c r="C40" s="959">
        <f>SUM(C34:C39)</f>
        <v>29</v>
      </c>
      <c r="D40" s="940">
        <f>SUM(D34:D39)</f>
        <v>11297582</v>
      </c>
      <c r="E40" s="960">
        <f>SUM(E34:E39)</f>
        <v>23</v>
      </c>
      <c r="F40" s="961">
        <f>SUM(F34:F39)</f>
        <v>9026632</v>
      </c>
    </row>
    <row r="41" spans="1:6" x14ac:dyDescent="0.3">
      <c r="A41" s="931"/>
      <c r="B41" s="954">
        <v>7</v>
      </c>
      <c r="C41" s="955">
        <v>17</v>
      </c>
      <c r="D41" s="934">
        <v>10880170</v>
      </c>
      <c r="E41" s="956">
        <v>17</v>
      </c>
      <c r="F41" s="958">
        <v>10880170</v>
      </c>
    </row>
    <row r="42" spans="1:6" x14ac:dyDescent="0.3">
      <c r="A42" s="931"/>
      <c r="B42" s="954">
        <v>8</v>
      </c>
      <c r="C42" s="955">
        <v>1</v>
      </c>
      <c r="D42" s="934">
        <v>802503</v>
      </c>
      <c r="E42" s="956">
        <v>1</v>
      </c>
      <c r="F42" s="958">
        <v>802503</v>
      </c>
    </row>
    <row r="43" spans="1:6" x14ac:dyDescent="0.3">
      <c r="A43" s="931"/>
      <c r="B43" s="954">
        <v>9</v>
      </c>
      <c r="C43" s="955">
        <v>1</v>
      </c>
      <c r="D43" s="934">
        <v>921210</v>
      </c>
      <c r="E43" s="956">
        <v>1</v>
      </c>
      <c r="F43" s="958">
        <v>921210</v>
      </c>
    </row>
    <row r="44" spans="1:6" x14ac:dyDescent="0.3">
      <c r="A44" s="931"/>
      <c r="B44" s="954">
        <v>10</v>
      </c>
      <c r="C44" s="955">
        <v>2</v>
      </c>
      <c r="D44" s="934">
        <v>2170688</v>
      </c>
      <c r="E44" s="956">
        <v>1</v>
      </c>
      <c r="F44" s="958">
        <v>1085344</v>
      </c>
    </row>
    <row r="45" spans="1:6" ht="21" thickBot="1" x14ac:dyDescent="0.35">
      <c r="A45" s="931"/>
      <c r="B45" s="954">
        <v>12</v>
      </c>
      <c r="C45" s="955">
        <v>3</v>
      </c>
      <c r="D45" s="934">
        <v>3705992</v>
      </c>
      <c r="E45" s="956">
        <v>1</v>
      </c>
      <c r="F45" s="958">
        <v>1235330</v>
      </c>
    </row>
    <row r="46" spans="1:6" ht="21" thickBot="1" x14ac:dyDescent="0.35">
      <c r="A46" s="937" t="s">
        <v>188</v>
      </c>
      <c r="B46" s="938"/>
      <c r="C46" s="962">
        <v>15</v>
      </c>
      <c r="D46" s="940">
        <f>SUM(D41:D45)</f>
        <v>18480563</v>
      </c>
      <c r="E46" s="963">
        <f>SUM(E41:E45)</f>
        <v>21</v>
      </c>
      <c r="F46" s="961">
        <f>SUM(F41:F45)</f>
        <v>14924557</v>
      </c>
    </row>
    <row r="47" spans="1:6" x14ac:dyDescent="0.3">
      <c r="A47" s="931"/>
      <c r="B47" s="954">
        <v>13</v>
      </c>
      <c r="C47" s="955">
        <v>3</v>
      </c>
      <c r="D47" s="934">
        <v>4079790</v>
      </c>
      <c r="E47" s="956">
        <v>1</v>
      </c>
      <c r="F47" s="958">
        <v>1359930</v>
      </c>
    </row>
    <row r="48" spans="1:6" x14ac:dyDescent="0.3">
      <c r="A48" s="931"/>
      <c r="B48" s="954">
        <v>14</v>
      </c>
      <c r="C48" s="955">
        <v>5</v>
      </c>
      <c r="D48" s="934">
        <v>7410042</v>
      </c>
      <c r="E48" s="956">
        <v>4</v>
      </c>
      <c r="F48" s="958">
        <v>5928032</v>
      </c>
    </row>
    <row r="49" spans="1:6" x14ac:dyDescent="0.3">
      <c r="A49" s="931"/>
      <c r="B49" s="954">
        <v>15</v>
      </c>
      <c r="C49" s="955">
        <v>2</v>
      </c>
      <c r="D49" s="934">
        <v>3875548</v>
      </c>
      <c r="E49" s="956">
        <v>2</v>
      </c>
      <c r="F49" s="958">
        <v>3875548</v>
      </c>
    </row>
    <row r="50" spans="1:6" ht="21" thickBot="1" x14ac:dyDescent="0.35">
      <c r="A50" s="931"/>
      <c r="B50" s="954">
        <v>16</v>
      </c>
      <c r="C50" s="955">
        <v>2</v>
      </c>
      <c r="D50" s="934">
        <v>4756210</v>
      </c>
      <c r="E50" s="956">
        <v>2</v>
      </c>
      <c r="F50" s="958">
        <v>4756210</v>
      </c>
    </row>
    <row r="51" spans="1:6" ht="21" thickBot="1" x14ac:dyDescent="0.35">
      <c r="A51" s="937" t="s">
        <v>189</v>
      </c>
      <c r="B51" s="938"/>
      <c r="C51" s="962">
        <f>SUM(C47:C50)</f>
        <v>12</v>
      </c>
      <c r="D51" s="940">
        <f>SUM(D47:D50)</f>
        <v>20121590</v>
      </c>
      <c r="E51" s="963">
        <f>SUM(E47:E50)</f>
        <v>9</v>
      </c>
      <c r="F51" s="961">
        <f>SUM(F47:F50)</f>
        <v>15919720</v>
      </c>
    </row>
    <row r="52" spans="1:6" s="924" customFormat="1" ht="21" thickBot="1" x14ac:dyDescent="0.25">
      <c r="A52" s="937" t="s">
        <v>190</v>
      </c>
      <c r="B52" s="938"/>
      <c r="C52" s="959">
        <f>SUM(C51,C46,C40)</f>
        <v>56</v>
      </c>
      <c r="D52" s="940">
        <f>SUM(D51,D46,D40)</f>
        <v>49899735</v>
      </c>
      <c r="E52" s="959">
        <f>SUM(E51,E46,E40)</f>
        <v>53</v>
      </c>
      <c r="F52" s="940">
        <f>SUM(F51,F46,F40)</f>
        <v>39870909</v>
      </c>
    </row>
    <row r="53" spans="1:6" x14ac:dyDescent="0.2">
      <c r="A53" s="964" t="s">
        <v>420</v>
      </c>
      <c r="B53" s="954"/>
      <c r="C53" s="955">
        <v>1</v>
      </c>
      <c r="D53" s="934">
        <v>2112215</v>
      </c>
      <c r="E53" s="955">
        <v>1</v>
      </c>
      <c r="F53" s="934">
        <v>2112215</v>
      </c>
    </row>
    <row r="54" spans="1:6" x14ac:dyDescent="0.2">
      <c r="A54" s="964" t="s">
        <v>421</v>
      </c>
      <c r="B54" s="954"/>
      <c r="C54" s="955"/>
      <c r="D54" s="934">
        <v>5280550</v>
      </c>
      <c r="E54" s="955"/>
      <c r="F54" s="934">
        <v>5280550</v>
      </c>
    </row>
    <row r="55" spans="1:6" x14ac:dyDescent="0.2">
      <c r="A55" s="964" t="s">
        <v>1130</v>
      </c>
      <c r="B55" s="954"/>
      <c r="C55" s="955">
        <v>1</v>
      </c>
      <c r="D55" s="934">
        <v>1247870</v>
      </c>
      <c r="E55" s="955">
        <v>1</v>
      </c>
      <c r="F55" s="934">
        <v>1247870</v>
      </c>
    </row>
    <row r="56" spans="1:6" x14ac:dyDescent="0.2">
      <c r="A56" s="964" t="s">
        <v>1131</v>
      </c>
      <c r="B56" s="954"/>
      <c r="C56" s="955"/>
      <c r="D56" s="934">
        <v>4180365</v>
      </c>
      <c r="E56" s="955"/>
      <c r="F56" s="934">
        <v>4180365</v>
      </c>
    </row>
    <row r="57" spans="1:6" s="905" customFormat="1" x14ac:dyDescent="0.3">
      <c r="A57" s="905" t="s">
        <v>193</v>
      </c>
      <c r="B57" s="965"/>
      <c r="C57" s="966">
        <v>0</v>
      </c>
      <c r="D57" s="967"/>
      <c r="E57" s="956">
        <v>1</v>
      </c>
      <c r="F57" s="958">
        <v>884392</v>
      </c>
    </row>
    <row r="58" spans="1:6" s="905" customFormat="1" ht="21" thickBot="1" x14ac:dyDescent="0.35">
      <c r="A58" s="905" t="s">
        <v>194</v>
      </c>
      <c r="B58" s="965"/>
      <c r="C58" s="966">
        <v>0</v>
      </c>
      <c r="D58" s="967"/>
      <c r="E58" s="956"/>
      <c r="F58" s="958">
        <v>726756</v>
      </c>
    </row>
    <row r="59" spans="1:6" ht="21" thickBot="1" x14ac:dyDescent="0.25">
      <c r="A59" s="950" t="s">
        <v>117</v>
      </c>
      <c r="B59" s="938"/>
      <c r="C59" s="959">
        <v>4</v>
      </c>
      <c r="D59" s="940">
        <f>SUM(D53:D56)</f>
        <v>12821000</v>
      </c>
      <c r="E59" s="968">
        <f>SUM(E53:E58)</f>
        <v>3</v>
      </c>
      <c r="F59" s="940">
        <f>SUM(F53:F58)</f>
        <v>14432148</v>
      </c>
    </row>
    <row r="60" spans="1:6" ht="21" thickBot="1" x14ac:dyDescent="0.25">
      <c r="A60" s="950" t="s">
        <v>195</v>
      </c>
      <c r="B60" s="938"/>
      <c r="C60" s="939">
        <f>SUM(C52:C59)</f>
        <v>62</v>
      </c>
      <c r="D60" s="969">
        <f>SUM(D52,D59)</f>
        <v>62720735</v>
      </c>
      <c r="E60" s="939">
        <f>SUM(E52,E59)</f>
        <v>56</v>
      </c>
      <c r="F60" s="969">
        <f>SUM(F52,F59)</f>
        <v>54303057</v>
      </c>
    </row>
    <row r="61" spans="1:6" ht="8.25" customHeight="1" x14ac:dyDescent="0.2">
      <c r="A61" s="3545"/>
      <c r="B61" s="3545"/>
      <c r="C61" s="3545"/>
      <c r="D61" s="3545"/>
      <c r="E61" s="3545"/>
      <c r="F61" s="3545"/>
    </row>
    <row r="62" spans="1:6" x14ac:dyDescent="0.2">
      <c r="A62" s="3545" t="s">
        <v>183</v>
      </c>
      <c r="B62" s="3545"/>
      <c r="C62" s="3545"/>
      <c r="D62" s="3545"/>
      <c r="E62" s="3545"/>
      <c r="F62" s="3545"/>
    </row>
    <row r="63" spans="1:6" ht="21" thickBot="1" x14ac:dyDescent="0.25">
      <c r="A63" s="3546" t="s">
        <v>736</v>
      </c>
      <c r="B63" s="3546"/>
      <c r="C63" s="3546"/>
      <c r="D63" s="3546"/>
      <c r="E63" s="3546"/>
      <c r="F63" s="3546"/>
    </row>
    <row r="64" spans="1:6" s="924" customFormat="1" ht="41.25" thickBot="1" x14ac:dyDescent="0.25">
      <c r="A64" s="920" t="s">
        <v>185</v>
      </c>
      <c r="B64" s="921" t="s">
        <v>186</v>
      </c>
      <c r="C64" s="922" t="s">
        <v>564</v>
      </c>
      <c r="D64" s="953" t="s">
        <v>1128</v>
      </c>
      <c r="E64" s="922" t="s">
        <v>1129</v>
      </c>
      <c r="F64" s="923" t="s">
        <v>3096</v>
      </c>
    </row>
    <row r="65" spans="1:6" s="975" customFormat="1" ht="18.75" x14ac:dyDescent="0.2">
      <c r="A65" s="970"/>
      <c r="B65" s="971">
        <v>1</v>
      </c>
      <c r="C65" s="972">
        <v>7</v>
      </c>
      <c r="D65" s="973" t="s">
        <v>130</v>
      </c>
      <c r="E65" s="972">
        <v>0</v>
      </c>
      <c r="F65" s="974">
        <v>0</v>
      </c>
    </row>
    <row r="66" spans="1:6" s="975" customFormat="1" ht="18.75" x14ac:dyDescent="0.2">
      <c r="A66" s="976"/>
      <c r="B66" s="971">
        <v>2</v>
      </c>
      <c r="C66" s="977">
        <v>5</v>
      </c>
      <c r="D66" s="973" t="s">
        <v>130</v>
      </c>
      <c r="E66" s="977"/>
      <c r="F66" s="974"/>
    </row>
    <row r="67" spans="1:6" s="975" customFormat="1" ht="18.75" x14ac:dyDescent="0.2">
      <c r="A67" s="976"/>
      <c r="B67" s="971">
        <v>3</v>
      </c>
      <c r="C67" s="977">
        <v>10</v>
      </c>
      <c r="D67" s="973" t="s">
        <v>130</v>
      </c>
      <c r="E67" s="977"/>
      <c r="F67" s="974"/>
    </row>
    <row r="68" spans="1:6" s="975" customFormat="1" ht="18.75" x14ac:dyDescent="0.2">
      <c r="A68" s="976"/>
      <c r="B68" s="971">
        <v>4</v>
      </c>
      <c r="C68" s="977">
        <v>13</v>
      </c>
      <c r="D68" s="973">
        <v>1023185</v>
      </c>
      <c r="E68" s="977"/>
      <c r="F68" s="974"/>
    </row>
    <row r="69" spans="1:6" s="975" customFormat="1" ht="18.75" x14ac:dyDescent="0.2">
      <c r="A69" s="976"/>
      <c r="B69" s="971">
        <v>5</v>
      </c>
      <c r="C69" s="977">
        <v>3</v>
      </c>
      <c r="D69" s="973">
        <v>426195</v>
      </c>
      <c r="E69" s="977"/>
      <c r="F69" s="974"/>
    </row>
    <row r="70" spans="1:6" s="975" customFormat="1" ht="19.5" thickBot="1" x14ac:dyDescent="0.25">
      <c r="A70" s="976"/>
      <c r="B70" s="971">
        <v>6</v>
      </c>
      <c r="C70" s="977">
        <v>1</v>
      </c>
      <c r="D70" s="973">
        <v>503725</v>
      </c>
      <c r="E70" s="977"/>
      <c r="F70" s="974"/>
    </row>
    <row r="71" spans="1:6" ht="21" thickBot="1" x14ac:dyDescent="0.25">
      <c r="A71" s="937" t="s">
        <v>187</v>
      </c>
      <c r="B71" s="938"/>
      <c r="C71" s="939">
        <v>23</v>
      </c>
      <c r="D71" s="940">
        <f>SUM(D65:D70)</f>
        <v>1953105</v>
      </c>
      <c r="E71" s="939">
        <v>0</v>
      </c>
      <c r="F71" s="940">
        <v>0</v>
      </c>
    </row>
    <row r="72" spans="1:6" s="975" customFormat="1" ht="18.75" x14ac:dyDescent="0.2">
      <c r="A72" s="976"/>
      <c r="B72" s="971">
        <v>7</v>
      </c>
      <c r="C72" s="977">
        <v>2</v>
      </c>
      <c r="D72" s="973" t="s">
        <v>130</v>
      </c>
      <c r="E72" s="977">
        <v>0</v>
      </c>
      <c r="F72" s="974">
        <v>0</v>
      </c>
    </row>
    <row r="73" spans="1:6" s="975" customFormat="1" ht="18.75" x14ac:dyDescent="0.2">
      <c r="A73" s="976"/>
      <c r="B73" s="971">
        <v>8</v>
      </c>
      <c r="C73" s="977">
        <v>3</v>
      </c>
      <c r="D73" s="973">
        <v>1029510</v>
      </c>
      <c r="E73" s="977"/>
      <c r="F73" s="974"/>
    </row>
    <row r="74" spans="1:6" s="975" customFormat="1" ht="18.75" x14ac:dyDescent="0.2">
      <c r="A74" s="976"/>
      <c r="B74" s="971">
        <v>9</v>
      </c>
      <c r="C74" s="977">
        <v>3</v>
      </c>
      <c r="D74" s="973">
        <v>1062055</v>
      </c>
      <c r="E74" s="977"/>
      <c r="F74" s="974"/>
    </row>
    <row r="75" spans="1:6" s="975" customFormat="1" ht="18.75" x14ac:dyDescent="0.2">
      <c r="A75" s="976"/>
      <c r="B75" s="971">
        <v>10</v>
      </c>
      <c r="C75" s="977">
        <v>2</v>
      </c>
      <c r="D75" s="973">
        <v>1011695</v>
      </c>
      <c r="E75" s="977"/>
      <c r="F75" s="974"/>
    </row>
    <row r="76" spans="1:6" s="975" customFormat="1" ht="19.5" thickBot="1" x14ac:dyDescent="0.25">
      <c r="A76" s="976"/>
      <c r="B76" s="971">
        <v>12</v>
      </c>
      <c r="C76" s="977">
        <v>1</v>
      </c>
      <c r="D76" s="973">
        <v>944345</v>
      </c>
      <c r="E76" s="977"/>
      <c r="F76" s="974"/>
    </row>
    <row r="77" spans="1:6" ht="21" thickBot="1" x14ac:dyDescent="0.25">
      <c r="A77" s="937" t="s">
        <v>188</v>
      </c>
      <c r="B77" s="938"/>
      <c r="C77" s="939">
        <v>12</v>
      </c>
      <c r="D77" s="940">
        <f>SUM(D72:D76)</f>
        <v>4047605</v>
      </c>
      <c r="E77" s="939">
        <v>0</v>
      </c>
      <c r="F77" s="940">
        <v>0</v>
      </c>
    </row>
    <row r="78" spans="1:6" x14ac:dyDescent="0.2">
      <c r="A78" s="931"/>
      <c r="B78" s="954">
        <v>13</v>
      </c>
      <c r="C78" s="933">
        <v>1</v>
      </c>
      <c r="D78" s="978">
        <v>2386450</v>
      </c>
      <c r="E78" s="933">
        <v>0</v>
      </c>
      <c r="F78" s="934"/>
    </row>
    <row r="79" spans="1:6" x14ac:dyDescent="0.2">
      <c r="A79" s="931"/>
      <c r="B79" s="954">
        <v>14</v>
      </c>
      <c r="C79" s="933">
        <v>7</v>
      </c>
      <c r="D79" s="978">
        <v>3413655</v>
      </c>
      <c r="E79" s="933"/>
      <c r="F79" s="934"/>
    </row>
    <row r="80" spans="1:6" x14ac:dyDescent="0.2">
      <c r="A80" s="931"/>
      <c r="B80" s="954">
        <v>15</v>
      </c>
      <c r="C80" s="933">
        <v>1</v>
      </c>
      <c r="D80" s="978">
        <v>1306125</v>
      </c>
      <c r="E80" s="933"/>
      <c r="F80" s="934"/>
    </row>
    <row r="81" spans="1:6" ht="21" thickBot="1" x14ac:dyDescent="0.25">
      <c r="A81" s="931"/>
      <c r="B81" s="954">
        <v>16</v>
      </c>
      <c r="C81" s="933">
        <v>0</v>
      </c>
      <c r="D81" s="978">
        <v>0</v>
      </c>
      <c r="E81" s="933">
        <v>0</v>
      </c>
      <c r="F81" s="934">
        <v>0</v>
      </c>
    </row>
    <row r="82" spans="1:6" ht="21" thickBot="1" x14ac:dyDescent="0.25">
      <c r="A82" s="937" t="s">
        <v>189</v>
      </c>
      <c r="B82" s="938"/>
      <c r="C82" s="939">
        <f>SUM(C78:C81)</f>
        <v>9</v>
      </c>
      <c r="D82" s="940">
        <f>SUM(D78:D81)</f>
        <v>7106230</v>
      </c>
      <c r="E82" s="968">
        <f>SUM(E78:E81)</f>
        <v>0</v>
      </c>
      <c r="F82" s="940">
        <v>0</v>
      </c>
    </row>
    <row r="83" spans="1:6" ht="21" thickBot="1" x14ac:dyDescent="0.25">
      <c r="A83" s="937" t="s">
        <v>190</v>
      </c>
      <c r="B83" s="938"/>
      <c r="C83" s="939">
        <f>SUM(C82,C77,C71)</f>
        <v>44</v>
      </c>
      <c r="D83" s="940">
        <f>SUM(D82,D77,D71)</f>
        <v>13106940</v>
      </c>
      <c r="E83" s="968">
        <f>SUM(E82,E77,E71)</f>
        <v>0</v>
      </c>
      <c r="F83" s="940">
        <v>0</v>
      </c>
    </row>
    <row r="84" spans="1:6" s="905" customFormat="1" ht="21" thickBot="1" x14ac:dyDescent="0.35">
      <c r="A84" s="905" t="s">
        <v>790</v>
      </c>
      <c r="B84" s="965"/>
      <c r="C84" s="979"/>
      <c r="D84" s="980"/>
      <c r="E84" s="935">
        <v>18</v>
      </c>
      <c r="F84" s="981">
        <v>3240000</v>
      </c>
    </row>
    <row r="85" spans="1:6" s="924" customFormat="1" ht="21" thickBot="1" x14ac:dyDescent="0.25">
      <c r="A85" s="950" t="s">
        <v>737</v>
      </c>
      <c r="B85" s="938"/>
      <c r="C85" s="939">
        <f>SUM(C83:C84)</f>
        <v>44</v>
      </c>
      <c r="D85" s="940">
        <f>SUM(D81:D84)</f>
        <v>20213170</v>
      </c>
      <c r="E85" s="968">
        <f>SUM(E83:E84)</f>
        <v>18</v>
      </c>
      <c r="F85" s="982">
        <f>SUM(F81:F84)</f>
        <v>3240000</v>
      </c>
    </row>
    <row r="86" spans="1:6" x14ac:dyDescent="0.2">
      <c r="A86" s="964" t="s">
        <v>456</v>
      </c>
      <c r="B86" s="954"/>
      <c r="C86" s="933">
        <v>1</v>
      </c>
      <c r="D86" s="978">
        <v>1250110</v>
      </c>
      <c r="E86" s="933">
        <v>1</v>
      </c>
      <c r="F86" s="934">
        <v>1250110</v>
      </c>
    </row>
    <row r="87" spans="1:6" x14ac:dyDescent="0.2">
      <c r="A87" s="964" t="s">
        <v>2660</v>
      </c>
      <c r="B87" s="954"/>
      <c r="C87" s="933"/>
      <c r="D87" s="978">
        <v>4479705</v>
      </c>
      <c r="E87" s="933"/>
      <c r="F87" s="934">
        <v>4479705</v>
      </c>
    </row>
    <row r="88" spans="1:6" x14ac:dyDescent="0.2">
      <c r="A88" s="964" t="s">
        <v>1130</v>
      </c>
      <c r="B88" s="954"/>
      <c r="C88" s="933">
        <v>1</v>
      </c>
      <c r="D88" s="978">
        <v>1247870</v>
      </c>
      <c r="E88" s="933">
        <v>1</v>
      </c>
      <c r="F88" s="934">
        <v>1247870</v>
      </c>
    </row>
    <row r="89" spans="1:6" ht="21" thickBot="1" x14ac:dyDescent="0.25">
      <c r="A89" s="964" t="s">
        <v>1132</v>
      </c>
      <c r="B89" s="954"/>
      <c r="C89" s="933"/>
      <c r="D89" s="978">
        <v>4180365</v>
      </c>
      <c r="E89" s="933"/>
      <c r="F89" s="934">
        <v>4180365</v>
      </c>
    </row>
    <row r="90" spans="1:6" s="924" customFormat="1" ht="21" thickBot="1" x14ac:dyDescent="0.25">
      <c r="A90" s="950" t="s">
        <v>737</v>
      </c>
      <c r="B90" s="938"/>
      <c r="C90" s="939">
        <f>SUM(C86:C89)</f>
        <v>2</v>
      </c>
      <c r="D90" s="940">
        <f>SUM(D86:D89)</f>
        <v>11158050</v>
      </c>
      <c r="E90" s="968">
        <f>SUM(E86:E89)</f>
        <v>2</v>
      </c>
      <c r="F90" s="940">
        <f>SUM(F86:F89)</f>
        <v>11158050</v>
      </c>
    </row>
    <row r="91" spans="1:6" ht="21" thickBot="1" x14ac:dyDescent="0.25">
      <c r="A91" s="950" t="s">
        <v>2661</v>
      </c>
      <c r="B91" s="938"/>
      <c r="C91" s="939">
        <f>SUM(C83,C90)</f>
        <v>46</v>
      </c>
      <c r="D91" s="940">
        <f>SUM(D83,D90)</f>
        <v>24264990</v>
      </c>
      <c r="E91" s="939">
        <v>20</v>
      </c>
      <c r="F91" s="940">
        <f>SUM(F85,F90)</f>
        <v>14398050</v>
      </c>
    </row>
    <row r="92" spans="1:6" ht="19.5" customHeight="1" x14ac:dyDescent="0.2">
      <c r="A92" s="924"/>
      <c r="B92" s="983"/>
      <c r="C92" s="984"/>
      <c r="D92" s="985"/>
      <c r="E92" s="984"/>
      <c r="F92" s="985"/>
    </row>
    <row r="93" spans="1:6" x14ac:dyDescent="0.2">
      <c r="A93" s="3545" t="s">
        <v>183</v>
      </c>
      <c r="B93" s="3545"/>
      <c r="C93" s="3545"/>
      <c r="D93" s="3545"/>
      <c r="E93" s="3545"/>
      <c r="F93" s="3545"/>
    </row>
    <row r="94" spans="1:6" ht="21" thickBot="1" x14ac:dyDescent="0.25">
      <c r="A94" s="3546" t="s">
        <v>728</v>
      </c>
      <c r="B94" s="3546"/>
      <c r="C94" s="3546"/>
      <c r="D94" s="3546"/>
      <c r="E94" s="3546"/>
      <c r="F94" s="3546"/>
    </row>
    <row r="95" spans="1:6" s="924" customFormat="1" ht="41.25" thickBot="1" x14ac:dyDescent="0.25">
      <c r="A95" s="920" t="s">
        <v>185</v>
      </c>
      <c r="B95" s="921" t="s">
        <v>186</v>
      </c>
      <c r="C95" s="922" t="s">
        <v>564</v>
      </c>
      <c r="D95" s="953" t="s">
        <v>1128</v>
      </c>
      <c r="E95" s="922" t="s">
        <v>1129</v>
      </c>
      <c r="F95" s="923" t="s">
        <v>3096</v>
      </c>
    </row>
    <row r="96" spans="1:6" x14ac:dyDescent="0.2">
      <c r="A96" s="931"/>
      <c r="B96" s="954">
        <v>1</v>
      </c>
      <c r="C96" s="927" t="s">
        <v>179</v>
      </c>
      <c r="D96" s="978" t="s">
        <v>179</v>
      </c>
      <c r="E96" s="927" t="s">
        <v>179</v>
      </c>
      <c r="F96" s="934" t="s">
        <v>179</v>
      </c>
    </row>
    <row r="97" spans="1:6" x14ac:dyDescent="0.2">
      <c r="A97" s="931"/>
      <c r="B97" s="954">
        <v>2</v>
      </c>
      <c r="C97" s="933" t="s">
        <v>179</v>
      </c>
      <c r="D97" s="978" t="s">
        <v>130</v>
      </c>
      <c r="E97" s="933" t="s">
        <v>179</v>
      </c>
      <c r="F97" s="934" t="s">
        <v>130</v>
      </c>
    </row>
    <row r="98" spans="1:6" x14ac:dyDescent="0.2">
      <c r="A98" s="931"/>
      <c r="B98" s="954">
        <v>3</v>
      </c>
      <c r="C98" s="933">
        <v>7</v>
      </c>
      <c r="D98" s="978">
        <v>1107815</v>
      </c>
      <c r="E98" s="933">
        <v>3</v>
      </c>
      <c r="F98" s="934">
        <v>791296</v>
      </c>
    </row>
    <row r="99" spans="1:6" x14ac:dyDescent="0.2">
      <c r="A99" s="931"/>
      <c r="B99" s="954">
        <v>4</v>
      </c>
      <c r="C99" s="933" t="s">
        <v>179</v>
      </c>
      <c r="D99" s="978" t="s">
        <v>130</v>
      </c>
      <c r="E99" s="933" t="s">
        <v>179</v>
      </c>
      <c r="F99" s="934" t="s">
        <v>130</v>
      </c>
    </row>
    <row r="100" spans="1:6" x14ac:dyDescent="0.2">
      <c r="A100" s="931"/>
      <c r="B100" s="954">
        <v>5</v>
      </c>
      <c r="C100" s="933">
        <v>1</v>
      </c>
      <c r="D100" s="978">
        <v>360740</v>
      </c>
      <c r="E100" s="933">
        <v>1</v>
      </c>
      <c r="F100" s="934">
        <v>360740</v>
      </c>
    </row>
    <row r="101" spans="1:6" ht="21" thickBot="1" x14ac:dyDescent="0.25">
      <c r="A101" s="931"/>
      <c r="B101" s="954">
        <v>6</v>
      </c>
      <c r="C101" s="933">
        <v>2</v>
      </c>
      <c r="D101" s="978">
        <v>664480</v>
      </c>
      <c r="E101" s="933">
        <v>2</v>
      </c>
      <c r="F101" s="934">
        <v>664480</v>
      </c>
    </row>
    <row r="102" spans="1:6" s="924" customFormat="1" ht="21" thickBot="1" x14ac:dyDescent="0.25">
      <c r="A102" s="937" t="s">
        <v>187</v>
      </c>
      <c r="B102" s="938"/>
      <c r="C102" s="939">
        <v>10</v>
      </c>
      <c r="D102" s="940">
        <f>SUM(D98:D101)</f>
        <v>2133035</v>
      </c>
      <c r="E102" s="968">
        <f>SUM(E98:E101)</f>
        <v>6</v>
      </c>
      <c r="F102" s="940">
        <f>SUM(F98:F101)</f>
        <v>1816516</v>
      </c>
    </row>
    <row r="103" spans="1:6" x14ac:dyDescent="0.2">
      <c r="A103" s="931"/>
      <c r="B103" s="954">
        <v>7</v>
      </c>
      <c r="C103" s="933">
        <v>4</v>
      </c>
      <c r="D103" s="978">
        <v>1760400</v>
      </c>
      <c r="E103" s="933">
        <v>3</v>
      </c>
      <c r="F103" s="934">
        <v>1760400</v>
      </c>
    </row>
    <row r="104" spans="1:6" x14ac:dyDescent="0.2">
      <c r="A104" s="931"/>
      <c r="B104" s="954">
        <v>8</v>
      </c>
      <c r="C104" s="933">
        <v>2</v>
      </c>
      <c r="D104" s="978">
        <v>1924020</v>
      </c>
      <c r="E104" s="933">
        <v>2</v>
      </c>
      <c r="F104" s="934">
        <v>1924020</v>
      </c>
    </row>
    <row r="105" spans="1:6" x14ac:dyDescent="0.2">
      <c r="A105" s="931"/>
      <c r="B105" s="954">
        <v>9</v>
      </c>
      <c r="C105" s="933" t="s">
        <v>179</v>
      </c>
      <c r="D105" s="978" t="s">
        <v>130</v>
      </c>
      <c r="E105" s="933" t="s">
        <v>179</v>
      </c>
      <c r="F105" s="934" t="s">
        <v>130</v>
      </c>
    </row>
    <row r="106" spans="1:6" x14ac:dyDescent="0.2">
      <c r="A106" s="931"/>
      <c r="B106" s="954">
        <v>10</v>
      </c>
      <c r="C106" s="933">
        <v>3</v>
      </c>
      <c r="D106" s="978">
        <v>2391660</v>
      </c>
      <c r="E106" s="933">
        <v>3</v>
      </c>
      <c r="F106" s="934">
        <v>2391660</v>
      </c>
    </row>
    <row r="107" spans="1:6" ht="21" thickBot="1" x14ac:dyDescent="0.25">
      <c r="A107" s="931"/>
      <c r="B107" s="954">
        <v>12</v>
      </c>
      <c r="C107" s="933" t="s">
        <v>179</v>
      </c>
      <c r="D107" s="978" t="s">
        <v>130</v>
      </c>
      <c r="E107" s="933" t="s">
        <v>179</v>
      </c>
      <c r="F107" s="934" t="s">
        <v>130</v>
      </c>
    </row>
    <row r="108" spans="1:6" s="924" customFormat="1" ht="21" thickBot="1" x14ac:dyDescent="0.25">
      <c r="A108" s="937" t="s">
        <v>188</v>
      </c>
      <c r="B108" s="938"/>
      <c r="C108" s="939">
        <v>9</v>
      </c>
      <c r="D108" s="940">
        <f>SUM(D103:D107)</f>
        <v>6076080</v>
      </c>
      <c r="E108" s="968">
        <f>SUM(E103:E107)</f>
        <v>8</v>
      </c>
      <c r="F108" s="940">
        <f>SUM(F103:F107)</f>
        <v>6076080</v>
      </c>
    </row>
    <row r="109" spans="1:6" x14ac:dyDescent="0.2">
      <c r="A109" s="931"/>
      <c r="B109" s="954">
        <v>13</v>
      </c>
      <c r="C109" s="933">
        <v>2</v>
      </c>
      <c r="D109" s="978">
        <v>1759370</v>
      </c>
      <c r="E109" s="933">
        <v>2</v>
      </c>
      <c r="F109" s="934">
        <v>1759370</v>
      </c>
    </row>
    <row r="110" spans="1:6" x14ac:dyDescent="0.2">
      <c r="A110" s="931"/>
      <c r="B110" s="954">
        <v>14</v>
      </c>
      <c r="C110" s="933">
        <v>5</v>
      </c>
      <c r="D110" s="978">
        <v>1406490</v>
      </c>
      <c r="E110" s="933">
        <v>2</v>
      </c>
      <c r="F110" s="934">
        <v>1406490</v>
      </c>
    </row>
    <row r="111" spans="1:6" x14ac:dyDescent="0.2">
      <c r="A111" s="931"/>
      <c r="B111" s="954">
        <v>15</v>
      </c>
      <c r="C111" s="933">
        <v>1</v>
      </c>
      <c r="D111" s="978">
        <v>1506360</v>
      </c>
      <c r="E111" s="933">
        <v>1</v>
      </c>
      <c r="F111" s="934">
        <v>1506360</v>
      </c>
    </row>
    <row r="112" spans="1:6" ht="21" thickBot="1" x14ac:dyDescent="0.25">
      <c r="A112" s="931"/>
      <c r="B112" s="954">
        <v>16</v>
      </c>
      <c r="C112" s="933">
        <v>1</v>
      </c>
      <c r="D112" s="978"/>
      <c r="E112" s="933">
        <v>1</v>
      </c>
      <c r="F112" s="934"/>
    </row>
    <row r="113" spans="1:6" s="924" customFormat="1" ht="21" thickBot="1" x14ac:dyDescent="0.25">
      <c r="A113" s="937" t="s">
        <v>189</v>
      </c>
      <c r="B113" s="938"/>
      <c r="C113" s="939">
        <f>SUM(C109:C112)</f>
        <v>9</v>
      </c>
      <c r="D113" s="940">
        <f>SUM(D109:D112)</f>
        <v>4672220</v>
      </c>
      <c r="E113" s="968">
        <f>SUM(E109:E112)</f>
        <v>6</v>
      </c>
      <c r="F113" s="940">
        <f>SUM(F109:F112)</f>
        <v>4672220</v>
      </c>
    </row>
    <row r="114" spans="1:6" s="924" customFormat="1" ht="21" thickBot="1" x14ac:dyDescent="0.25">
      <c r="A114" s="937" t="s">
        <v>190</v>
      </c>
      <c r="B114" s="938"/>
      <c r="C114" s="939">
        <f>SUM(C113,C108,C102)</f>
        <v>28</v>
      </c>
      <c r="D114" s="940">
        <f>SUM(D113,D108,D102)</f>
        <v>12881335</v>
      </c>
      <c r="E114" s="968">
        <f>SUM(E113,E108,E102)</f>
        <v>20</v>
      </c>
      <c r="F114" s="940">
        <f>SUM(F113,F108,F102)</f>
        <v>12564816</v>
      </c>
    </row>
    <row r="115" spans="1:6" x14ac:dyDescent="0.2">
      <c r="A115" s="964" t="s">
        <v>456</v>
      </c>
      <c r="B115" s="954"/>
      <c r="C115" s="933">
        <v>1</v>
      </c>
      <c r="D115" s="978">
        <v>1250110</v>
      </c>
      <c r="E115" s="933">
        <v>1</v>
      </c>
      <c r="F115" s="934">
        <v>1250110</v>
      </c>
    </row>
    <row r="116" spans="1:6" ht="21" thickBot="1" x14ac:dyDescent="0.25">
      <c r="A116" s="964" t="s">
        <v>2662</v>
      </c>
      <c r="B116" s="954"/>
      <c r="C116" s="933"/>
      <c r="D116" s="978">
        <v>4479705</v>
      </c>
      <c r="E116" s="933"/>
      <c r="F116" s="934">
        <v>4479705</v>
      </c>
    </row>
    <row r="117" spans="1:6" s="924" customFormat="1" ht="21" thickBot="1" x14ac:dyDescent="0.25">
      <c r="A117" s="986" t="s">
        <v>117</v>
      </c>
      <c r="B117" s="953"/>
      <c r="C117" s="968">
        <f>SUM(C115:C116)</f>
        <v>1</v>
      </c>
      <c r="D117" s="940">
        <f>SUM(D115:D116)</f>
        <v>5729815</v>
      </c>
      <c r="E117" s="968">
        <f>SUM(E115:E116)</f>
        <v>1</v>
      </c>
      <c r="F117" s="940">
        <f>SUM(F115:F116)</f>
        <v>5729815</v>
      </c>
    </row>
    <row r="118" spans="1:6" ht="21" thickBot="1" x14ac:dyDescent="0.25">
      <c r="A118" s="986" t="s">
        <v>2572</v>
      </c>
      <c r="B118" s="987"/>
      <c r="C118" s="968">
        <f>SUM(C114,C117)</f>
        <v>29</v>
      </c>
      <c r="D118" s="940">
        <f>SUM(D114,D117)</f>
        <v>18611150</v>
      </c>
      <c r="E118" s="968">
        <f>SUM(E114,E117)</f>
        <v>21</v>
      </c>
      <c r="F118" s="940">
        <f>SUM(F114,F117)</f>
        <v>18294631</v>
      </c>
    </row>
    <row r="119" spans="1:6" x14ac:dyDescent="0.2">
      <c r="A119" s="3545"/>
      <c r="B119" s="3545"/>
      <c r="C119" s="3545"/>
      <c r="D119" s="3545"/>
      <c r="E119" s="3545"/>
      <c r="F119" s="3545"/>
    </row>
    <row r="120" spans="1:6" x14ac:dyDescent="0.2">
      <c r="A120" s="3545" t="s">
        <v>183</v>
      </c>
      <c r="B120" s="3545"/>
      <c r="C120" s="3545"/>
      <c r="D120" s="3545"/>
      <c r="E120" s="3545"/>
      <c r="F120" s="3545"/>
    </row>
    <row r="121" spans="1:6" ht="21" thickBot="1" x14ac:dyDescent="0.25">
      <c r="A121" s="3546" t="s">
        <v>2856</v>
      </c>
      <c r="B121" s="3546"/>
      <c r="C121" s="3546"/>
      <c r="D121" s="3546"/>
      <c r="E121" s="3546"/>
      <c r="F121" s="3546"/>
    </row>
    <row r="122" spans="1:6" s="988" customFormat="1" ht="41.25" thickBot="1" x14ac:dyDescent="0.25">
      <c r="A122" s="920" t="s">
        <v>185</v>
      </c>
      <c r="B122" s="921" t="s">
        <v>186</v>
      </c>
      <c r="C122" s="922" t="s">
        <v>564</v>
      </c>
      <c r="D122" s="923" t="s">
        <v>1128</v>
      </c>
      <c r="E122" s="922" t="s">
        <v>1129</v>
      </c>
      <c r="F122" s="923" t="s">
        <v>3096</v>
      </c>
    </row>
    <row r="123" spans="1:6" x14ac:dyDescent="0.2">
      <c r="A123" s="925"/>
      <c r="B123" s="932">
        <v>1</v>
      </c>
      <c r="C123" s="927" t="s">
        <v>179</v>
      </c>
      <c r="D123" s="989" t="s">
        <v>179</v>
      </c>
      <c r="E123" s="927"/>
      <c r="F123" s="934"/>
    </row>
    <row r="124" spans="1:6" x14ac:dyDescent="0.2">
      <c r="A124" s="931"/>
      <c r="B124" s="932">
        <v>2</v>
      </c>
      <c r="C124" s="933"/>
      <c r="D124" s="989">
        <v>1951875</v>
      </c>
      <c r="E124" s="933"/>
      <c r="F124" s="934"/>
    </row>
    <row r="125" spans="1:6" x14ac:dyDescent="0.2">
      <c r="A125" s="931"/>
      <c r="B125" s="932">
        <v>3</v>
      </c>
      <c r="C125" s="933"/>
      <c r="D125" s="989">
        <v>558160</v>
      </c>
      <c r="E125" s="933"/>
      <c r="F125" s="934"/>
    </row>
    <row r="126" spans="1:6" x14ac:dyDescent="0.2">
      <c r="A126" s="931"/>
      <c r="B126" s="932">
        <v>4</v>
      </c>
      <c r="C126" s="933"/>
      <c r="E126" s="933"/>
      <c r="F126" s="934"/>
    </row>
    <row r="127" spans="1:6" x14ac:dyDescent="0.2">
      <c r="A127" s="931"/>
      <c r="B127" s="932">
        <v>5</v>
      </c>
      <c r="C127" s="933"/>
      <c r="E127" s="933"/>
      <c r="F127" s="934"/>
    </row>
    <row r="128" spans="1:6" ht="21" thickBot="1" x14ac:dyDescent="0.25">
      <c r="A128" s="931"/>
      <c r="B128" s="932">
        <v>6</v>
      </c>
      <c r="C128" s="933"/>
      <c r="E128" s="933"/>
      <c r="F128" s="934"/>
    </row>
    <row r="129" spans="1:6" ht="21" thickBot="1" x14ac:dyDescent="0.25">
      <c r="A129" s="937" t="s">
        <v>187</v>
      </c>
      <c r="B129" s="938"/>
      <c r="C129" s="939">
        <f>SUM(C123:C128)</f>
        <v>0</v>
      </c>
      <c r="D129" s="940">
        <f>SUM(D123:D128)</f>
        <v>2510035</v>
      </c>
      <c r="E129" s="939">
        <f>SUM(E123:E128)</f>
        <v>0</v>
      </c>
      <c r="F129" s="940">
        <f>SUM(F123:F128)</f>
        <v>0</v>
      </c>
    </row>
    <row r="130" spans="1:6" x14ac:dyDescent="0.2">
      <c r="A130" s="931"/>
      <c r="B130" s="932">
        <v>7</v>
      </c>
      <c r="C130" s="933"/>
      <c r="D130" s="989">
        <v>1064500</v>
      </c>
      <c r="E130" s="933"/>
      <c r="F130" s="934"/>
    </row>
    <row r="131" spans="1:6" x14ac:dyDescent="0.2">
      <c r="A131" s="931"/>
      <c r="B131" s="932">
        <v>8</v>
      </c>
      <c r="C131" s="933"/>
      <c r="D131" s="989">
        <v>1316960</v>
      </c>
      <c r="E131" s="933"/>
      <c r="F131" s="934"/>
    </row>
    <row r="132" spans="1:6" x14ac:dyDescent="0.2">
      <c r="A132" s="931"/>
      <c r="B132" s="932">
        <v>9</v>
      </c>
      <c r="C132" s="933"/>
      <c r="E132" s="933"/>
      <c r="F132" s="934"/>
    </row>
    <row r="133" spans="1:6" x14ac:dyDescent="0.2">
      <c r="A133" s="931"/>
      <c r="B133" s="932">
        <v>10</v>
      </c>
      <c r="C133" s="933"/>
      <c r="E133" s="933"/>
      <c r="F133" s="934"/>
    </row>
    <row r="134" spans="1:6" ht="21" thickBot="1" x14ac:dyDescent="0.25">
      <c r="A134" s="931"/>
      <c r="B134" s="932">
        <v>12</v>
      </c>
      <c r="C134" s="933"/>
      <c r="E134" s="933"/>
      <c r="F134" s="934"/>
    </row>
    <row r="135" spans="1:6" ht="21" thickBot="1" x14ac:dyDescent="0.25">
      <c r="A135" s="937" t="s">
        <v>188</v>
      </c>
      <c r="B135" s="938"/>
      <c r="C135" s="939">
        <f>SUM(C130:C134)</f>
        <v>0</v>
      </c>
      <c r="D135" s="940">
        <f>SUM(D130:D134)</f>
        <v>2381460</v>
      </c>
      <c r="E135" s="939">
        <f>SUM(E130:E134)</f>
        <v>0</v>
      </c>
      <c r="F135" s="940">
        <f>SUM(F130:F134)</f>
        <v>0</v>
      </c>
    </row>
    <row r="136" spans="1:6" x14ac:dyDescent="0.2">
      <c r="A136" s="931"/>
      <c r="B136" s="932">
        <v>13</v>
      </c>
      <c r="C136" s="933"/>
      <c r="E136" s="933"/>
      <c r="F136" s="934"/>
    </row>
    <row r="137" spans="1:6" x14ac:dyDescent="0.2">
      <c r="A137" s="931"/>
      <c r="B137" s="932">
        <v>14</v>
      </c>
      <c r="C137" s="933"/>
      <c r="E137" s="933"/>
      <c r="F137" s="934"/>
    </row>
    <row r="138" spans="1:6" x14ac:dyDescent="0.2">
      <c r="A138" s="931"/>
      <c r="B138" s="932">
        <v>15</v>
      </c>
      <c r="C138" s="933"/>
      <c r="E138" s="933"/>
      <c r="F138" s="934"/>
    </row>
    <row r="139" spans="1:6" ht="21" thickBot="1" x14ac:dyDescent="0.25">
      <c r="A139" s="931"/>
      <c r="B139" s="932">
        <v>16</v>
      </c>
      <c r="C139" s="933"/>
      <c r="E139" s="933"/>
      <c r="F139" s="934"/>
    </row>
    <row r="140" spans="1:6" ht="21" thickBot="1" x14ac:dyDescent="0.25">
      <c r="A140" s="937" t="s">
        <v>189</v>
      </c>
      <c r="B140" s="938"/>
      <c r="C140" s="939">
        <f>SUM(C136:C139)</f>
        <v>0</v>
      </c>
      <c r="D140" s="940">
        <f>SUM(D136:D139)</f>
        <v>0</v>
      </c>
      <c r="E140" s="939">
        <f>SUM(E136:E139)</f>
        <v>0</v>
      </c>
      <c r="F140" s="940">
        <f>SUM(F136:F139)</f>
        <v>0</v>
      </c>
    </row>
    <row r="141" spans="1:6" ht="21" thickBot="1" x14ac:dyDescent="0.25">
      <c r="A141" s="990" t="s">
        <v>190</v>
      </c>
      <c r="B141" s="991"/>
      <c r="C141" s="992">
        <f>SUM(C140,C135,C129)</f>
        <v>0</v>
      </c>
      <c r="D141" s="969">
        <f>SUM(D140,D135,D129)</f>
        <v>4891495</v>
      </c>
      <c r="E141" s="992">
        <f>SUM(E140,E135,E129)</f>
        <v>0</v>
      </c>
      <c r="F141" s="969">
        <f>SUM(F140,F135,F129)</f>
        <v>0</v>
      </c>
    </row>
    <row r="142" spans="1:6" s="998" customFormat="1" ht="19.5" x14ac:dyDescent="0.2">
      <c r="A142" s="993" t="s">
        <v>1130</v>
      </c>
      <c r="B142" s="994"/>
      <c r="C142" s="995">
        <v>1</v>
      </c>
      <c r="D142" s="996">
        <v>1247870.03</v>
      </c>
      <c r="E142" s="995">
        <v>1</v>
      </c>
      <c r="F142" s="997">
        <v>1247870</v>
      </c>
    </row>
    <row r="143" spans="1:6" s="998" customFormat="1" thickBot="1" x14ac:dyDescent="0.25">
      <c r="A143" s="993" t="s">
        <v>1131</v>
      </c>
      <c r="B143" s="994"/>
      <c r="C143" s="995">
        <v>1</v>
      </c>
      <c r="D143" s="996">
        <v>4180365</v>
      </c>
      <c r="E143" s="995">
        <v>1</v>
      </c>
      <c r="F143" s="997">
        <v>4180365</v>
      </c>
    </row>
    <row r="144" spans="1:6" s="924" customFormat="1" ht="21" thickBot="1" x14ac:dyDescent="0.25">
      <c r="A144" s="950" t="s">
        <v>117</v>
      </c>
      <c r="B144" s="938"/>
      <c r="C144" s="968">
        <f>SUM(C142:C143)</f>
        <v>2</v>
      </c>
      <c r="D144" s="940">
        <f>SUM(D142:D143)</f>
        <v>5428235.0300000003</v>
      </c>
      <c r="E144" s="968">
        <f>SUM(E142:E143)</f>
        <v>2</v>
      </c>
      <c r="F144" s="940">
        <f>SUM(F142:F143)</f>
        <v>5428235</v>
      </c>
    </row>
    <row r="145" spans="1:6" ht="21" thickBot="1" x14ac:dyDescent="0.25">
      <c r="A145" s="950" t="s">
        <v>2575</v>
      </c>
      <c r="B145" s="938"/>
      <c r="C145" s="968">
        <f>SUM(C141,C144)</f>
        <v>2</v>
      </c>
      <c r="D145" s="940">
        <f>SUM(D141,D144)</f>
        <v>10319730.030000001</v>
      </c>
      <c r="E145" s="968">
        <f>SUM(E141,E144)</f>
        <v>2</v>
      </c>
      <c r="F145" s="940">
        <f>SUM(F141,F144)</f>
        <v>5428235</v>
      </c>
    </row>
    <row r="146" spans="1:6" s="975" customFormat="1" ht="18.75" x14ac:dyDescent="0.2">
      <c r="A146" s="3556" t="s">
        <v>183</v>
      </c>
      <c r="B146" s="3556"/>
      <c r="C146" s="3556"/>
      <c r="D146" s="3556"/>
      <c r="E146" s="3556"/>
      <c r="F146" s="3556"/>
    </row>
    <row r="147" spans="1:6" s="975" customFormat="1" ht="19.5" thickBot="1" x14ac:dyDescent="0.25">
      <c r="A147" s="3551" t="s">
        <v>2857</v>
      </c>
      <c r="B147" s="3551"/>
      <c r="C147" s="3551"/>
      <c r="D147" s="3551"/>
      <c r="E147" s="3551"/>
      <c r="F147" s="3551"/>
    </row>
    <row r="148" spans="1:6" s="1004" customFormat="1" ht="38.25" thickBot="1" x14ac:dyDescent="0.25">
      <c r="A148" s="999" t="s">
        <v>185</v>
      </c>
      <c r="B148" s="1000" t="s">
        <v>186</v>
      </c>
      <c r="C148" s="1001" t="s">
        <v>564</v>
      </c>
      <c r="D148" s="1002" t="s">
        <v>1128</v>
      </c>
      <c r="E148" s="1001" t="s">
        <v>1129</v>
      </c>
      <c r="F148" s="1003" t="s">
        <v>3096</v>
      </c>
    </row>
    <row r="149" spans="1:6" s="1009" customFormat="1" ht="15.75" x14ac:dyDescent="0.2">
      <c r="A149" s="1005"/>
      <c r="B149" s="1006">
        <v>1</v>
      </c>
      <c r="C149" s="1007" t="s">
        <v>179</v>
      </c>
      <c r="D149" s="1008" t="s">
        <v>179</v>
      </c>
      <c r="E149" s="1007" t="s">
        <v>179</v>
      </c>
      <c r="F149" s="1008" t="s">
        <v>179</v>
      </c>
    </row>
    <row r="150" spans="1:6" s="1009" customFormat="1" ht="15.75" x14ac:dyDescent="0.2">
      <c r="A150" s="1005"/>
      <c r="B150" s="1006">
        <v>2</v>
      </c>
      <c r="C150" s="1007">
        <v>10</v>
      </c>
      <c r="D150" s="1008">
        <v>5409455</v>
      </c>
      <c r="E150" s="1007">
        <v>10</v>
      </c>
      <c r="F150" s="1010">
        <v>5409455</v>
      </c>
    </row>
    <row r="151" spans="1:6" s="1009" customFormat="1" ht="15.75" x14ac:dyDescent="0.2">
      <c r="A151" s="1005"/>
      <c r="B151" s="1006">
        <v>3</v>
      </c>
      <c r="C151" s="1007">
        <v>45</v>
      </c>
      <c r="D151" s="1008">
        <v>11518365</v>
      </c>
      <c r="E151" s="1007">
        <v>45</v>
      </c>
      <c r="F151" s="1010">
        <v>11518365</v>
      </c>
    </row>
    <row r="152" spans="1:6" s="1009" customFormat="1" ht="15.75" x14ac:dyDescent="0.2">
      <c r="A152" s="1005"/>
      <c r="B152" s="1006">
        <v>4</v>
      </c>
      <c r="C152" s="1007">
        <v>37</v>
      </c>
      <c r="D152" s="1008">
        <v>12739523</v>
      </c>
      <c r="E152" s="1007">
        <v>37</v>
      </c>
      <c r="F152" s="1010">
        <v>12739523</v>
      </c>
    </row>
    <row r="153" spans="1:6" s="1009" customFormat="1" ht="15.75" x14ac:dyDescent="0.2">
      <c r="A153" s="1005"/>
      <c r="B153" s="1006">
        <v>5</v>
      </c>
      <c r="C153" s="1007">
        <v>10</v>
      </c>
      <c r="D153" s="1008">
        <v>7026882</v>
      </c>
      <c r="E153" s="1007">
        <v>9</v>
      </c>
      <c r="F153" s="1010">
        <v>6324194</v>
      </c>
    </row>
    <row r="154" spans="1:6" s="1009" customFormat="1" ht="16.5" thickBot="1" x14ac:dyDescent="0.25">
      <c r="A154" s="1005"/>
      <c r="B154" s="1006">
        <v>6</v>
      </c>
      <c r="C154" s="1007">
        <v>23</v>
      </c>
      <c r="D154" s="1008">
        <v>8486185</v>
      </c>
      <c r="E154" s="1007">
        <v>23</v>
      </c>
      <c r="F154" s="1010">
        <v>8486185</v>
      </c>
    </row>
    <row r="155" spans="1:6" s="1009" customFormat="1" ht="16.5" thickBot="1" x14ac:dyDescent="0.25">
      <c r="A155" s="1011" t="s">
        <v>187</v>
      </c>
      <c r="B155" s="1012"/>
      <c r="C155" s="1013">
        <f>SUM(C150:C154)</f>
        <v>125</v>
      </c>
      <c r="D155" s="1014">
        <f>SUM(D149:D154)</f>
        <v>45180410</v>
      </c>
      <c r="E155" s="1013">
        <f>SUM(E150:E154)</f>
        <v>124</v>
      </c>
      <c r="F155" s="1014">
        <f>SUM(F149:F154)</f>
        <v>44477722</v>
      </c>
    </row>
    <row r="156" spans="1:6" s="1009" customFormat="1" ht="15.75" x14ac:dyDescent="0.2">
      <c r="A156" s="1005"/>
      <c r="B156" s="1006">
        <v>7</v>
      </c>
      <c r="C156" s="1007">
        <v>12</v>
      </c>
      <c r="D156" s="1008">
        <v>6754650</v>
      </c>
      <c r="E156" s="1007">
        <v>12</v>
      </c>
      <c r="F156" s="1010">
        <v>6754650</v>
      </c>
    </row>
    <row r="157" spans="1:6" s="1009" customFormat="1" ht="15.75" x14ac:dyDescent="0.2">
      <c r="A157" s="1005"/>
      <c r="B157" s="1006">
        <v>8</v>
      </c>
      <c r="C157" s="1007">
        <v>23</v>
      </c>
      <c r="D157" s="1008">
        <v>11779235</v>
      </c>
      <c r="E157" s="1007">
        <v>23</v>
      </c>
      <c r="F157" s="1010">
        <v>11779235</v>
      </c>
    </row>
    <row r="158" spans="1:6" s="1009" customFormat="1" ht="15.75" x14ac:dyDescent="0.2">
      <c r="A158" s="1005"/>
      <c r="B158" s="1006">
        <v>9</v>
      </c>
      <c r="C158" s="1007">
        <v>10</v>
      </c>
      <c r="D158" s="1008">
        <v>7736445</v>
      </c>
      <c r="E158" s="1007">
        <v>10</v>
      </c>
      <c r="F158" s="1010">
        <v>7736445</v>
      </c>
    </row>
    <row r="159" spans="1:6" s="1009" customFormat="1" ht="15.75" x14ac:dyDescent="0.2">
      <c r="A159" s="1005"/>
      <c r="B159" s="1006">
        <v>10</v>
      </c>
      <c r="C159" s="1007">
        <v>6</v>
      </c>
      <c r="D159" s="1008">
        <v>5373655</v>
      </c>
      <c r="E159" s="1007">
        <v>6</v>
      </c>
      <c r="F159" s="1010">
        <v>5373655</v>
      </c>
    </row>
    <row r="160" spans="1:6" s="1009" customFormat="1" ht="16.5" thickBot="1" x14ac:dyDescent="0.25">
      <c r="A160" s="1005"/>
      <c r="B160" s="1006">
        <v>12</v>
      </c>
      <c r="C160" s="1007">
        <v>19</v>
      </c>
      <c r="D160" s="1008">
        <v>10903330</v>
      </c>
      <c r="E160" s="1007">
        <v>19</v>
      </c>
      <c r="F160" s="1010">
        <v>10903330</v>
      </c>
    </row>
    <row r="161" spans="1:6" s="1009" customFormat="1" ht="16.5" thickBot="1" x14ac:dyDescent="0.25">
      <c r="A161" s="1011" t="s">
        <v>188</v>
      </c>
      <c r="B161" s="1012"/>
      <c r="C161" s="1013">
        <v>70</v>
      </c>
      <c r="D161" s="1014">
        <f>SUM(D156:D160)</f>
        <v>42547315</v>
      </c>
      <c r="E161" s="1013">
        <f>SUM(E156:E160)</f>
        <v>70</v>
      </c>
      <c r="F161" s="1014">
        <f>SUM(F156:F160)</f>
        <v>42547315</v>
      </c>
    </row>
    <row r="162" spans="1:6" s="1009" customFormat="1" ht="15.75" x14ac:dyDescent="0.2">
      <c r="A162" s="1005"/>
      <c r="B162" s="1006">
        <v>13</v>
      </c>
      <c r="C162" s="1007">
        <v>10</v>
      </c>
      <c r="D162" s="1008">
        <v>10839750</v>
      </c>
      <c r="E162" s="1007">
        <v>10</v>
      </c>
      <c r="F162" s="1010">
        <v>10839750</v>
      </c>
    </row>
    <row r="163" spans="1:6" s="1009" customFormat="1" ht="15.75" x14ac:dyDescent="0.2">
      <c r="A163" s="1005"/>
      <c r="B163" s="1006">
        <v>14</v>
      </c>
      <c r="C163" s="1007">
        <v>11</v>
      </c>
      <c r="D163" s="1008">
        <v>12174800</v>
      </c>
      <c r="E163" s="1007">
        <v>11</v>
      </c>
      <c r="F163" s="1010">
        <v>12174800</v>
      </c>
    </row>
    <row r="164" spans="1:6" s="1009" customFormat="1" ht="15.75" x14ac:dyDescent="0.2">
      <c r="A164" s="1005"/>
      <c r="B164" s="1006">
        <v>15</v>
      </c>
      <c r="C164" s="1007">
        <v>7</v>
      </c>
      <c r="D164" s="1008">
        <v>10165725</v>
      </c>
      <c r="E164" s="1007">
        <v>7</v>
      </c>
      <c r="F164" s="1010">
        <v>10165725</v>
      </c>
    </row>
    <row r="165" spans="1:6" s="1009" customFormat="1" ht="16.5" thickBot="1" x14ac:dyDescent="0.25">
      <c r="A165" s="1005"/>
      <c r="B165" s="1006">
        <v>16</v>
      </c>
      <c r="C165" s="1007">
        <v>6</v>
      </c>
      <c r="D165" s="1008">
        <v>11054370</v>
      </c>
      <c r="E165" s="1007">
        <v>6</v>
      </c>
      <c r="F165" s="1010">
        <v>11054370</v>
      </c>
    </row>
    <row r="166" spans="1:6" s="1009" customFormat="1" ht="16.5" thickBot="1" x14ac:dyDescent="0.25">
      <c r="A166" s="1011" t="s">
        <v>189</v>
      </c>
      <c r="B166" s="1012"/>
      <c r="C166" s="1015">
        <v>34</v>
      </c>
      <c r="D166" s="1016">
        <f>SUM(D162:D165)</f>
        <v>44234645</v>
      </c>
      <c r="E166" s="1013">
        <f>SUM(E162:E165)</f>
        <v>34</v>
      </c>
      <c r="F166" s="1014">
        <f>SUM(F162:F165)</f>
        <v>44234645</v>
      </c>
    </row>
    <row r="167" spans="1:6" s="1009" customFormat="1" ht="16.5" thickBot="1" x14ac:dyDescent="0.25">
      <c r="A167" s="1011" t="s">
        <v>190</v>
      </c>
      <c r="B167" s="1012"/>
      <c r="C167" s="1015">
        <v>278</v>
      </c>
      <c r="D167" s="1016">
        <f>SUM(D155,D161,D166)</f>
        <v>131962370</v>
      </c>
      <c r="E167" s="1017">
        <f>SUM(E155,E161,E166)</f>
        <v>228</v>
      </c>
      <c r="F167" s="1018">
        <f>SUM(F155,F161,F166)</f>
        <v>131259682</v>
      </c>
    </row>
    <row r="168" spans="1:6" s="975" customFormat="1" ht="19.5" thickBot="1" x14ac:dyDescent="0.25">
      <c r="A168" s="1019" t="s">
        <v>729</v>
      </c>
      <c r="B168" s="1020"/>
      <c r="C168" s="1021"/>
      <c r="D168" s="1022">
        <v>1301024520</v>
      </c>
      <c r="E168" s="1021"/>
      <c r="F168" s="1022">
        <v>1595913000</v>
      </c>
    </row>
    <row r="169" spans="1:6" s="1004" customFormat="1" ht="19.5" thickBot="1" x14ac:dyDescent="0.25">
      <c r="A169" s="1023" t="s">
        <v>117</v>
      </c>
      <c r="B169" s="1024"/>
      <c r="C169" s="1025"/>
      <c r="D169" s="1026">
        <f>SUM(D167:D168)</f>
        <v>1432986890</v>
      </c>
      <c r="E169" s="1027">
        <f>SUM(E167:E168)</f>
        <v>228</v>
      </c>
      <c r="F169" s="1026">
        <f>SUM(F167:F168)</f>
        <v>1727172682</v>
      </c>
    </row>
    <row r="170" spans="1:6" s="975" customFormat="1" ht="18.75" x14ac:dyDescent="0.2">
      <c r="A170" s="1028" t="s">
        <v>521</v>
      </c>
      <c r="B170" s="1029"/>
      <c r="C170" s="1030">
        <v>1</v>
      </c>
      <c r="D170" s="974">
        <v>1337225</v>
      </c>
      <c r="E170" s="1030">
        <v>1</v>
      </c>
      <c r="F170" s="974">
        <v>1337225</v>
      </c>
    </row>
    <row r="171" spans="1:6" s="975" customFormat="1" ht="18.75" x14ac:dyDescent="0.2">
      <c r="A171" s="1028" t="s">
        <v>522</v>
      </c>
      <c r="B171" s="1029"/>
      <c r="C171" s="1030" t="s">
        <v>179</v>
      </c>
      <c r="D171" s="974">
        <v>4479705</v>
      </c>
      <c r="E171" s="1030" t="s">
        <v>179</v>
      </c>
      <c r="F171" s="974">
        <v>4479705</v>
      </c>
    </row>
    <row r="172" spans="1:6" s="975" customFormat="1" ht="18.75" x14ac:dyDescent="0.2">
      <c r="A172" s="1028" t="s">
        <v>523</v>
      </c>
      <c r="B172" s="1029"/>
      <c r="C172" s="1030">
        <v>2</v>
      </c>
      <c r="D172" s="974">
        <v>2500220</v>
      </c>
      <c r="E172" s="1030">
        <v>2</v>
      </c>
      <c r="F172" s="974">
        <v>2500220</v>
      </c>
    </row>
    <row r="173" spans="1:6" s="975" customFormat="1" ht="18.75" x14ac:dyDescent="0.2">
      <c r="A173" s="1028" t="s">
        <v>524</v>
      </c>
      <c r="B173" s="1029"/>
      <c r="C173" s="1030" t="s">
        <v>179</v>
      </c>
      <c r="D173" s="974">
        <v>8959410</v>
      </c>
      <c r="E173" s="1030" t="s">
        <v>179</v>
      </c>
      <c r="F173" s="974">
        <v>8959410</v>
      </c>
    </row>
    <row r="174" spans="1:6" s="975" customFormat="1" ht="18.75" x14ac:dyDescent="0.2">
      <c r="A174" s="1028" t="s">
        <v>525</v>
      </c>
      <c r="B174" s="1029"/>
      <c r="C174" s="1030">
        <v>2</v>
      </c>
      <c r="D174" s="974">
        <v>2495740</v>
      </c>
      <c r="E174" s="1030">
        <v>2</v>
      </c>
      <c r="F174" s="974">
        <v>2495740</v>
      </c>
    </row>
    <row r="175" spans="1:6" s="975" customFormat="1" ht="18.75" x14ac:dyDescent="0.2">
      <c r="A175" s="1028" t="s">
        <v>526</v>
      </c>
      <c r="B175" s="1029"/>
      <c r="C175" s="1030"/>
      <c r="D175" s="974">
        <v>8360730</v>
      </c>
      <c r="E175" s="1030" t="s">
        <v>179</v>
      </c>
      <c r="F175" s="974">
        <v>8360730</v>
      </c>
    </row>
    <row r="176" spans="1:6" s="975" customFormat="1" ht="19.5" thickBot="1" x14ac:dyDescent="0.25">
      <c r="A176" s="1028" t="s">
        <v>1770</v>
      </c>
      <c r="B176" s="1029"/>
      <c r="C176" s="1030">
        <v>16</v>
      </c>
      <c r="D176" s="974"/>
      <c r="E176" s="1030">
        <v>70</v>
      </c>
      <c r="F176" s="974">
        <v>96234402</v>
      </c>
    </row>
    <row r="177" spans="1:6" ht="21" thickBot="1" x14ac:dyDescent="0.25">
      <c r="A177" s="950" t="s">
        <v>730</v>
      </c>
      <c r="B177" s="1031"/>
      <c r="C177" s="939">
        <f>SUM(C170:C176)</f>
        <v>21</v>
      </c>
      <c r="D177" s="1032">
        <f>SUM(D170:D176)</f>
        <v>28133030</v>
      </c>
      <c r="E177" s="939">
        <f>SUM(E170:E176)</f>
        <v>75</v>
      </c>
      <c r="F177" s="940">
        <f>SUM(F170:F176)</f>
        <v>124367432</v>
      </c>
    </row>
    <row r="178" spans="1:6" ht="21" thickBot="1" x14ac:dyDescent="0.25">
      <c r="A178" s="950" t="s">
        <v>197</v>
      </c>
      <c r="B178" s="1031"/>
      <c r="C178" s="939">
        <f>SUM(C177,C167)</f>
        <v>299</v>
      </c>
      <c r="D178" s="1032">
        <f>SUM(D177,D169)</f>
        <v>1461119920</v>
      </c>
      <c r="E178" s="939">
        <f>SUM(E169,E177)</f>
        <v>303</v>
      </c>
      <c r="F178" s="940">
        <f>SUM(F177,F169)</f>
        <v>1851540114</v>
      </c>
    </row>
    <row r="179" spans="1:6" x14ac:dyDescent="0.2">
      <c r="A179" s="3545" t="s">
        <v>183</v>
      </c>
      <c r="B179" s="3545"/>
      <c r="C179" s="3545"/>
      <c r="D179" s="3545"/>
      <c r="E179" s="3545"/>
      <c r="F179" s="3545"/>
    </row>
    <row r="180" spans="1:6" ht="21" thickBot="1" x14ac:dyDescent="0.25">
      <c r="A180" s="3546" t="s">
        <v>1030</v>
      </c>
      <c r="B180" s="3546"/>
      <c r="C180" s="3546"/>
      <c r="D180" s="3546"/>
      <c r="E180" s="3546"/>
      <c r="F180" s="3546"/>
    </row>
    <row r="181" spans="1:6" s="924" customFormat="1" ht="41.25" thickBot="1" x14ac:dyDescent="0.25">
      <c r="A181" s="920" t="s">
        <v>185</v>
      </c>
      <c r="B181" s="921" t="s">
        <v>186</v>
      </c>
      <c r="C181" s="922" t="s">
        <v>564</v>
      </c>
      <c r="D181" s="953" t="s">
        <v>1128</v>
      </c>
      <c r="E181" s="922" t="s">
        <v>1129</v>
      </c>
      <c r="F181" s="923" t="s">
        <v>3096</v>
      </c>
    </row>
    <row r="182" spans="1:6" s="1009" customFormat="1" ht="15.75" x14ac:dyDescent="0.2">
      <c r="A182" s="1005"/>
      <c r="B182" s="1006">
        <v>1</v>
      </c>
      <c r="C182" s="1033" t="s">
        <v>130</v>
      </c>
      <c r="D182" s="1008" t="s">
        <v>130</v>
      </c>
      <c r="E182" s="1033" t="s">
        <v>130</v>
      </c>
      <c r="F182" s="1010" t="s">
        <v>130</v>
      </c>
    </row>
    <row r="183" spans="1:6" s="1009" customFormat="1" ht="15.75" x14ac:dyDescent="0.2">
      <c r="A183" s="1005"/>
      <c r="B183" s="1006">
        <v>2</v>
      </c>
      <c r="C183" s="1007" t="s">
        <v>130</v>
      </c>
      <c r="D183" s="1008" t="s">
        <v>130</v>
      </c>
      <c r="E183" s="1007" t="s">
        <v>130</v>
      </c>
      <c r="F183" s="1010" t="s">
        <v>130</v>
      </c>
    </row>
    <row r="184" spans="1:6" s="1009" customFormat="1" ht="15.75" x14ac:dyDescent="0.2">
      <c r="A184" s="1005"/>
      <c r="B184" s="1006">
        <v>3</v>
      </c>
      <c r="C184" s="1007" t="s">
        <v>130</v>
      </c>
      <c r="D184" s="1008" t="s">
        <v>130</v>
      </c>
      <c r="E184" s="1007" t="s">
        <v>130</v>
      </c>
      <c r="F184" s="1010" t="s">
        <v>130</v>
      </c>
    </row>
    <row r="185" spans="1:6" s="1009" customFormat="1" ht="15.75" x14ac:dyDescent="0.2">
      <c r="A185" s="1005"/>
      <c r="B185" s="1006">
        <v>4</v>
      </c>
      <c r="C185" s="1007" t="s">
        <v>130</v>
      </c>
      <c r="D185" s="1008" t="s">
        <v>130</v>
      </c>
      <c r="E185" s="1007" t="s">
        <v>130</v>
      </c>
      <c r="F185" s="1010" t="s">
        <v>130</v>
      </c>
    </row>
    <row r="186" spans="1:6" s="1009" customFormat="1" ht="15.75" x14ac:dyDescent="0.2">
      <c r="A186" s="1005"/>
      <c r="B186" s="1006">
        <v>5</v>
      </c>
      <c r="C186" s="1007" t="s">
        <v>130</v>
      </c>
      <c r="D186" s="1008" t="s">
        <v>130</v>
      </c>
      <c r="E186" s="1007" t="s">
        <v>130</v>
      </c>
      <c r="F186" s="1010" t="s">
        <v>130</v>
      </c>
    </row>
    <row r="187" spans="1:6" s="1009" customFormat="1" ht="16.5" thickBot="1" x14ac:dyDescent="0.25">
      <c r="A187" s="1005"/>
      <c r="B187" s="1006">
        <v>6</v>
      </c>
      <c r="C187" s="1007" t="s">
        <v>130</v>
      </c>
      <c r="D187" s="1008" t="s">
        <v>130</v>
      </c>
      <c r="E187" s="1007" t="s">
        <v>130</v>
      </c>
      <c r="F187" s="1010" t="s">
        <v>130</v>
      </c>
    </row>
    <row r="188" spans="1:6" s="924" customFormat="1" ht="21" thickBot="1" x14ac:dyDescent="0.25">
      <c r="A188" s="937" t="s">
        <v>187</v>
      </c>
      <c r="B188" s="938"/>
      <c r="C188" s="939" t="s">
        <v>130</v>
      </c>
      <c r="D188" s="940" t="s">
        <v>130</v>
      </c>
      <c r="E188" s="939" t="s">
        <v>130</v>
      </c>
      <c r="F188" s="940" t="s">
        <v>130</v>
      </c>
    </row>
    <row r="189" spans="1:6" s="998" customFormat="1" ht="19.5" x14ac:dyDescent="0.2">
      <c r="A189" s="1034"/>
      <c r="B189" s="1035">
        <v>7</v>
      </c>
      <c r="C189" s="995" t="s">
        <v>130</v>
      </c>
      <c r="D189" s="996" t="s">
        <v>130</v>
      </c>
      <c r="E189" s="995" t="s">
        <v>130</v>
      </c>
      <c r="F189" s="997">
        <v>0</v>
      </c>
    </row>
    <row r="190" spans="1:6" s="998" customFormat="1" ht="19.5" x14ac:dyDescent="0.2">
      <c r="A190" s="1034"/>
      <c r="B190" s="1035">
        <v>8</v>
      </c>
      <c r="C190" s="995">
        <v>1</v>
      </c>
      <c r="D190" s="996">
        <v>601180</v>
      </c>
      <c r="E190" s="995">
        <v>1</v>
      </c>
      <c r="F190" s="997">
        <v>601180</v>
      </c>
    </row>
    <row r="191" spans="1:6" s="998" customFormat="1" ht="19.5" x14ac:dyDescent="0.2">
      <c r="A191" s="1034"/>
      <c r="B191" s="1035">
        <v>9</v>
      </c>
      <c r="C191" s="995">
        <v>2</v>
      </c>
      <c r="D191" s="996">
        <v>836255</v>
      </c>
      <c r="E191" s="995">
        <v>2</v>
      </c>
      <c r="F191" s="997">
        <v>836255</v>
      </c>
    </row>
    <row r="192" spans="1:6" s="998" customFormat="1" ht="19.5" x14ac:dyDescent="0.2">
      <c r="A192" s="1034"/>
      <c r="B192" s="1035">
        <v>10</v>
      </c>
      <c r="C192" s="995" t="s">
        <v>130</v>
      </c>
      <c r="D192" s="996" t="s">
        <v>130</v>
      </c>
      <c r="E192" s="995" t="s">
        <v>130</v>
      </c>
      <c r="F192" s="997">
        <v>0</v>
      </c>
    </row>
    <row r="193" spans="1:6" s="998" customFormat="1" thickBot="1" x14ac:dyDescent="0.25">
      <c r="A193" s="1034"/>
      <c r="B193" s="1035">
        <v>12</v>
      </c>
      <c r="C193" s="995">
        <v>2</v>
      </c>
      <c r="D193" s="996">
        <v>2209460</v>
      </c>
      <c r="E193" s="995">
        <v>2</v>
      </c>
      <c r="F193" s="997">
        <v>2209460</v>
      </c>
    </row>
    <row r="194" spans="1:6" s="924" customFormat="1" ht="21" thickBot="1" x14ac:dyDescent="0.25">
      <c r="A194" s="937" t="s">
        <v>188</v>
      </c>
      <c r="B194" s="938"/>
      <c r="C194" s="939">
        <v>5</v>
      </c>
      <c r="D194" s="940">
        <f>SUM(D189:D193)</f>
        <v>3646895</v>
      </c>
      <c r="E194" s="939">
        <v>5</v>
      </c>
      <c r="F194" s="940">
        <f>SUM(F189:F193)</f>
        <v>3646895</v>
      </c>
    </row>
    <row r="195" spans="1:6" s="998" customFormat="1" ht="19.5" x14ac:dyDescent="0.2">
      <c r="A195" s="1034"/>
      <c r="B195" s="1035">
        <v>13</v>
      </c>
      <c r="C195" s="995">
        <v>1</v>
      </c>
      <c r="D195" s="996">
        <v>1277240</v>
      </c>
      <c r="E195" s="995">
        <v>1</v>
      </c>
      <c r="F195" s="997">
        <v>1277240</v>
      </c>
    </row>
    <row r="196" spans="1:6" s="998" customFormat="1" ht="19.5" x14ac:dyDescent="0.2">
      <c r="A196" s="1034"/>
      <c r="B196" s="1035">
        <v>14</v>
      </c>
      <c r="C196" s="995">
        <v>7</v>
      </c>
      <c r="D196" s="996">
        <v>9178890</v>
      </c>
      <c r="E196" s="995">
        <v>7</v>
      </c>
      <c r="F196" s="997">
        <v>9178890</v>
      </c>
    </row>
    <row r="197" spans="1:6" s="998" customFormat="1" ht="19.5" x14ac:dyDescent="0.2">
      <c r="A197" s="1034"/>
      <c r="B197" s="1035">
        <v>15</v>
      </c>
      <c r="C197" s="995">
        <v>1</v>
      </c>
      <c r="D197" s="996">
        <v>1937775</v>
      </c>
      <c r="E197" s="995">
        <v>1</v>
      </c>
      <c r="F197" s="997">
        <v>1937775</v>
      </c>
    </row>
    <row r="198" spans="1:6" s="998" customFormat="1" thickBot="1" x14ac:dyDescent="0.25">
      <c r="A198" s="1034"/>
      <c r="B198" s="1035">
        <v>16</v>
      </c>
      <c r="C198" s="995">
        <v>2</v>
      </c>
      <c r="D198" s="996">
        <v>4756210</v>
      </c>
      <c r="E198" s="995">
        <v>2</v>
      </c>
      <c r="F198" s="997">
        <v>4756210</v>
      </c>
    </row>
    <row r="199" spans="1:6" s="924" customFormat="1" ht="21" thickBot="1" x14ac:dyDescent="0.25">
      <c r="A199" s="937" t="s">
        <v>189</v>
      </c>
      <c r="B199" s="938"/>
      <c r="C199" s="939">
        <f>SUM(C195:C198)</f>
        <v>11</v>
      </c>
      <c r="D199" s="940">
        <f>SUM(D195:D198)</f>
        <v>17150115</v>
      </c>
      <c r="E199" s="939">
        <f>SUM(E195:E198)</f>
        <v>11</v>
      </c>
      <c r="F199" s="940">
        <f>SUM(F195:F198)</f>
        <v>17150115</v>
      </c>
    </row>
    <row r="200" spans="1:6" s="924" customFormat="1" ht="21" thickBot="1" x14ac:dyDescent="0.25">
      <c r="A200" s="1036" t="s">
        <v>190</v>
      </c>
      <c r="B200" s="1037"/>
      <c r="C200" s="939">
        <f>SUM(C188,C194,C199)</f>
        <v>16</v>
      </c>
      <c r="D200" s="940">
        <f>SUM(D188,D194,D199)</f>
        <v>20797010</v>
      </c>
      <c r="E200" s="939">
        <f>SUM(E188,E194,E199)</f>
        <v>16</v>
      </c>
      <c r="F200" s="940">
        <f>SUM(F188,F194,F199)</f>
        <v>20797010</v>
      </c>
    </row>
    <row r="201" spans="1:6" s="998" customFormat="1" ht="19.5" x14ac:dyDescent="0.2">
      <c r="A201" s="1038" t="s">
        <v>2663</v>
      </c>
      <c r="B201" s="1039"/>
      <c r="C201" s="1040"/>
      <c r="D201" s="996">
        <v>18048000</v>
      </c>
      <c r="E201" s="995"/>
      <c r="F201" s="997">
        <v>18048000</v>
      </c>
    </row>
    <row r="202" spans="1:6" s="998" customFormat="1" ht="19.5" x14ac:dyDescent="0.2">
      <c r="A202" s="1041" t="s">
        <v>2664</v>
      </c>
      <c r="B202" s="1042"/>
      <c r="C202" s="1040"/>
      <c r="D202" s="996">
        <v>9600000</v>
      </c>
      <c r="E202" s="995"/>
      <c r="F202" s="997">
        <v>9600000</v>
      </c>
    </row>
    <row r="203" spans="1:6" s="998" customFormat="1" thickBot="1" x14ac:dyDescent="0.25">
      <c r="A203" s="1043" t="s">
        <v>1277</v>
      </c>
      <c r="B203" s="1044"/>
      <c r="C203" s="1040"/>
      <c r="D203" s="996">
        <v>55562890</v>
      </c>
      <c r="E203" s="995"/>
      <c r="F203" s="997"/>
    </row>
    <row r="204" spans="1:6" s="924" customFormat="1" ht="21" thickBot="1" x14ac:dyDescent="0.25">
      <c r="A204" s="1045" t="s">
        <v>120</v>
      </c>
      <c r="B204" s="1046"/>
      <c r="C204" s="939"/>
      <c r="D204" s="940">
        <f>SUM(D200:D203)</f>
        <v>104007900</v>
      </c>
      <c r="E204" s="939"/>
      <c r="F204" s="940">
        <f>SUM(F200:F203)</f>
        <v>48445010</v>
      </c>
    </row>
    <row r="205" spans="1:6" s="998" customFormat="1" ht="19.5" x14ac:dyDescent="0.2">
      <c r="A205" s="993" t="s">
        <v>458</v>
      </c>
      <c r="B205" s="994"/>
      <c r="C205" s="995">
        <v>1</v>
      </c>
      <c r="D205" s="996">
        <v>1337225</v>
      </c>
      <c r="E205" s="995">
        <v>1</v>
      </c>
      <c r="F205" s="997">
        <v>1337225</v>
      </c>
    </row>
    <row r="206" spans="1:6" s="998" customFormat="1" ht="19.5" x14ac:dyDescent="0.2">
      <c r="A206" s="993" t="s">
        <v>732</v>
      </c>
      <c r="B206" s="994"/>
      <c r="C206" s="995">
        <v>1</v>
      </c>
      <c r="D206" s="996">
        <v>4479705</v>
      </c>
      <c r="E206" s="995">
        <v>1</v>
      </c>
      <c r="F206" s="997">
        <v>4479705</v>
      </c>
    </row>
    <row r="207" spans="1:6" s="998" customFormat="1" ht="19.5" x14ac:dyDescent="0.2">
      <c r="A207" s="993" t="s">
        <v>733</v>
      </c>
      <c r="B207" s="994"/>
      <c r="C207" s="995">
        <v>1</v>
      </c>
      <c r="D207" s="996">
        <v>1247870.03</v>
      </c>
      <c r="E207" s="995">
        <v>1</v>
      </c>
      <c r="F207" s="997">
        <v>1247870</v>
      </c>
    </row>
    <row r="208" spans="1:6" s="998" customFormat="1" thickBot="1" x14ac:dyDescent="0.25">
      <c r="A208" s="993" t="s">
        <v>734</v>
      </c>
      <c r="B208" s="994"/>
      <c r="C208" s="995">
        <v>1</v>
      </c>
      <c r="D208" s="996">
        <v>4180365</v>
      </c>
      <c r="E208" s="995">
        <v>1</v>
      </c>
      <c r="F208" s="997">
        <v>4180365</v>
      </c>
    </row>
    <row r="209" spans="1:6" s="924" customFormat="1" ht="21" thickBot="1" x14ac:dyDescent="0.25">
      <c r="A209" s="950" t="s">
        <v>120</v>
      </c>
      <c r="B209" s="1047"/>
      <c r="C209" s="939">
        <v>1</v>
      </c>
      <c r="D209" s="1032">
        <f>SUM(D205:D208)</f>
        <v>11245165.030000001</v>
      </c>
      <c r="E209" s="939">
        <v>1</v>
      </c>
      <c r="F209" s="940">
        <f>SUM(F205:F208)</f>
        <v>11245165</v>
      </c>
    </row>
    <row r="210" spans="1:6" ht="21" thickBot="1" x14ac:dyDescent="0.25">
      <c r="A210" s="950" t="s">
        <v>2578</v>
      </c>
      <c r="B210" s="1047"/>
      <c r="C210" s="939">
        <f>SUM(C200,C209)</f>
        <v>17</v>
      </c>
      <c r="D210" s="1032">
        <f>SUM(D204,D209)</f>
        <v>115253065.03</v>
      </c>
      <c r="E210" s="939">
        <f>SUM(E200,E209)</f>
        <v>17</v>
      </c>
      <c r="F210" s="940">
        <f>SUM(F204,F209)</f>
        <v>59690175</v>
      </c>
    </row>
    <row r="211" spans="1:6" x14ac:dyDescent="0.2">
      <c r="A211" s="3545"/>
      <c r="B211" s="3545"/>
      <c r="C211" s="3545"/>
      <c r="D211" s="3545"/>
      <c r="E211" s="3545"/>
      <c r="F211" s="3545"/>
    </row>
    <row r="212" spans="1:6" s="905" customFormat="1" x14ac:dyDescent="0.3">
      <c r="A212" s="3543" t="s">
        <v>183</v>
      </c>
      <c r="B212" s="3543"/>
      <c r="C212" s="3543"/>
      <c r="D212" s="3543"/>
      <c r="E212" s="3543"/>
      <c r="F212" s="3543"/>
    </row>
    <row r="213" spans="1:6" s="905" customFormat="1" ht="21" thickBot="1" x14ac:dyDescent="0.35">
      <c r="A213" s="3544" t="s">
        <v>2927</v>
      </c>
      <c r="B213" s="3544"/>
      <c r="C213" s="3544"/>
      <c r="D213" s="3544"/>
      <c r="E213" s="3544"/>
      <c r="F213" s="3544"/>
    </row>
    <row r="214" spans="1:6" s="906" customFormat="1" ht="41.25" thickBot="1" x14ac:dyDescent="0.35">
      <c r="A214" s="1048" t="s">
        <v>185</v>
      </c>
      <c r="B214" s="1049" t="s">
        <v>186</v>
      </c>
      <c r="C214" s="922" t="s">
        <v>564</v>
      </c>
      <c r="D214" s="1048" t="s">
        <v>1482</v>
      </c>
      <c r="E214" s="922" t="s">
        <v>1129</v>
      </c>
      <c r="F214" s="1050" t="s">
        <v>3096</v>
      </c>
    </row>
    <row r="215" spans="1:6" s="905" customFormat="1" x14ac:dyDescent="0.3">
      <c r="A215" s="908"/>
      <c r="B215" s="965">
        <v>1</v>
      </c>
      <c r="C215" s="929"/>
      <c r="D215" s="1051"/>
      <c r="E215" s="929"/>
      <c r="F215" s="936"/>
    </row>
    <row r="216" spans="1:6" s="905" customFormat="1" x14ac:dyDescent="0.3">
      <c r="A216" s="1052"/>
      <c r="B216" s="965">
        <v>2</v>
      </c>
      <c r="C216" s="935"/>
      <c r="D216" s="934"/>
      <c r="E216" s="935"/>
      <c r="F216" s="936"/>
    </row>
    <row r="217" spans="1:6" s="905" customFormat="1" x14ac:dyDescent="0.3">
      <c r="A217" s="1052"/>
      <c r="B217" s="965">
        <v>3</v>
      </c>
      <c r="C217" s="935">
        <v>2</v>
      </c>
      <c r="D217" s="934">
        <v>947319</v>
      </c>
      <c r="E217" s="935">
        <v>2</v>
      </c>
      <c r="F217" s="1053">
        <v>994685</v>
      </c>
    </row>
    <row r="218" spans="1:6" s="905" customFormat="1" x14ac:dyDescent="0.3">
      <c r="A218" s="1052"/>
      <c r="B218" s="965">
        <v>4</v>
      </c>
      <c r="C218" s="935">
        <v>1</v>
      </c>
      <c r="D218" s="934">
        <v>504457</v>
      </c>
      <c r="E218" s="935">
        <v>1</v>
      </c>
      <c r="F218" s="1053">
        <v>529680</v>
      </c>
    </row>
    <row r="219" spans="1:6" s="905" customFormat="1" x14ac:dyDescent="0.3">
      <c r="A219" s="1052"/>
      <c r="B219" s="965">
        <v>5</v>
      </c>
      <c r="C219" s="935"/>
      <c r="D219" s="934"/>
      <c r="E219" s="935"/>
      <c r="F219" s="1053"/>
    </row>
    <row r="220" spans="1:6" s="905" customFormat="1" ht="21" thickBot="1" x14ac:dyDescent="0.35">
      <c r="A220" s="1052"/>
      <c r="B220" s="965">
        <v>6</v>
      </c>
      <c r="C220" s="935"/>
      <c r="D220" s="1054"/>
      <c r="E220" s="935"/>
      <c r="F220" s="1055"/>
    </row>
    <row r="221" spans="1:6" s="905" customFormat="1" ht="21" thickBot="1" x14ac:dyDescent="0.35">
      <c r="A221" s="1056" t="s">
        <v>187</v>
      </c>
      <c r="B221" s="1057"/>
      <c r="C221" s="1058">
        <f>SUM(C215:C220)</f>
        <v>3</v>
      </c>
      <c r="D221" s="1059">
        <f>SUM(D215:D220)</f>
        <v>1451776</v>
      </c>
      <c r="E221" s="1058">
        <f>SUM(E215:E220)</f>
        <v>3</v>
      </c>
      <c r="F221" s="1060">
        <f>SUM(F215:F220)</f>
        <v>1524365</v>
      </c>
    </row>
    <row r="222" spans="1:6" s="905" customFormat="1" x14ac:dyDescent="0.3">
      <c r="A222" s="1052"/>
      <c r="B222" s="965">
        <v>7</v>
      </c>
      <c r="C222" s="935"/>
      <c r="D222" s="934"/>
      <c r="E222" s="935"/>
      <c r="F222" s="1053"/>
    </row>
    <row r="223" spans="1:6" s="905" customFormat="1" x14ac:dyDescent="0.3">
      <c r="A223" s="1052"/>
      <c r="B223" s="965">
        <v>8</v>
      </c>
      <c r="C223" s="935">
        <v>1</v>
      </c>
      <c r="D223" s="934">
        <v>838836</v>
      </c>
      <c r="E223" s="935">
        <v>1</v>
      </c>
      <c r="F223" s="1053">
        <v>880778</v>
      </c>
    </row>
    <row r="224" spans="1:6" s="905" customFormat="1" x14ac:dyDescent="0.3">
      <c r="A224" s="1052"/>
      <c r="B224" s="965">
        <v>9</v>
      </c>
      <c r="C224" s="935">
        <v>3</v>
      </c>
      <c r="D224" s="934">
        <v>922061</v>
      </c>
      <c r="E224" s="935">
        <v>1</v>
      </c>
      <c r="F224" s="1053">
        <v>968170</v>
      </c>
    </row>
    <row r="225" spans="1:6" s="905" customFormat="1" x14ac:dyDescent="0.3">
      <c r="A225" s="1052"/>
      <c r="B225" s="965">
        <v>10</v>
      </c>
      <c r="C225" s="935"/>
      <c r="D225" s="934">
        <v>1034897</v>
      </c>
      <c r="E225" s="935">
        <v>1</v>
      </c>
      <c r="F225" s="1053">
        <v>1086642</v>
      </c>
    </row>
    <row r="226" spans="1:6" s="905" customFormat="1" ht="21" thickBot="1" x14ac:dyDescent="0.35">
      <c r="A226" s="1052"/>
      <c r="B226" s="965">
        <v>12</v>
      </c>
      <c r="C226" s="935">
        <v>2</v>
      </c>
      <c r="D226" s="934">
        <v>5217680</v>
      </c>
      <c r="E226" s="935">
        <v>4</v>
      </c>
      <c r="F226" s="1053">
        <v>5493450</v>
      </c>
    </row>
    <row r="227" spans="1:6" s="905" customFormat="1" ht="21" thickBot="1" x14ac:dyDescent="0.35">
      <c r="A227" s="1056" t="s">
        <v>188</v>
      </c>
      <c r="B227" s="1057"/>
      <c r="C227" s="1058">
        <f>SUM(C222:C226)</f>
        <v>6</v>
      </c>
      <c r="D227" s="940">
        <f>SUM(D222:D226)</f>
        <v>8013474</v>
      </c>
      <c r="E227" s="1058">
        <f>SUM(E222:E226)</f>
        <v>7</v>
      </c>
      <c r="F227" s="1061">
        <f>SUM(F222:F226)</f>
        <v>8429040</v>
      </c>
    </row>
    <row r="228" spans="1:6" s="905" customFormat="1" x14ac:dyDescent="0.3">
      <c r="A228" s="1052"/>
      <c r="B228" s="965">
        <v>13</v>
      </c>
      <c r="C228" s="935">
        <v>1</v>
      </c>
      <c r="D228" s="934">
        <v>5417076</v>
      </c>
      <c r="E228" s="935">
        <v>3</v>
      </c>
      <c r="F228" s="1053">
        <v>5687930</v>
      </c>
    </row>
    <row r="229" spans="1:6" s="905" customFormat="1" x14ac:dyDescent="0.3">
      <c r="A229" s="1052"/>
      <c r="B229" s="965">
        <v>14</v>
      </c>
      <c r="C229" s="935">
        <v>10</v>
      </c>
      <c r="D229" s="934">
        <v>11029913</v>
      </c>
      <c r="E229" s="935">
        <v>7</v>
      </c>
      <c r="F229" s="1053">
        <v>11914308</v>
      </c>
    </row>
    <row r="230" spans="1:6" s="905" customFormat="1" x14ac:dyDescent="0.3">
      <c r="A230" s="1052"/>
      <c r="B230" s="965">
        <v>15</v>
      </c>
      <c r="C230" s="935">
        <v>3</v>
      </c>
      <c r="D230" s="934">
        <v>11976691</v>
      </c>
      <c r="E230" s="935">
        <v>6</v>
      </c>
      <c r="F230" s="1053">
        <v>12575525</v>
      </c>
    </row>
    <row r="231" spans="1:6" s="905" customFormat="1" ht="21" thickBot="1" x14ac:dyDescent="0.35">
      <c r="A231" s="1052"/>
      <c r="B231" s="965">
        <v>16</v>
      </c>
      <c r="C231" s="935">
        <v>4</v>
      </c>
      <c r="D231" s="981">
        <v>14701314</v>
      </c>
      <c r="E231" s="935">
        <v>6</v>
      </c>
      <c r="F231" s="981">
        <v>15436380</v>
      </c>
    </row>
    <row r="232" spans="1:6" s="905" customFormat="1" ht="21" thickBot="1" x14ac:dyDescent="0.35">
      <c r="A232" s="1056" t="s">
        <v>189</v>
      </c>
      <c r="B232" s="1057"/>
      <c r="C232" s="943">
        <f>SUM(C228:C231)</f>
        <v>18</v>
      </c>
      <c r="D232" s="940">
        <f>SUM(D228:D231)</f>
        <v>43124994</v>
      </c>
      <c r="E232" s="943">
        <f>SUM(E228:E231)</f>
        <v>22</v>
      </c>
      <c r="F232" s="1061">
        <f>SUM(F228:F231)</f>
        <v>45614143</v>
      </c>
    </row>
    <row r="233" spans="1:6" s="905" customFormat="1" ht="21" thickBot="1" x14ac:dyDescent="0.35">
      <c r="A233" s="1062" t="s">
        <v>190</v>
      </c>
      <c r="B233" s="1063"/>
      <c r="C233" s="1064">
        <f>SUM(C232,C227,C221)</f>
        <v>27</v>
      </c>
      <c r="D233" s="1065">
        <f>SUM(D232,D227,D221)</f>
        <v>52590244</v>
      </c>
      <c r="E233" s="1064">
        <f>SUM(E232,E227,E221)</f>
        <v>32</v>
      </c>
      <c r="F233" s="1060">
        <f>F232+F227+F221</f>
        <v>55567548</v>
      </c>
    </row>
    <row r="234" spans="1:6" s="905" customFormat="1" ht="21" thickBot="1" x14ac:dyDescent="0.35">
      <c r="A234" s="905" t="s">
        <v>2928</v>
      </c>
      <c r="B234" s="965" t="s">
        <v>179</v>
      </c>
      <c r="C234" s="935">
        <v>1</v>
      </c>
      <c r="D234" s="958">
        <v>2972646</v>
      </c>
      <c r="E234" s="935">
        <v>1</v>
      </c>
      <c r="F234" s="958">
        <v>2972650</v>
      </c>
    </row>
    <row r="235" spans="1:6" s="906" customFormat="1" ht="21" thickBot="1" x14ac:dyDescent="0.35">
      <c r="A235" s="1066" t="s">
        <v>117</v>
      </c>
      <c r="B235" s="1057"/>
      <c r="C235" s="943">
        <f>SUM(C234:C234)</f>
        <v>1</v>
      </c>
      <c r="D235" s="961">
        <f>SUM(D234:D234)</f>
        <v>2972646</v>
      </c>
      <c r="E235" s="943">
        <f>SUM(E234:E234)</f>
        <v>1</v>
      </c>
      <c r="F235" s="961">
        <f>SUM(F234:F234)</f>
        <v>2972650</v>
      </c>
    </row>
    <row r="236" spans="1:6" s="905" customFormat="1" ht="21" thickBot="1" x14ac:dyDescent="0.35">
      <c r="A236" s="1066" t="s">
        <v>2579</v>
      </c>
      <c r="B236" s="1057"/>
      <c r="C236" s="943">
        <f>SUM(C233,C235)</f>
        <v>28</v>
      </c>
      <c r="D236" s="1067">
        <f>SUM(D233,D235)</f>
        <v>55562890</v>
      </c>
      <c r="E236" s="943">
        <f>SUM(E233,E235)</f>
        <v>33</v>
      </c>
      <c r="F236" s="1068">
        <f>SUM(F233,F235)</f>
        <v>58540198</v>
      </c>
    </row>
    <row r="237" spans="1:6" s="905" customFormat="1" x14ac:dyDescent="0.3">
      <c r="A237" s="900"/>
      <c r="B237" s="1069"/>
      <c r="C237" s="1070"/>
      <c r="D237" s="903"/>
      <c r="E237" s="1070"/>
      <c r="F237" s="1071"/>
    </row>
    <row r="238" spans="1:6" s="905" customFormat="1" x14ac:dyDescent="0.3">
      <c r="A238" s="3543" t="s">
        <v>183</v>
      </c>
      <c r="B238" s="3543"/>
      <c r="C238" s="3543"/>
      <c r="D238" s="3543"/>
      <c r="E238" s="3543"/>
      <c r="F238" s="3543"/>
    </row>
    <row r="239" spans="1:6" s="905" customFormat="1" ht="21" thickBot="1" x14ac:dyDescent="0.35">
      <c r="A239" s="3544" t="s">
        <v>1525</v>
      </c>
      <c r="B239" s="3544"/>
      <c r="C239" s="3544"/>
      <c r="D239" s="3544"/>
      <c r="E239" s="3544"/>
      <c r="F239" s="3544"/>
    </row>
    <row r="240" spans="1:6" s="906" customFormat="1" ht="41.25" thickBot="1" x14ac:dyDescent="0.35">
      <c r="A240" s="1048" t="s">
        <v>185</v>
      </c>
      <c r="B240" s="1049" t="s">
        <v>186</v>
      </c>
      <c r="C240" s="922" t="s">
        <v>564</v>
      </c>
      <c r="D240" s="1048" t="s">
        <v>1482</v>
      </c>
      <c r="E240" s="922" t="s">
        <v>1129</v>
      </c>
      <c r="F240" s="1050" t="s">
        <v>3096</v>
      </c>
    </row>
    <row r="241" spans="1:6" s="905" customFormat="1" x14ac:dyDescent="0.3">
      <c r="A241" s="908"/>
      <c r="B241" s="965">
        <v>1</v>
      </c>
      <c r="C241" s="929">
        <v>0</v>
      </c>
      <c r="D241" s="1051">
        <v>0</v>
      </c>
      <c r="E241" s="929">
        <v>0</v>
      </c>
      <c r="F241" s="936">
        <v>0</v>
      </c>
    </row>
    <row r="242" spans="1:6" s="905" customFormat="1" x14ac:dyDescent="0.3">
      <c r="A242" s="1052"/>
      <c r="B242" s="965">
        <v>2</v>
      </c>
      <c r="C242" s="935">
        <v>0</v>
      </c>
      <c r="D242" s="1051">
        <v>0</v>
      </c>
      <c r="E242" s="935">
        <v>0</v>
      </c>
      <c r="F242" s="936">
        <v>0</v>
      </c>
    </row>
    <row r="243" spans="1:6" s="905" customFormat="1" x14ac:dyDescent="0.3">
      <c r="A243" s="1052"/>
      <c r="B243" s="965">
        <v>3</v>
      </c>
      <c r="C243" s="935">
        <v>1</v>
      </c>
      <c r="D243" s="1053">
        <v>264451</v>
      </c>
      <c r="E243" s="935">
        <v>1</v>
      </c>
      <c r="F243" s="936">
        <v>445300</v>
      </c>
    </row>
    <row r="244" spans="1:6" s="905" customFormat="1" x14ac:dyDescent="0.3">
      <c r="A244" s="1052"/>
      <c r="B244" s="965">
        <v>4</v>
      </c>
      <c r="C244" s="935">
        <v>0</v>
      </c>
      <c r="D244" s="1053">
        <v>0</v>
      </c>
      <c r="E244" s="935">
        <v>1</v>
      </c>
      <c r="F244" s="936">
        <v>498300</v>
      </c>
    </row>
    <row r="245" spans="1:6" s="905" customFormat="1" x14ac:dyDescent="0.3">
      <c r="A245" s="1052"/>
      <c r="B245" s="965">
        <v>5</v>
      </c>
      <c r="C245" s="935">
        <v>0</v>
      </c>
      <c r="D245" s="1053">
        <v>0</v>
      </c>
      <c r="E245" s="935">
        <v>0</v>
      </c>
      <c r="F245" s="936">
        <v>0</v>
      </c>
    </row>
    <row r="246" spans="1:6" s="905" customFormat="1" ht="21" thickBot="1" x14ac:dyDescent="0.35">
      <c r="A246" s="1052"/>
      <c r="B246" s="965">
        <v>6</v>
      </c>
      <c r="C246" s="935">
        <v>0</v>
      </c>
      <c r="D246" s="1055">
        <v>0</v>
      </c>
      <c r="E246" s="935">
        <v>1</v>
      </c>
      <c r="F246" s="936">
        <v>504500</v>
      </c>
    </row>
    <row r="247" spans="1:6" s="905" customFormat="1" ht="21" thickBot="1" x14ac:dyDescent="0.35">
      <c r="A247" s="1056" t="s">
        <v>187</v>
      </c>
      <c r="B247" s="1057"/>
      <c r="C247" s="1058">
        <f>SUM(C241:C246)</f>
        <v>1</v>
      </c>
      <c r="D247" s="1060">
        <f>SUM(D241:D246)</f>
        <v>264451</v>
      </c>
      <c r="E247" s="1058">
        <f>SUM(E241:E246)</f>
        <v>3</v>
      </c>
      <c r="F247" s="961">
        <f>SUM(F241:F246)</f>
        <v>1448100</v>
      </c>
    </row>
    <row r="248" spans="1:6" s="905" customFormat="1" x14ac:dyDescent="0.3">
      <c r="A248" s="1052"/>
      <c r="B248" s="965">
        <v>7</v>
      </c>
      <c r="C248" s="935">
        <v>2</v>
      </c>
      <c r="D248" s="1053">
        <v>685162</v>
      </c>
      <c r="E248" s="935">
        <v>0</v>
      </c>
      <c r="F248" s="936">
        <v>0</v>
      </c>
    </row>
    <row r="249" spans="1:6" s="905" customFormat="1" x14ac:dyDescent="0.3">
      <c r="A249" s="1052"/>
      <c r="B249" s="965">
        <v>8</v>
      </c>
      <c r="C249" s="935">
        <v>3</v>
      </c>
      <c r="D249" s="1053">
        <v>1806676</v>
      </c>
      <c r="E249" s="935">
        <v>1</v>
      </c>
      <c r="F249" s="936">
        <v>655800</v>
      </c>
    </row>
    <row r="250" spans="1:6" s="905" customFormat="1" x14ac:dyDescent="0.3">
      <c r="A250" s="1052"/>
      <c r="B250" s="965">
        <v>9</v>
      </c>
      <c r="C250" s="935">
        <v>2</v>
      </c>
      <c r="D250" s="1053">
        <v>1411502</v>
      </c>
      <c r="E250" s="935">
        <v>4</v>
      </c>
      <c r="F250" s="936">
        <v>3448600</v>
      </c>
    </row>
    <row r="251" spans="1:6" s="905" customFormat="1" x14ac:dyDescent="0.3">
      <c r="A251" s="1052"/>
      <c r="B251" s="965">
        <v>10</v>
      </c>
      <c r="C251" s="935">
        <v>7</v>
      </c>
      <c r="D251" s="1053">
        <v>5787348</v>
      </c>
      <c r="E251" s="935">
        <v>6</v>
      </c>
      <c r="F251" s="936">
        <v>6037800</v>
      </c>
    </row>
    <row r="252" spans="1:6" s="905" customFormat="1" ht="21" thickBot="1" x14ac:dyDescent="0.35">
      <c r="A252" s="1052"/>
      <c r="B252" s="965">
        <v>12</v>
      </c>
      <c r="C252" s="935">
        <v>3</v>
      </c>
      <c r="D252" s="1053">
        <v>2856459</v>
      </c>
      <c r="E252" s="935">
        <v>5</v>
      </c>
      <c r="F252" s="936">
        <v>5035300</v>
      </c>
    </row>
    <row r="253" spans="1:6" s="905" customFormat="1" ht="21" thickBot="1" x14ac:dyDescent="0.35">
      <c r="A253" s="1056" t="s">
        <v>188</v>
      </c>
      <c r="B253" s="1057"/>
      <c r="C253" s="1058">
        <f>SUM(C248:C252)</f>
        <v>17</v>
      </c>
      <c r="D253" s="1061">
        <f>SUM(D248:D252)</f>
        <v>12547147</v>
      </c>
      <c r="E253" s="1058">
        <f>SUM(E248:E252)</f>
        <v>16</v>
      </c>
      <c r="F253" s="961">
        <f>SUM(F248:F252)</f>
        <v>15177500</v>
      </c>
    </row>
    <row r="254" spans="1:6" s="905" customFormat="1" x14ac:dyDescent="0.3">
      <c r="A254" s="1052"/>
      <c r="B254" s="965">
        <v>13</v>
      </c>
      <c r="C254" s="935">
        <v>5</v>
      </c>
      <c r="D254" s="1053">
        <v>5311135</v>
      </c>
      <c r="E254" s="935">
        <v>7</v>
      </c>
      <c r="F254" s="936">
        <v>7829400</v>
      </c>
    </row>
    <row r="255" spans="1:6" s="905" customFormat="1" x14ac:dyDescent="0.3">
      <c r="A255" s="1052"/>
      <c r="B255" s="965">
        <v>14</v>
      </c>
      <c r="C255" s="935">
        <v>12</v>
      </c>
      <c r="D255" s="1053">
        <v>13050500</v>
      </c>
      <c r="E255" s="935">
        <v>11</v>
      </c>
      <c r="F255" s="936">
        <v>13554000</v>
      </c>
    </row>
    <row r="256" spans="1:6" s="905" customFormat="1" x14ac:dyDescent="0.3">
      <c r="A256" s="1052"/>
      <c r="B256" s="965">
        <v>15</v>
      </c>
      <c r="C256" s="935">
        <v>3</v>
      </c>
      <c r="D256" s="1053">
        <v>4823871</v>
      </c>
      <c r="E256" s="935">
        <v>5</v>
      </c>
      <c r="F256" s="936">
        <v>8183200</v>
      </c>
    </row>
    <row r="257" spans="1:6" s="905" customFormat="1" ht="21" thickBot="1" x14ac:dyDescent="0.35">
      <c r="A257" s="1052"/>
      <c r="B257" s="965">
        <v>16</v>
      </c>
      <c r="C257" s="935">
        <v>1</v>
      </c>
      <c r="D257" s="981">
        <v>2119110</v>
      </c>
      <c r="E257" s="935">
        <v>2</v>
      </c>
      <c r="F257" s="936">
        <v>4180400</v>
      </c>
    </row>
    <row r="258" spans="1:6" s="905" customFormat="1" ht="21" thickBot="1" x14ac:dyDescent="0.35">
      <c r="A258" s="1056" t="s">
        <v>189</v>
      </c>
      <c r="B258" s="1057"/>
      <c r="C258" s="943">
        <f>SUM(C254:C257)</f>
        <v>21</v>
      </c>
      <c r="D258" s="1061">
        <f>SUM(D254:D257)</f>
        <v>25304616</v>
      </c>
      <c r="E258" s="943">
        <f>SUM(E254:E257)</f>
        <v>25</v>
      </c>
      <c r="F258" s="942">
        <f>SUM(F254:F257)</f>
        <v>33747000</v>
      </c>
    </row>
    <row r="259" spans="1:6" s="905" customFormat="1" ht="21" thickBot="1" x14ac:dyDescent="0.35">
      <c r="A259" s="1062" t="s">
        <v>190</v>
      </c>
      <c r="B259" s="1063"/>
      <c r="C259" s="1064">
        <f>SUM(C258,C253,C247)</f>
        <v>39</v>
      </c>
      <c r="D259" s="1060">
        <f>D258+D253+D247</f>
        <v>38116214</v>
      </c>
      <c r="E259" s="1064">
        <f>SUM(E258,E253,E247)</f>
        <v>44</v>
      </c>
      <c r="F259" s="1072">
        <f>SUM(F258,F253,F247)</f>
        <v>50372600</v>
      </c>
    </row>
    <row r="260" spans="1:6" s="905" customFormat="1" ht="21" thickBot="1" x14ac:dyDescent="0.35">
      <c r="A260" s="905" t="s">
        <v>1526</v>
      </c>
      <c r="B260" s="965" t="s">
        <v>179</v>
      </c>
      <c r="C260" s="935">
        <v>1</v>
      </c>
      <c r="D260" s="958">
        <v>2972646</v>
      </c>
      <c r="E260" s="935">
        <v>1</v>
      </c>
      <c r="F260" s="958">
        <v>2972646</v>
      </c>
    </row>
    <row r="261" spans="1:6" s="906" customFormat="1" ht="21" thickBot="1" x14ac:dyDescent="0.35">
      <c r="A261" s="1066" t="s">
        <v>117</v>
      </c>
      <c r="B261" s="1057"/>
      <c r="C261" s="943">
        <f>SUM(C260:C260)</f>
        <v>1</v>
      </c>
      <c r="D261" s="961">
        <f>SUM(D260:D260)</f>
        <v>2972646</v>
      </c>
      <c r="E261" s="943">
        <f>SUM(E260:E260)</f>
        <v>1</v>
      </c>
      <c r="F261" s="942">
        <f>SUM(F260:F260)</f>
        <v>2972646</v>
      </c>
    </row>
    <row r="262" spans="1:6" s="905" customFormat="1" ht="21" thickBot="1" x14ac:dyDescent="0.35">
      <c r="A262" s="1066" t="s">
        <v>2665</v>
      </c>
      <c r="B262" s="1057"/>
      <c r="C262" s="943">
        <f>SUM(C259,C261)</f>
        <v>40</v>
      </c>
      <c r="D262" s="1068">
        <f>SUM(D259,D261)</f>
        <v>41088860</v>
      </c>
      <c r="E262" s="943">
        <f>SUM(E259,E261)</f>
        <v>45</v>
      </c>
      <c r="F262" s="942">
        <f>SUM(F259,F261)</f>
        <v>53345246</v>
      </c>
    </row>
    <row r="263" spans="1:6" s="905" customFormat="1" x14ac:dyDescent="0.3">
      <c r="A263" s="900"/>
      <c r="B263" s="1069"/>
      <c r="C263" s="1070"/>
      <c r="D263" s="903"/>
      <c r="E263" s="1070"/>
      <c r="F263" s="1071"/>
    </row>
    <row r="264" spans="1:6" x14ac:dyDescent="0.2">
      <c r="A264" s="3545" t="s">
        <v>183</v>
      </c>
      <c r="B264" s="3545"/>
      <c r="C264" s="3545"/>
      <c r="D264" s="3545"/>
      <c r="E264" s="3545"/>
      <c r="F264" s="3545"/>
    </row>
    <row r="265" spans="1:6" ht="21" thickBot="1" x14ac:dyDescent="0.25">
      <c r="A265" s="3546" t="s">
        <v>1773</v>
      </c>
      <c r="B265" s="3546"/>
      <c r="C265" s="3546"/>
      <c r="D265" s="3546"/>
      <c r="E265" s="3546"/>
      <c r="F265" s="3546"/>
    </row>
    <row r="266" spans="1:6" s="906" customFormat="1" ht="41.25" thickBot="1" x14ac:dyDescent="0.35">
      <c r="A266" s="1048" t="s">
        <v>185</v>
      </c>
      <c r="B266" s="1049" t="s">
        <v>186</v>
      </c>
      <c r="C266" s="922" t="s">
        <v>564</v>
      </c>
      <c r="D266" s="1048" t="s">
        <v>1482</v>
      </c>
      <c r="E266" s="922" t="s">
        <v>1129</v>
      </c>
      <c r="F266" s="923" t="s">
        <v>3096</v>
      </c>
    </row>
    <row r="267" spans="1:6" x14ac:dyDescent="0.2">
      <c r="A267" s="925"/>
      <c r="B267" s="954">
        <v>1</v>
      </c>
      <c r="C267" s="927">
        <v>0</v>
      </c>
      <c r="D267" s="978" t="s">
        <v>130</v>
      </c>
      <c r="E267" s="927">
        <v>0</v>
      </c>
      <c r="F267" s="934" t="s">
        <v>130</v>
      </c>
    </row>
    <row r="268" spans="1:6" x14ac:dyDescent="0.2">
      <c r="A268" s="931"/>
      <c r="B268" s="954">
        <v>2</v>
      </c>
      <c r="C268" s="933">
        <v>0</v>
      </c>
      <c r="D268" s="978" t="s">
        <v>130</v>
      </c>
      <c r="E268" s="933">
        <v>0</v>
      </c>
      <c r="F268" s="934" t="s">
        <v>130</v>
      </c>
    </row>
    <row r="269" spans="1:6" x14ac:dyDescent="0.2">
      <c r="A269" s="931"/>
      <c r="B269" s="954">
        <v>3</v>
      </c>
      <c r="C269" s="933">
        <v>0</v>
      </c>
      <c r="D269" s="978" t="s">
        <v>130</v>
      </c>
      <c r="E269" s="933">
        <v>0</v>
      </c>
      <c r="F269" s="934" t="s">
        <v>130</v>
      </c>
    </row>
    <row r="270" spans="1:6" x14ac:dyDescent="0.2">
      <c r="A270" s="931"/>
      <c r="B270" s="954">
        <v>4</v>
      </c>
      <c r="C270" s="933">
        <v>0</v>
      </c>
      <c r="D270" s="978" t="s">
        <v>130</v>
      </c>
      <c r="E270" s="933">
        <v>0</v>
      </c>
      <c r="F270" s="934" t="s">
        <v>130</v>
      </c>
    </row>
    <row r="271" spans="1:6" x14ac:dyDescent="0.2">
      <c r="A271" s="931"/>
      <c r="B271" s="954">
        <v>5</v>
      </c>
      <c r="C271" s="933">
        <v>0</v>
      </c>
      <c r="D271" s="978" t="s">
        <v>130</v>
      </c>
      <c r="E271" s="933">
        <v>0</v>
      </c>
      <c r="F271" s="934" t="s">
        <v>130</v>
      </c>
    </row>
    <row r="272" spans="1:6" ht="21" thickBot="1" x14ac:dyDescent="0.25">
      <c r="A272" s="931"/>
      <c r="B272" s="954">
        <v>6</v>
      </c>
      <c r="C272" s="933">
        <v>0</v>
      </c>
      <c r="D272" s="978" t="s">
        <v>130</v>
      </c>
      <c r="E272" s="933">
        <v>0</v>
      </c>
      <c r="F272" s="934" t="s">
        <v>130</v>
      </c>
    </row>
    <row r="273" spans="1:6" ht="21" thickBot="1" x14ac:dyDescent="0.25">
      <c r="A273" s="937" t="s">
        <v>187</v>
      </c>
      <c r="B273" s="938"/>
      <c r="C273" s="968">
        <v>0</v>
      </c>
      <c r="D273" s="940"/>
      <c r="E273" s="968">
        <v>0</v>
      </c>
      <c r="F273" s="940"/>
    </row>
    <row r="274" spans="1:6" x14ac:dyDescent="0.2">
      <c r="A274" s="931"/>
      <c r="B274" s="954">
        <v>7</v>
      </c>
      <c r="C274" s="933">
        <v>0</v>
      </c>
      <c r="D274" s="978" t="s">
        <v>130</v>
      </c>
      <c r="E274" s="933">
        <v>0</v>
      </c>
      <c r="F274" s="934" t="s">
        <v>130</v>
      </c>
    </row>
    <row r="275" spans="1:6" x14ac:dyDescent="0.2">
      <c r="A275" s="931"/>
      <c r="B275" s="954">
        <v>8</v>
      </c>
      <c r="C275" s="933">
        <v>0</v>
      </c>
      <c r="D275" s="978" t="s">
        <v>130</v>
      </c>
      <c r="E275" s="933">
        <v>0</v>
      </c>
      <c r="F275" s="934" t="s">
        <v>130</v>
      </c>
    </row>
    <row r="276" spans="1:6" x14ac:dyDescent="0.2">
      <c r="A276" s="931"/>
      <c r="B276" s="954">
        <v>9</v>
      </c>
      <c r="C276" s="933">
        <v>0</v>
      </c>
      <c r="D276" s="978" t="s">
        <v>130</v>
      </c>
      <c r="E276" s="933">
        <v>0</v>
      </c>
      <c r="F276" s="934" t="s">
        <v>130</v>
      </c>
    </row>
    <row r="277" spans="1:6" x14ac:dyDescent="0.2">
      <c r="A277" s="931"/>
      <c r="B277" s="954">
        <v>10</v>
      </c>
      <c r="C277" s="933">
        <v>0</v>
      </c>
      <c r="D277" s="978" t="s">
        <v>130</v>
      </c>
      <c r="E277" s="933">
        <v>0</v>
      </c>
      <c r="F277" s="934" t="s">
        <v>130</v>
      </c>
    </row>
    <row r="278" spans="1:6" ht="21" thickBot="1" x14ac:dyDescent="0.25">
      <c r="A278" s="931"/>
      <c r="B278" s="954">
        <v>12</v>
      </c>
      <c r="C278" s="933">
        <v>0</v>
      </c>
      <c r="D278" s="978" t="s">
        <v>130</v>
      </c>
      <c r="E278" s="933">
        <v>0</v>
      </c>
      <c r="F278" s="934" t="s">
        <v>130</v>
      </c>
    </row>
    <row r="279" spans="1:6" ht="21" thickBot="1" x14ac:dyDescent="0.25">
      <c r="A279" s="937" t="s">
        <v>188</v>
      </c>
      <c r="B279" s="938"/>
      <c r="C279" s="968">
        <v>0</v>
      </c>
      <c r="D279" s="940"/>
      <c r="E279" s="968">
        <v>0</v>
      </c>
      <c r="F279" s="940"/>
    </row>
    <row r="280" spans="1:6" x14ac:dyDescent="0.2">
      <c r="A280" s="931"/>
      <c r="B280" s="954">
        <v>13</v>
      </c>
      <c r="C280" s="933">
        <v>0</v>
      </c>
      <c r="D280" s="978">
        <v>0</v>
      </c>
      <c r="E280" s="933">
        <v>0</v>
      </c>
      <c r="F280" s="934">
        <v>0</v>
      </c>
    </row>
    <row r="281" spans="1:6" x14ac:dyDescent="0.2">
      <c r="A281" s="931"/>
      <c r="B281" s="954">
        <v>14</v>
      </c>
      <c r="C281" s="933">
        <v>0</v>
      </c>
      <c r="D281" s="978"/>
      <c r="E281" s="933">
        <v>0</v>
      </c>
      <c r="F281" s="934"/>
    </row>
    <row r="282" spans="1:6" x14ac:dyDescent="0.2">
      <c r="A282" s="931"/>
      <c r="B282" s="954">
        <v>15</v>
      </c>
      <c r="C282" s="933">
        <v>0</v>
      </c>
      <c r="D282" s="978"/>
      <c r="E282" s="933">
        <v>0</v>
      </c>
      <c r="F282" s="934"/>
    </row>
    <row r="283" spans="1:6" ht="21" thickBot="1" x14ac:dyDescent="0.25">
      <c r="A283" s="931"/>
      <c r="B283" s="954">
        <v>16</v>
      </c>
      <c r="C283" s="933">
        <v>0</v>
      </c>
      <c r="D283" s="978"/>
      <c r="E283" s="933">
        <v>0</v>
      </c>
      <c r="F283" s="934"/>
    </row>
    <row r="284" spans="1:6" ht="21" thickBot="1" x14ac:dyDescent="0.25">
      <c r="A284" s="937" t="s">
        <v>189</v>
      </c>
      <c r="B284" s="938"/>
      <c r="C284" s="968">
        <f>SUM(C280:C283)</f>
        <v>0</v>
      </c>
      <c r="D284" s="940">
        <f>SUM(D280:D283)</f>
        <v>0</v>
      </c>
      <c r="E284" s="968">
        <f>SUM(E280:E283)</f>
        <v>0</v>
      </c>
      <c r="F284" s="940">
        <f>SUM(F280:F283)</f>
        <v>0</v>
      </c>
    </row>
    <row r="285" spans="1:6" ht="21" thickBot="1" x14ac:dyDescent="0.25">
      <c r="A285" s="937" t="s">
        <v>190</v>
      </c>
      <c r="B285" s="938"/>
      <c r="C285" s="939">
        <f>SUM(C284,C279,C273)</f>
        <v>0</v>
      </c>
      <c r="D285" s="940">
        <f>SUM(D284,D279,D273)</f>
        <v>0</v>
      </c>
      <c r="E285" s="939">
        <f>SUM(E284,E279,E273)</f>
        <v>0</v>
      </c>
      <c r="F285" s="940">
        <f>SUM(F284,F279,F273)</f>
        <v>0</v>
      </c>
    </row>
    <row r="286" spans="1:6" x14ac:dyDescent="0.2">
      <c r="A286" s="964" t="s">
        <v>458</v>
      </c>
      <c r="B286" s="954"/>
      <c r="C286" s="933">
        <v>1</v>
      </c>
      <c r="D286" s="978">
        <v>1337225</v>
      </c>
      <c r="E286" s="933">
        <v>1</v>
      </c>
      <c r="F286" s="934">
        <v>1337225</v>
      </c>
    </row>
    <row r="287" spans="1:6" ht="21" thickBot="1" x14ac:dyDescent="0.25">
      <c r="A287" s="964" t="s">
        <v>196</v>
      </c>
      <c r="B287" s="954"/>
      <c r="C287" s="933"/>
      <c r="D287" s="978">
        <v>4479705</v>
      </c>
      <c r="E287" s="933"/>
      <c r="F287" s="934">
        <v>4479705</v>
      </c>
    </row>
    <row r="288" spans="1:6" ht="21" thickBot="1" x14ac:dyDescent="0.25">
      <c r="A288" s="1073" t="s">
        <v>117</v>
      </c>
      <c r="B288" s="1074"/>
      <c r="C288" s="1075"/>
      <c r="D288" s="1076">
        <f>SUM(D286:D287)</f>
        <v>5816930</v>
      </c>
      <c r="E288" s="1075">
        <f>SUM(E286:E287)</f>
        <v>1</v>
      </c>
      <c r="F288" s="1076">
        <f>SUM(F286:F287)</f>
        <v>5816930</v>
      </c>
    </row>
    <row r="289" spans="1:6" ht="21" thickBot="1" x14ac:dyDescent="0.25">
      <c r="A289" s="950" t="s">
        <v>204</v>
      </c>
      <c r="B289" s="938"/>
      <c r="C289" s="939"/>
      <c r="D289" s="940">
        <f>SUM(D285,D288)</f>
        <v>5816930</v>
      </c>
      <c r="E289" s="968">
        <f>SUM(E287:E288)</f>
        <v>1</v>
      </c>
      <c r="F289" s="940">
        <f>SUM(F285,F288)</f>
        <v>5816930</v>
      </c>
    </row>
    <row r="290" spans="1:6" x14ac:dyDescent="0.2">
      <c r="A290" s="3545"/>
      <c r="B290" s="3545"/>
      <c r="C290" s="3545"/>
      <c r="D290" s="3545"/>
      <c r="E290" s="3545"/>
      <c r="F290" s="3545"/>
    </row>
    <row r="291" spans="1:6" x14ac:dyDescent="0.2">
      <c r="A291" s="3545"/>
      <c r="B291" s="3545"/>
      <c r="C291" s="3545"/>
      <c r="D291" s="3545"/>
      <c r="E291" s="3545"/>
      <c r="F291" s="3545"/>
    </row>
    <row r="292" spans="1:6" x14ac:dyDescent="0.2">
      <c r="A292" s="3545" t="s">
        <v>183</v>
      </c>
      <c r="B292" s="3545"/>
      <c r="C292" s="3545"/>
      <c r="D292" s="3545"/>
      <c r="E292" s="3545"/>
      <c r="F292" s="3545"/>
    </row>
    <row r="293" spans="1:6" ht="21" thickBot="1" x14ac:dyDescent="0.25">
      <c r="A293" s="3546" t="s">
        <v>738</v>
      </c>
      <c r="B293" s="3546"/>
      <c r="C293" s="3546"/>
      <c r="D293" s="3546"/>
      <c r="E293" s="3546"/>
      <c r="F293" s="3546"/>
    </row>
    <row r="294" spans="1:6" s="924" customFormat="1" ht="41.25" thickBot="1" x14ac:dyDescent="0.25">
      <c r="A294" s="920" t="s">
        <v>185</v>
      </c>
      <c r="B294" s="921" t="s">
        <v>186</v>
      </c>
      <c r="C294" s="922" t="s">
        <v>564</v>
      </c>
      <c r="D294" s="953" t="s">
        <v>1128</v>
      </c>
      <c r="E294" s="922" t="s">
        <v>1129</v>
      </c>
      <c r="F294" s="923" t="s">
        <v>3096</v>
      </c>
    </row>
    <row r="295" spans="1:6" x14ac:dyDescent="0.2">
      <c r="A295" s="931"/>
      <c r="B295" s="954">
        <v>1</v>
      </c>
      <c r="C295" s="927">
        <v>0</v>
      </c>
      <c r="D295" s="978">
        <v>0</v>
      </c>
      <c r="E295" s="927"/>
      <c r="F295" s="934">
        <v>0</v>
      </c>
    </row>
    <row r="296" spans="1:6" x14ac:dyDescent="0.2">
      <c r="A296" s="931"/>
      <c r="B296" s="954">
        <v>2</v>
      </c>
      <c r="C296" s="933">
        <v>0</v>
      </c>
      <c r="D296" s="978">
        <v>0</v>
      </c>
      <c r="E296" s="933">
        <v>0</v>
      </c>
      <c r="F296" s="934">
        <v>0</v>
      </c>
    </row>
    <row r="297" spans="1:6" x14ac:dyDescent="0.2">
      <c r="A297" s="931"/>
      <c r="B297" s="954">
        <v>3</v>
      </c>
      <c r="C297" s="933">
        <v>0</v>
      </c>
      <c r="D297" s="978">
        <v>0</v>
      </c>
      <c r="E297" s="933">
        <v>0</v>
      </c>
      <c r="F297" s="934">
        <v>0</v>
      </c>
    </row>
    <row r="298" spans="1:6" x14ac:dyDescent="0.2">
      <c r="A298" s="931"/>
      <c r="B298" s="954">
        <v>4</v>
      </c>
      <c r="C298" s="933">
        <v>1</v>
      </c>
      <c r="D298" s="978">
        <v>350580</v>
      </c>
      <c r="E298" s="933">
        <v>1</v>
      </c>
      <c r="F298" s="934">
        <v>504451.44</v>
      </c>
    </row>
    <row r="299" spans="1:6" x14ac:dyDescent="0.2">
      <c r="A299" s="931"/>
      <c r="B299" s="954">
        <v>5</v>
      </c>
      <c r="C299" s="933">
        <v>0</v>
      </c>
      <c r="D299" s="978" t="s">
        <v>130</v>
      </c>
      <c r="E299" s="933">
        <v>0</v>
      </c>
      <c r="F299" s="934">
        <v>0</v>
      </c>
    </row>
    <row r="300" spans="1:6" ht="21" thickBot="1" x14ac:dyDescent="0.25">
      <c r="A300" s="931"/>
      <c r="B300" s="954">
        <v>6</v>
      </c>
      <c r="C300" s="933">
        <v>1</v>
      </c>
      <c r="D300" s="978">
        <v>408550</v>
      </c>
      <c r="E300" s="933">
        <v>0</v>
      </c>
      <c r="F300" s="934">
        <v>0</v>
      </c>
    </row>
    <row r="301" spans="1:6" s="924" customFormat="1" ht="21" thickBot="1" x14ac:dyDescent="0.25">
      <c r="A301" s="937" t="s">
        <v>187</v>
      </c>
      <c r="B301" s="938"/>
      <c r="C301" s="968">
        <f>SUM(C295:C300)</f>
        <v>2</v>
      </c>
      <c r="D301" s="940">
        <f>SUM(D295:D300)</f>
        <v>759130</v>
      </c>
      <c r="E301" s="968">
        <f>SUM(E295:E300)</f>
        <v>1</v>
      </c>
      <c r="F301" s="940">
        <f>SUM(F295:F300)</f>
        <v>504451.44</v>
      </c>
    </row>
    <row r="302" spans="1:6" x14ac:dyDescent="0.2">
      <c r="A302" s="931"/>
      <c r="B302" s="954">
        <v>7</v>
      </c>
      <c r="C302" s="933">
        <v>2</v>
      </c>
      <c r="D302" s="978">
        <v>1064740</v>
      </c>
      <c r="E302" s="933">
        <v>0</v>
      </c>
      <c r="F302" s="934">
        <v>0</v>
      </c>
    </row>
    <row r="303" spans="1:6" x14ac:dyDescent="0.2">
      <c r="A303" s="931"/>
      <c r="B303" s="954">
        <v>8</v>
      </c>
      <c r="C303" s="933">
        <v>1</v>
      </c>
      <c r="D303" s="978">
        <v>674380</v>
      </c>
      <c r="E303" s="933" t="s">
        <v>179</v>
      </c>
      <c r="F303" s="934">
        <v>0</v>
      </c>
    </row>
    <row r="304" spans="1:6" x14ac:dyDescent="0.2">
      <c r="A304" s="931"/>
      <c r="B304" s="954">
        <v>9</v>
      </c>
      <c r="C304" s="933">
        <v>2</v>
      </c>
      <c r="D304" s="978">
        <v>1585350</v>
      </c>
      <c r="E304" s="933" t="s">
        <v>179</v>
      </c>
      <c r="F304" s="934">
        <v>0</v>
      </c>
    </row>
    <row r="305" spans="1:6" x14ac:dyDescent="0.2">
      <c r="A305" s="931"/>
      <c r="B305" s="954">
        <v>10</v>
      </c>
      <c r="C305" s="933">
        <v>1</v>
      </c>
      <c r="D305" s="978">
        <v>1835280</v>
      </c>
      <c r="E305" s="933">
        <v>1</v>
      </c>
      <c r="F305" s="934">
        <v>1174696.92</v>
      </c>
    </row>
    <row r="306" spans="1:6" ht="21" thickBot="1" x14ac:dyDescent="0.25">
      <c r="A306" s="931"/>
      <c r="B306" s="954">
        <v>12</v>
      </c>
      <c r="C306" s="933">
        <v>1</v>
      </c>
      <c r="D306" s="978">
        <v>1049480</v>
      </c>
      <c r="E306" s="933">
        <v>1</v>
      </c>
      <c r="F306" s="934">
        <v>1155740.3999999999</v>
      </c>
    </row>
    <row r="307" spans="1:6" s="924" customFormat="1" ht="21" thickBot="1" x14ac:dyDescent="0.25">
      <c r="A307" s="937" t="s">
        <v>188</v>
      </c>
      <c r="B307" s="938"/>
      <c r="C307" s="968">
        <f>SUM(C302:C306)</f>
        <v>7</v>
      </c>
      <c r="D307" s="940">
        <f>SUM(D302:D306)</f>
        <v>6209230</v>
      </c>
      <c r="E307" s="968">
        <f>SUM(E302:E306)</f>
        <v>2</v>
      </c>
      <c r="F307" s="940">
        <f>SUM(F302:F306)</f>
        <v>2330437.3199999998</v>
      </c>
    </row>
    <row r="308" spans="1:6" x14ac:dyDescent="0.2">
      <c r="A308" s="931"/>
      <c r="B308" s="954">
        <v>13</v>
      </c>
      <c r="C308" s="933">
        <v>1</v>
      </c>
      <c r="D308" s="978">
        <v>1159350</v>
      </c>
      <c r="E308" s="933">
        <v>1</v>
      </c>
      <c r="F308" s="934">
        <v>1236380.8799999999</v>
      </c>
    </row>
    <row r="309" spans="1:6" x14ac:dyDescent="0.2">
      <c r="A309" s="931"/>
      <c r="B309" s="954">
        <v>14</v>
      </c>
      <c r="C309" s="933">
        <v>3</v>
      </c>
      <c r="D309" s="978">
        <v>3559350</v>
      </c>
      <c r="E309" s="933">
        <v>1</v>
      </c>
      <c r="F309" s="934">
        <v>1570626</v>
      </c>
    </row>
    <row r="310" spans="1:6" x14ac:dyDescent="0.2">
      <c r="A310" s="931"/>
      <c r="B310" s="954">
        <v>15</v>
      </c>
      <c r="C310" s="933" t="s">
        <v>130</v>
      </c>
      <c r="D310" s="978">
        <v>3766665</v>
      </c>
      <c r="E310" s="933">
        <v>2</v>
      </c>
      <c r="F310" s="934">
        <v>2104383</v>
      </c>
    </row>
    <row r="311" spans="1:6" ht="21" thickBot="1" x14ac:dyDescent="0.25">
      <c r="A311" s="931"/>
      <c r="B311" s="954">
        <v>16</v>
      </c>
      <c r="C311" s="933" t="s">
        <v>130</v>
      </c>
      <c r="D311" s="978" t="s">
        <v>130</v>
      </c>
      <c r="E311" s="933">
        <v>0</v>
      </c>
      <c r="F311" s="934">
        <v>0</v>
      </c>
    </row>
    <row r="312" spans="1:6" s="924" customFormat="1" ht="21" thickBot="1" x14ac:dyDescent="0.25">
      <c r="A312" s="937" t="s">
        <v>189</v>
      </c>
      <c r="B312" s="938"/>
      <c r="C312" s="968">
        <f>SUM(C308:C311)</f>
        <v>4</v>
      </c>
      <c r="D312" s="940">
        <f>SUM(D308:D311)</f>
        <v>8485365</v>
      </c>
      <c r="E312" s="968">
        <f>SUM(E308:E311)</f>
        <v>4</v>
      </c>
      <c r="F312" s="940">
        <f>SUM(F308:F311)</f>
        <v>4911389.88</v>
      </c>
    </row>
    <row r="313" spans="1:6" s="924" customFormat="1" ht="21" thickBot="1" x14ac:dyDescent="0.25">
      <c r="A313" s="937" t="s">
        <v>190</v>
      </c>
      <c r="B313" s="938"/>
      <c r="C313" s="968">
        <f>SUM(C312,C307,C301)</f>
        <v>13</v>
      </c>
      <c r="D313" s="940">
        <f>SUM(D312,D307,D301)</f>
        <v>15453725</v>
      </c>
      <c r="E313" s="968">
        <f>SUM(E312,E307,E301)</f>
        <v>7</v>
      </c>
      <c r="F313" s="940">
        <f>SUM(F312,F307,F301)</f>
        <v>7746278.6399999997</v>
      </c>
    </row>
    <row r="314" spans="1:6" x14ac:dyDescent="0.2">
      <c r="A314" s="964" t="s">
        <v>456</v>
      </c>
      <c r="B314" s="954"/>
      <c r="C314" s="933">
        <v>1</v>
      </c>
      <c r="D314" s="978">
        <v>1250110</v>
      </c>
      <c r="E314" s="933">
        <v>1</v>
      </c>
      <c r="F314" s="934">
        <v>1250110</v>
      </c>
    </row>
    <row r="315" spans="1:6" ht="21" thickBot="1" x14ac:dyDescent="0.25">
      <c r="A315" s="964" t="s">
        <v>457</v>
      </c>
      <c r="B315" s="954"/>
      <c r="C315" s="933"/>
      <c r="D315" s="978">
        <v>4479705</v>
      </c>
      <c r="E315" s="933"/>
      <c r="F315" s="934">
        <v>4479705</v>
      </c>
    </row>
    <row r="316" spans="1:6" ht="21" thickBot="1" x14ac:dyDescent="0.25">
      <c r="A316" s="950" t="s">
        <v>117</v>
      </c>
      <c r="B316" s="1077"/>
      <c r="C316" s="1078"/>
      <c r="D316" s="1032">
        <f>SUM(D314:D315)</f>
        <v>5729815</v>
      </c>
      <c r="E316" s="1078"/>
      <c r="F316" s="940">
        <f>SUM(F314:F315)</f>
        <v>5729815</v>
      </c>
    </row>
    <row r="317" spans="1:6" ht="21" thickBot="1" x14ac:dyDescent="0.25">
      <c r="A317" s="950" t="s">
        <v>2666</v>
      </c>
      <c r="B317" s="938"/>
      <c r="C317" s="939"/>
      <c r="D317" s="1032">
        <f>SUM(D313,D316)</f>
        <v>21183540</v>
      </c>
      <c r="E317" s="939"/>
      <c r="F317" s="940">
        <f>SUM(F313,F316)</f>
        <v>13476093.640000001</v>
      </c>
    </row>
    <row r="318" spans="1:6" x14ac:dyDescent="0.2">
      <c r="A318" s="3545"/>
      <c r="B318" s="3545"/>
      <c r="C318" s="3545"/>
      <c r="D318" s="3545"/>
      <c r="E318" s="3545"/>
      <c r="F318" s="3545"/>
    </row>
    <row r="319" spans="1:6" x14ac:dyDescent="0.2">
      <c r="A319" s="3545" t="s">
        <v>183</v>
      </c>
      <c r="B319" s="3545"/>
      <c r="C319" s="3545"/>
      <c r="D319" s="3545"/>
      <c r="E319" s="3545"/>
      <c r="F319" s="3545"/>
    </row>
    <row r="320" spans="1:6" ht="21" thickBot="1" x14ac:dyDescent="0.25">
      <c r="A320" s="3546" t="s">
        <v>391</v>
      </c>
      <c r="B320" s="3546"/>
      <c r="C320" s="3546"/>
      <c r="D320" s="3546"/>
      <c r="E320" s="3546"/>
      <c r="F320" s="3546"/>
    </row>
    <row r="321" spans="1:6" s="924" customFormat="1" ht="41.25" thickBot="1" x14ac:dyDescent="0.25">
      <c r="A321" s="920" t="s">
        <v>185</v>
      </c>
      <c r="B321" s="921" t="s">
        <v>186</v>
      </c>
      <c r="C321" s="922" t="s">
        <v>564</v>
      </c>
      <c r="D321" s="953" t="s">
        <v>1128</v>
      </c>
      <c r="E321" s="922" t="s">
        <v>1129</v>
      </c>
      <c r="F321" s="923" t="s">
        <v>3096</v>
      </c>
    </row>
    <row r="322" spans="1:6" x14ac:dyDescent="0.2">
      <c r="A322" s="931"/>
      <c r="B322" s="932">
        <v>1</v>
      </c>
      <c r="C322" s="927"/>
      <c r="E322" s="927"/>
      <c r="F322" s="934"/>
    </row>
    <row r="323" spans="1:6" x14ac:dyDescent="0.2">
      <c r="A323" s="931"/>
      <c r="B323" s="932">
        <v>2</v>
      </c>
      <c r="C323" s="933">
        <v>3</v>
      </c>
      <c r="D323" s="989">
        <v>1874095</v>
      </c>
      <c r="E323" s="933"/>
      <c r="F323" s="934"/>
    </row>
    <row r="324" spans="1:6" x14ac:dyDescent="0.2">
      <c r="A324" s="931"/>
      <c r="B324" s="932">
        <v>3</v>
      </c>
      <c r="C324" s="933">
        <v>6</v>
      </c>
      <c r="D324" s="989">
        <v>2748065</v>
      </c>
      <c r="E324" s="933"/>
      <c r="F324" s="934"/>
    </row>
    <row r="325" spans="1:6" x14ac:dyDescent="0.2">
      <c r="A325" s="931"/>
      <c r="B325" s="932">
        <v>4</v>
      </c>
      <c r="C325" s="933">
        <v>8</v>
      </c>
      <c r="D325" s="989">
        <v>3455220</v>
      </c>
      <c r="E325" s="933"/>
      <c r="F325" s="934"/>
    </row>
    <row r="326" spans="1:6" x14ac:dyDescent="0.2">
      <c r="A326" s="931"/>
      <c r="B326" s="932">
        <v>5</v>
      </c>
      <c r="C326" s="933">
        <v>13</v>
      </c>
      <c r="D326" s="989">
        <v>5296105</v>
      </c>
      <c r="E326" s="933"/>
      <c r="F326" s="934"/>
    </row>
    <row r="327" spans="1:6" ht="21" thickBot="1" x14ac:dyDescent="0.25">
      <c r="A327" s="931"/>
      <c r="B327" s="932">
        <v>6</v>
      </c>
      <c r="C327" s="933">
        <v>14</v>
      </c>
      <c r="D327" s="989">
        <v>7494850</v>
      </c>
      <c r="E327" s="933"/>
      <c r="F327" s="934"/>
    </row>
    <row r="328" spans="1:6" ht="21" thickBot="1" x14ac:dyDescent="0.25">
      <c r="A328" s="1079" t="s">
        <v>187</v>
      </c>
      <c r="B328" s="1077"/>
      <c r="C328" s="1078">
        <f>SUM(C322:C327)</f>
        <v>44</v>
      </c>
      <c r="D328" s="1080">
        <f>SUM(D322:D327)</f>
        <v>20868335</v>
      </c>
      <c r="E328" s="1078">
        <f>SUM(E322:E327)</f>
        <v>0</v>
      </c>
      <c r="F328" s="1080">
        <f>SUM(F322:F327)</f>
        <v>0</v>
      </c>
    </row>
    <row r="329" spans="1:6" x14ac:dyDescent="0.2">
      <c r="A329" s="931"/>
      <c r="B329" s="932">
        <v>7</v>
      </c>
      <c r="C329" s="933" t="s">
        <v>179</v>
      </c>
      <c r="E329" s="933"/>
      <c r="F329" s="934"/>
    </row>
    <row r="330" spans="1:6" x14ac:dyDescent="0.2">
      <c r="A330" s="931"/>
      <c r="B330" s="932">
        <v>8</v>
      </c>
      <c r="C330" s="933">
        <v>3</v>
      </c>
      <c r="D330" s="989">
        <v>3088155</v>
      </c>
      <c r="E330" s="933"/>
      <c r="F330" s="934"/>
    </row>
    <row r="331" spans="1:6" x14ac:dyDescent="0.2">
      <c r="A331" s="931"/>
      <c r="B331" s="932">
        <v>9</v>
      </c>
      <c r="C331" s="933">
        <v>2</v>
      </c>
      <c r="D331" s="989">
        <v>2648085</v>
      </c>
      <c r="E331" s="933"/>
      <c r="F331" s="934"/>
    </row>
    <row r="332" spans="1:6" x14ac:dyDescent="0.2">
      <c r="A332" s="931"/>
      <c r="B332" s="932">
        <v>10</v>
      </c>
      <c r="C332" s="933">
        <v>5</v>
      </c>
      <c r="D332" s="989">
        <v>5759805</v>
      </c>
      <c r="E332" s="933"/>
      <c r="F332" s="934"/>
    </row>
    <row r="333" spans="1:6" ht="21" thickBot="1" x14ac:dyDescent="0.25">
      <c r="A333" s="931"/>
      <c r="B333" s="932">
        <v>12</v>
      </c>
      <c r="C333" s="933">
        <v>11</v>
      </c>
      <c r="D333" s="989">
        <v>12236935</v>
      </c>
      <c r="E333" s="933"/>
      <c r="F333" s="934"/>
    </row>
    <row r="334" spans="1:6" ht="21" thickBot="1" x14ac:dyDescent="0.25">
      <c r="A334" s="1079" t="s">
        <v>188</v>
      </c>
      <c r="B334" s="1077"/>
      <c r="C334" s="1078">
        <f>SUM(C330:C333)</f>
        <v>21</v>
      </c>
      <c r="D334" s="1080">
        <f>SUM(D330:D333)</f>
        <v>23732980</v>
      </c>
      <c r="E334" s="1078">
        <f>SUM(E330:E333)</f>
        <v>0</v>
      </c>
      <c r="F334" s="1080">
        <f>SUM(F330:F333)</f>
        <v>0</v>
      </c>
    </row>
    <row r="335" spans="1:6" x14ac:dyDescent="0.2">
      <c r="A335" s="931"/>
      <c r="B335" s="932">
        <v>13</v>
      </c>
      <c r="C335" s="933">
        <v>5</v>
      </c>
      <c r="D335" s="989">
        <v>6144580</v>
      </c>
      <c r="E335" s="933"/>
      <c r="F335" s="934"/>
    </row>
    <row r="336" spans="1:6" x14ac:dyDescent="0.2">
      <c r="A336" s="931"/>
      <c r="B336" s="932">
        <v>14</v>
      </c>
      <c r="C336" s="933">
        <v>9</v>
      </c>
      <c r="D336" s="989">
        <v>12193980</v>
      </c>
      <c r="E336" s="933"/>
      <c r="F336" s="934"/>
    </row>
    <row r="337" spans="1:6" x14ac:dyDescent="0.2">
      <c r="A337" s="931"/>
      <c r="B337" s="932">
        <v>15</v>
      </c>
      <c r="C337" s="933">
        <v>10</v>
      </c>
      <c r="D337" s="989">
        <v>18585175</v>
      </c>
      <c r="E337" s="933"/>
      <c r="F337" s="934"/>
    </row>
    <row r="338" spans="1:6" x14ac:dyDescent="0.2">
      <c r="A338" s="931"/>
      <c r="B338" s="932">
        <v>16</v>
      </c>
      <c r="C338" s="933">
        <v>24</v>
      </c>
      <c r="D338" s="989">
        <v>54962835</v>
      </c>
      <c r="E338" s="933"/>
      <c r="F338" s="934"/>
    </row>
    <row r="339" spans="1:6" ht="21" thickBot="1" x14ac:dyDescent="0.25">
      <c r="A339" s="931"/>
      <c r="B339" s="932">
        <v>17</v>
      </c>
      <c r="C339" s="933">
        <v>14</v>
      </c>
      <c r="D339" s="989">
        <v>60457290</v>
      </c>
      <c r="E339" s="933"/>
      <c r="F339" s="934"/>
    </row>
    <row r="340" spans="1:6" s="924" customFormat="1" ht="21" thickBot="1" x14ac:dyDescent="0.25">
      <c r="A340" s="937" t="s">
        <v>189</v>
      </c>
      <c r="B340" s="938"/>
      <c r="C340" s="968">
        <f>SUM(C335:C339)</f>
        <v>62</v>
      </c>
      <c r="D340" s="1032">
        <f>SUM(D335:D339)</f>
        <v>152343860</v>
      </c>
      <c r="E340" s="968">
        <f>SUM(E335:E339)</f>
        <v>0</v>
      </c>
      <c r="F340" s="940">
        <f>SUM(F335:F339)</f>
        <v>0</v>
      </c>
    </row>
    <row r="341" spans="1:6" s="924" customFormat="1" ht="21" thickBot="1" x14ac:dyDescent="0.25">
      <c r="A341" s="937" t="s">
        <v>190</v>
      </c>
      <c r="B341" s="938"/>
      <c r="C341" s="939">
        <f>SUM(C328,C334,C340)</f>
        <v>127</v>
      </c>
      <c r="D341" s="1081">
        <f>SUM(D328,D334,D340)</f>
        <v>196945175</v>
      </c>
      <c r="E341" s="939">
        <f>SUM(E328,E334,E340)</f>
        <v>0</v>
      </c>
      <c r="F341" s="940">
        <f>SUM(F328,F334,F340)</f>
        <v>0</v>
      </c>
    </row>
    <row r="342" spans="1:6" x14ac:dyDescent="0.2">
      <c r="A342" s="1082" t="s">
        <v>523</v>
      </c>
      <c r="B342" s="926"/>
      <c r="C342" s="927">
        <v>2</v>
      </c>
      <c r="D342" s="1083">
        <v>2500220</v>
      </c>
      <c r="E342" s="927">
        <v>2</v>
      </c>
      <c r="F342" s="928"/>
    </row>
    <row r="343" spans="1:6" x14ac:dyDescent="0.2">
      <c r="A343" s="945" t="s">
        <v>524</v>
      </c>
      <c r="C343" s="933"/>
      <c r="D343" s="989">
        <v>8959410</v>
      </c>
      <c r="E343" s="933"/>
      <c r="F343" s="934"/>
    </row>
    <row r="344" spans="1:6" x14ac:dyDescent="0.2">
      <c r="A344" s="945" t="s">
        <v>745</v>
      </c>
      <c r="C344" s="933">
        <v>1</v>
      </c>
      <c r="D344" s="989">
        <v>1337225</v>
      </c>
      <c r="E344" s="933">
        <v>1</v>
      </c>
      <c r="F344" s="934"/>
    </row>
    <row r="345" spans="1:6" ht="21" thickBot="1" x14ac:dyDescent="0.25">
      <c r="A345" s="945" t="s">
        <v>746</v>
      </c>
      <c r="C345" s="933"/>
      <c r="D345" s="989">
        <v>4479705</v>
      </c>
      <c r="E345" s="933"/>
      <c r="F345" s="934"/>
    </row>
    <row r="346" spans="1:6" ht="21" thickBot="1" x14ac:dyDescent="0.25">
      <c r="A346" s="950" t="s">
        <v>117</v>
      </c>
      <c r="B346" s="1077"/>
      <c r="C346" s="968">
        <f>SUM(C342:C345)</f>
        <v>3</v>
      </c>
      <c r="D346" s="1032">
        <f>SUM(D341:D345)</f>
        <v>214221735</v>
      </c>
      <c r="E346" s="968">
        <f>SUM(E342:E345)</f>
        <v>3</v>
      </c>
      <c r="F346" s="940">
        <v>229431130</v>
      </c>
    </row>
    <row r="347" spans="1:6" x14ac:dyDescent="0.2">
      <c r="A347" s="945" t="s">
        <v>739</v>
      </c>
      <c r="C347" s="933">
        <v>1</v>
      </c>
      <c r="D347" s="989">
        <v>1639875</v>
      </c>
      <c r="E347" s="933">
        <v>1</v>
      </c>
      <c r="F347" s="934">
        <v>1639875</v>
      </c>
    </row>
    <row r="348" spans="1:6" x14ac:dyDescent="0.2">
      <c r="A348" s="945" t="s">
        <v>740</v>
      </c>
      <c r="C348" s="933"/>
      <c r="D348" s="989">
        <v>6641500</v>
      </c>
      <c r="E348" s="933"/>
      <c r="F348" s="934">
        <v>6641500</v>
      </c>
    </row>
    <row r="349" spans="1:6" x14ac:dyDescent="0.2">
      <c r="A349" s="945" t="s">
        <v>741</v>
      </c>
      <c r="C349" s="933">
        <v>1</v>
      </c>
      <c r="D349" s="989">
        <v>1445985</v>
      </c>
      <c r="E349" s="933">
        <v>1</v>
      </c>
      <c r="F349" s="934">
        <v>1445985</v>
      </c>
    </row>
    <row r="350" spans="1:6" x14ac:dyDescent="0.2">
      <c r="A350" s="945" t="s">
        <v>742</v>
      </c>
      <c r="C350" s="933"/>
      <c r="D350" s="989">
        <v>5856230</v>
      </c>
      <c r="E350" s="933"/>
      <c r="F350" s="934">
        <v>5856230</v>
      </c>
    </row>
    <row r="351" spans="1:6" x14ac:dyDescent="0.2">
      <c r="A351" s="945" t="s">
        <v>743</v>
      </c>
      <c r="C351" s="933">
        <v>2</v>
      </c>
      <c r="D351" s="989">
        <v>2674450</v>
      </c>
      <c r="E351" s="933">
        <v>2</v>
      </c>
      <c r="F351" s="934">
        <v>2674450</v>
      </c>
    </row>
    <row r="352" spans="1:6" x14ac:dyDescent="0.2">
      <c r="A352" s="945" t="s">
        <v>744</v>
      </c>
      <c r="C352" s="933"/>
      <c r="D352" s="989">
        <v>10965250</v>
      </c>
      <c r="E352" s="933"/>
      <c r="F352" s="934">
        <v>10965250</v>
      </c>
    </row>
    <row r="353" spans="1:6" x14ac:dyDescent="0.2">
      <c r="A353" s="945" t="s">
        <v>747</v>
      </c>
      <c r="C353" s="933">
        <v>30</v>
      </c>
      <c r="D353" s="989">
        <v>40116945</v>
      </c>
      <c r="E353" s="933">
        <v>30</v>
      </c>
      <c r="F353" s="934">
        <v>40116945</v>
      </c>
    </row>
    <row r="354" spans="1:6" x14ac:dyDescent="0.2">
      <c r="A354" s="945" t="s">
        <v>748</v>
      </c>
      <c r="C354" s="933"/>
      <c r="D354" s="989">
        <v>162472820</v>
      </c>
      <c r="E354" s="933"/>
      <c r="F354" s="934">
        <v>162472820</v>
      </c>
    </row>
    <row r="355" spans="1:6" x14ac:dyDescent="0.2">
      <c r="A355" s="945" t="s">
        <v>749</v>
      </c>
      <c r="C355" s="933">
        <v>1</v>
      </c>
      <c r="D355" s="989">
        <v>1247870</v>
      </c>
      <c r="E355" s="933">
        <v>1</v>
      </c>
      <c r="F355" s="934">
        <v>1247870</v>
      </c>
    </row>
    <row r="356" spans="1:6" x14ac:dyDescent="0.2">
      <c r="A356" s="945" t="s">
        <v>750</v>
      </c>
      <c r="C356" s="933"/>
      <c r="D356" s="989">
        <v>4180365</v>
      </c>
      <c r="E356" s="933"/>
      <c r="F356" s="934">
        <v>4180365</v>
      </c>
    </row>
    <row r="357" spans="1:6" x14ac:dyDescent="0.2">
      <c r="A357" s="945" t="s">
        <v>751</v>
      </c>
      <c r="C357" s="933">
        <v>2</v>
      </c>
      <c r="D357" s="989">
        <v>2246160</v>
      </c>
      <c r="E357" s="933">
        <v>2</v>
      </c>
      <c r="F357" s="934">
        <v>2246160</v>
      </c>
    </row>
    <row r="358" spans="1:6" ht="21" thickBot="1" x14ac:dyDescent="0.25">
      <c r="A358" s="1084" t="s">
        <v>752</v>
      </c>
      <c r="B358" s="1085"/>
      <c r="C358" s="1086"/>
      <c r="D358" s="1087">
        <v>6668590</v>
      </c>
      <c r="E358" s="1086"/>
      <c r="F358" s="949">
        <v>6668590</v>
      </c>
    </row>
    <row r="359" spans="1:6" s="924" customFormat="1" ht="21" thickBot="1" x14ac:dyDescent="0.25">
      <c r="A359" s="950" t="s">
        <v>117</v>
      </c>
      <c r="B359" s="938"/>
      <c r="C359" s="968">
        <f>SUM(C347:C358)</f>
        <v>37</v>
      </c>
      <c r="D359" s="940">
        <f>SUM(D347:D358)</f>
        <v>246156040</v>
      </c>
      <c r="E359" s="968">
        <f>SUM(E347:E358)</f>
        <v>37</v>
      </c>
      <c r="F359" s="940">
        <f>SUM(F347:F358)</f>
        <v>246156040</v>
      </c>
    </row>
    <row r="360" spans="1:6" s="924" customFormat="1" ht="21" thickBot="1" x14ac:dyDescent="0.25">
      <c r="A360" s="950" t="s">
        <v>2581</v>
      </c>
      <c r="B360" s="938"/>
      <c r="C360" s="939">
        <f>SUM(C341,C346,C359)</f>
        <v>167</v>
      </c>
      <c r="D360" s="940">
        <f>SUM(D341,D346,D359)</f>
        <v>657322950</v>
      </c>
      <c r="E360" s="939">
        <f>SUM(E341,E346,E359)</f>
        <v>40</v>
      </c>
      <c r="F360" s="940">
        <f>SUM(F341,F346,F359)</f>
        <v>475587170</v>
      </c>
    </row>
    <row r="361" spans="1:6" s="924" customFormat="1" x14ac:dyDescent="0.2">
      <c r="A361" s="3545"/>
      <c r="B361" s="3545"/>
      <c r="C361" s="3545"/>
      <c r="D361" s="3545"/>
      <c r="E361" s="3545"/>
      <c r="F361" s="3545"/>
    </row>
    <row r="362" spans="1:6" x14ac:dyDescent="0.2">
      <c r="A362" s="3545" t="s">
        <v>183</v>
      </c>
      <c r="B362" s="3545"/>
      <c r="C362" s="3545"/>
      <c r="D362" s="3545"/>
      <c r="E362" s="3545"/>
      <c r="F362" s="3545"/>
    </row>
    <row r="363" spans="1:6" ht="21" thickBot="1" x14ac:dyDescent="0.25">
      <c r="A363" s="3546" t="s">
        <v>1055</v>
      </c>
      <c r="B363" s="3546"/>
      <c r="C363" s="3546"/>
      <c r="D363" s="3546"/>
      <c r="E363" s="3546"/>
      <c r="F363" s="3546"/>
    </row>
    <row r="364" spans="1:6" ht="41.25" thickBot="1" x14ac:dyDescent="0.25">
      <c r="A364" s="920" t="s">
        <v>185</v>
      </c>
      <c r="B364" s="921" t="s">
        <v>186</v>
      </c>
      <c r="C364" s="922" t="s">
        <v>564</v>
      </c>
      <c r="D364" s="923" t="s">
        <v>1128</v>
      </c>
      <c r="E364" s="922" t="s">
        <v>1129</v>
      </c>
      <c r="F364" s="923" t="s">
        <v>3096</v>
      </c>
    </row>
    <row r="365" spans="1:6" s="988" customFormat="1" x14ac:dyDescent="0.2">
      <c r="A365" s="925"/>
      <c r="B365" s="932">
        <v>1</v>
      </c>
      <c r="C365" s="927" t="s">
        <v>179</v>
      </c>
      <c r="D365" s="989" t="s">
        <v>179</v>
      </c>
      <c r="E365" s="927" t="s">
        <v>179</v>
      </c>
      <c r="F365" s="928" t="s">
        <v>179</v>
      </c>
    </row>
    <row r="366" spans="1:6" x14ac:dyDescent="0.2">
      <c r="A366" s="931"/>
      <c r="B366" s="932">
        <v>2</v>
      </c>
      <c r="C366" s="933"/>
      <c r="E366" s="933"/>
      <c r="F366" s="934"/>
    </row>
    <row r="367" spans="1:6" x14ac:dyDescent="0.2">
      <c r="A367" s="931"/>
      <c r="B367" s="932">
        <v>3</v>
      </c>
      <c r="C367" s="933"/>
      <c r="E367" s="933"/>
      <c r="F367" s="934"/>
    </row>
    <row r="368" spans="1:6" x14ac:dyDescent="0.2">
      <c r="A368" s="931"/>
      <c r="B368" s="932">
        <v>4</v>
      </c>
      <c r="C368" s="933"/>
      <c r="E368" s="933"/>
      <c r="F368" s="934"/>
    </row>
    <row r="369" spans="1:6" x14ac:dyDescent="0.2">
      <c r="A369" s="931"/>
      <c r="B369" s="932">
        <v>5</v>
      </c>
      <c r="C369" s="933"/>
      <c r="E369" s="933"/>
      <c r="F369" s="934"/>
    </row>
    <row r="370" spans="1:6" ht="21" thickBot="1" x14ac:dyDescent="0.25">
      <c r="A370" s="931"/>
      <c r="B370" s="932">
        <v>6</v>
      </c>
      <c r="C370" s="933"/>
      <c r="E370" s="933"/>
      <c r="F370" s="934"/>
    </row>
    <row r="371" spans="1:6" ht="21" thickBot="1" x14ac:dyDescent="0.25">
      <c r="A371" s="937" t="s">
        <v>187</v>
      </c>
      <c r="B371" s="938"/>
      <c r="C371" s="939">
        <f>SUM(C365:C370)</f>
        <v>0</v>
      </c>
      <c r="D371" s="940">
        <f>SUM(D365:D370)</f>
        <v>0</v>
      </c>
      <c r="E371" s="939">
        <f>SUM(E365:E370)</f>
        <v>0</v>
      </c>
      <c r="F371" s="940">
        <f>SUM(F365:F370)</f>
        <v>0</v>
      </c>
    </row>
    <row r="372" spans="1:6" x14ac:dyDescent="0.2">
      <c r="A372" s="931"/>
      <c r="B372" s="932">
        <v>7</v>
      </c>
      <c r="C372" s="933"/>
      <c r="E372" s="933"/>
      <c r="F372" s="934"/>
    </row>
    <row r="373" spans="1:6" x14ac:dyDescent="0.2">
      <c r="A373" s="931"/>
      <c r="B373" s="932">
        <v>8</v>
      </c>
      <c r="C373" s="933"/>
      <c r="E373" s="933"/>
      <c r="F373" s="934"/>
    </row>
    <row r="374" spans="1:6" x14ac:dyDescent="0.2">
      <c r="A374" s="931"/>
      <c r="B374" s="932">
        <v>9</v>
      </c>
      <c r="C374" s="933"/>
      <c r="E374" s="933"/>
      <c r="F374" s="934"/>
    </row>
    <row r="375" spans="1:6" x14ac:dyDescent="0.2">
      <c r="A375" s="931"/>
      <c r="B375" s="932">
        <v>10</v>
      </c>
      <c r="C375" s="933"/>
      <c r="E375" s="933"/>
      <c r="F375" s="934"/>
    </row>
    <row r="376" spans="1:6" ht="21" thickBot="1" x14ac:dyDescent="0.25">
      <c r="A376" s="931"/>
      <c r="B376" s="932">
        <v>12</v>
      </c>
      <c r="C376" s="933"/>
      <c r="E376" s="933"/>
      <c r="F376" s="934"/>
    </row>
    <row r="377" spans="1:6" ht="21" thickBot="1" x14ac:dyDescent="0.25">
      <c r="A377" s="937" t="s">
        <v>188</v>
      </c>
      <c r="B377" s="938"/>
      <c r="C377" s="939">
        <f>SUM(C372:C376)</f>
        <v>0</v>
      </c>
      <c r="D377" s="940">
        <f>SUM(D372:D376)</f>
        <v>0</v>
      </c>
      <c r="E377" s="939">
        <f>SUM(E372:E376)</f>
        <v>0</v>
      </c>
      <c r="F377" s="940">
        <f>SUM(F372:F376)</f>
        <v>0</v>
      </c>
    </row>
    <row r="378" spans="1:6" x14ac:dyDescent="0.2">
      <c r="A378" s="931"/>
      <c r="B378" s="932">
        <v>13</v>
      </c>
      <c r="C378" s="933"/>
      <c r="E378" s="933"/>
      <c r="F378" s="934"/>
    </row>
    <row r="379" spans="1:6" x14ac:dyDescent="0.2">
      <c r="A379" s="931"/>
      <c r="B379" s="932">
        <v>14</v>
      </c>
      <c r="C379" s="933"/>
      <c r="E379" s="933"/>
      <c r="F379" s="934"/>
    </row>
    <row r="380" spans="1:6" x14ac:dyDescent="0.2">
      <c r="A380" s="931"/>
      <c r="B380" s="932">
        <v>15</v>
      </c>
      <c r="C380" s="933"/>
      <c r="E380" s="933"/>
      <c r="F380" s="934"/>
    </row>
    <row r="381" spans="1:6" ht="21" thickBot="1" x14ac:dyDescent="0.25">
      <c r="A381" s="931"/>
      <c r="B381" s="932">
        <v>16</v>
      </c>
      <c r="C381" s="933"/>
      <c r="E381" s="933"/>
      <c r="F381" s="934"/>
    </row>
    <row r="382" spans="1:6" ht="21" thickBot="1" x14ac:dyDescent="0.25">
      <c r="A382" s="937" t="s">
        <v>189</v>
      </c>
      <c r="B382" s="938"/>
      <c r="C382" s="939">
        <f>SUM(C378:C381)</f>
        <v>0</v>
      </c>
      <c r="D382" s="940">
        <f>SUM(D378:D381)</f>
        <v>0</v>
      </c>
      <c r="E382" s="939">
        <f>SUM(E378:E381)</f>
        <v>0</v>
      </c>
      <c r="F382" s="940">
        <f>SUM(F378:F381)</f>
        <v>0</v>
      </c>
    </row>
    <row r="383" spans="1:6" ht="21" thickBot="1" x14ac:dyDescent="0.25">
      <c r="A383" s="990" t="s">
        <v>190</v>
      </c>
      <c r="B383" s="991"/>
      <c r="C383" s="992">
        <f>SUM(C382,C377,C371)</f>
        <v>0</v>
      </c>
      <c r="D383" s="969">
        <f>SUM(D382,D377,D371)</f>
        <v>0</v>
      </c>
      <c r="E383" s="992">
        <f>SUM(E382,E377,E371)</f>
        <v>0</v>
      </c>
      <c r="F383" s="969">
        <f>SUM(F382,F377,F371)</f>
        <v>0</v>
      </c>
    </row>
    <row r="384" spans="1:6" x14ac:dyDescent="0.2">
      <c r="A384" s="919" t="s">
        <v>200</v>
      </c>
      <c r="C384" s="1088">
        <v>1</v>
      </c>
      <c r="D384" s="1089">
        <v>1250110</v>
      </c>
      <c r="E384" s="1090">
        <v>1</v>
      </c>
      <c r="F384" s="1091">
        <v>1250110</v>
      </c>
    </row>
    <row r="385" spans="1:6" ht="21" thickBot="1" x14ac:dyDescent="0.25">
      <c r="A385" s="919" t="s">
        <v>201</v>
      </c>
      <c r="C385" s="1088"/>
      <c r="D385" s="1089">
        <v>4479705</v>
      </c>
      <c r="E385" s="1088"/>
      <c r="F385" s="1091">
        <v>4479705</v>
      </c>
    </row>
    <row r="386" spans="1:6" s="924" customFormat="1" ht="21" thickBot="1" x14ac:dyDescent="0.25">
      <c r="A386" s="950" t="s">
        <v>117</v>
      </c>
      <c r="B386" s="938"/>
      <c r="C386" s="968">
        <f>SUM(C384:C385)</f>
        <v>1</v>
      </c>
      <c r="D386" s="940">
        <f>SUM(D384:D385)</f>
        <v>5729815</v>
      </c>
      <c r="E386" s="968">
        <f>SUM(E384:E385)</f>
        <v>1</v>
      </c>
      <c r="F386" s="940">
        <f>SUM(F384:F385)</f>
        <v>5729815</v>
      </c>
    </row>
    <row r="387" spans="1:6" ht="21" thickBot="1" x14ac:dyDescent="0.25">
      <c r="A387" s="950" t="s">
        <v>1338</v>
      </c>
      <c r="B387" s="938"/>
      <c r="C387" s="968">
        <f>SUM(C383,C386)</f>
        <v>1</v>
      </c>
      <c r="D387" s="940">
        <f>SUM(D383,D386)</f>
        <v>5729815</v>
      </c>
      <c r="E387" s="968">
        <f>SUM(E383,E386)</f>
        <v>1</v>
      </c>
      <c r="F387" s="940">
        <f>SUM(F383,F386)</f>
        <v>5729815</v>
      </c>
    </row>
    <row r="388" spans="1:6" x14ac:dyDescent="0.2">
      <c r="A388" s="3545" t="s">
        <v>183</v>
      </c>
      <c r="B388" s="3545"/>
      <c r="C388" s="3545"/>
      <c r="D388" s="3545"/>
      <c r="E388" s="3545"/>
      <c r="F388" s="3545"/>
    </row>
    <row r="389" spans="1:6" ht="21" thickBot="1" x14ac:dyDescent="0.25">
      <c r="A389" s="3546" t="s">
        <v>753</v>
      </c>
      <c r="B389" s="3546"/>
      <c r="C389" s="3546"/>
      <c r="D389" s="3546"/>
      <c r="E389" s="3546"/>
      <c r="F389" s="3546"/>
    </row>
    <row r="390" spans="1:6" s="1004" customFormat="1" ht="40.5" customHeight="1" thickBot="1" x14ac:dyDescent="0.25">
      <c r="A390" s="999" t="s">
        <v>185</v>
      </c>
      <c r="B390" s="1000" t="s">
        <v>186</v>
      </c>
      <c r="C390" s="1001" t="s">
        <v>564</v>
      </c>
      <c r="D390" s="1003" t="s">
        <v>1128</v>
      </c>
      <c r="E390" s="1001" t="s">
        <v>1129</v>
      </c>
      <c r="F390" s="1003" t="s">
        <v>2667</v>
      </c>
    </row>
    <row r="391" spans="1:6" s="1009" customFormat="1" ht="13.5" customHeight="1" x14ac:dyDescent="0.2">
      <c r="A391" s="1092"/>
      <c r="B391" s="1006">
        <v>1</v>
      </c>
      <c r="C391" s="1033" t="s">
        <v>179</v>
      </c>
      <c r="D391" s="1008"/>
      <c r="E391" s="1033">
        <v>0</v>
      </c>
      <c r="F391" s="1093">
        <v>0</v>
      </c>
    </row>
    <row r="392" spans="1:6" s="1009" customFormat="1" ht="15.75" x14ac:dyDescent="0.2">
      <c r="A392" s="1005"/>
      <c r="B392" s="1006">
        <v>2</v>
      </c>
      <c r="C392" s="1007" t="s">
        <v>179</v>
      </c>
      <c r="D392" s="1008"/>
      <c r="E392" s="1007">
        <v>0</v>
      </c>
      <c r="F392" s="1010">
        <v>0</v>
      </c>
    </row>
    <row r="393" spans="1:6" s="1009" customFormat="1" ht="15.75" x14ac:dyDescent="0.25">
      <c r="A393" s="1005"/>
      <c r="B393" s="1006">
        <v>3</v>
      </c>
      <c r="C393" s="1007">
        <v>2</v>
      </c>
      <c r="D393" s="1008">
        <v>1049170</v>
      </c>
      <c r="E393" s="1094">
        <v>40</v>
      </c>
      <c r="F393" s="1095">
        <v>15543196.800000001</v>
      </c>
    </row>
    <row r="394" spans="1:6" s="1009" customFormat="1" ht="15.75" x14ac:dyDescent="0.25">
      <c r="A394" s="1005"/>
      <c r="B394" s="1006">
        <v>4</v>
      </c>
      <c r="C394" s="1007">
        <v>20</v>
      </c>
      <c r="D394" s="1008">
        <v>6169690</v>
      </c>
      <c r="E394" s="1094">
        <v>10</v>
      </c>
      <c r="F394" s="1095">
        <v>5044514.4000000004</v>
      </c>
    </row>
    <row r="395" spans="1:6" s="1009" customFormat="1" ht="15.75" x14ac:dyDescent="0.25">
      <c r="A395" s="1005"/>
      <c r="B395" s="1006">
        <v>5</v>
      </c>
      <c r="C395" s="1007">
        <v>20</v>
      </c>
      <c r="D395" s="1008">
        <v>8663875</v>
      </c>
      <c r="E395" s="1094">
        <v>0</v>
      </c>
      <c r="F395" s="1095">
        <v>0</v>
      </c>
    </row>
    <row r="396" spans="1:6" s="1009" customFormat="1" ht="16.5" thickBot="1" x14ac:dyDescent="0.3">
      <c r="A396" s="1005"/>
      <c r="B396" s="1006">
        <v>6</v>
      </c>
      <c r="C396" s="1007">
        <v>15</v>
      </c>
      <c r="D396" s="1008">
        <v>8419960</v>
      </c>
      <c r="E396" s="1094">
        <v>16</v>
      </c>
      <c r="F396" s="1095">
        <v>7009985.2800000003</v>
      </c>
    </row>
    <row r="397" spans="1:6" ht="21" thickBot="1" x14ac:dyDescent="0.35">
      <c r="A397" s="937" t="s">
        <v>187</v>
      </c>
      <c r="B397" s="938"/>
      <c r="C397" s="968">
        <f>SUM(C393:C396)</f>
        <v>57</v>
      </c>
      <c r="D397" s="940">
        <f>SUM(D393:D396)</f>
        <v>24302695</v>
      </c>
      <c r="E397" s="1058">
        <v>66</v>
      </c>
      <c r="F397" s="961">
        <v>27597696.480000004</v>
      </c>
    </row>
    <row r="398" spans="1:6" s="975" customFormat="1" ht="18.75" x14ac:dyDescent="0.3">
      <c r="A398" s="976"/>
      <c r="B398" s="971">
        <v>7</v>
      </c>
      <c r="C398" s="977">
        <v>29</v>
      </c>
      <c r="D398" s="973">
        <v>16791065</v>
      </c>
      <c r="E398" s="1096">
        <v>13</v>
      </c>
      <c r="F398" s="892">
        <v>9048962.5199999996</v>
      </c>
    </row>
    <row r="399" spans="1:6" s="975" customFormat="1" ht="18.75" x14ac:dyDescent="0.3">
      <c r="A399" s="976"/>
      <c r="B399" s="971">
        <v>8</v>
      </c>
      <c r="C399" s="977">
        <v>20</v>
      </c>
      <c r="D399" s="973">
        <v>26097200</v>
      </c>
      <c r="E399" s="1096">
        <v>12</v>
      </c>
      <c r="F399" s="892">
        <v>8967852</v>
      </c>
    </row>
    <row r="400" spans="1:6" s="975" customFormat="1" ht="18.75" x14ac:dyDescent="0.3">
      <c r="A400" s="976"/>
      <c r="B400" s="971">
        <v>9</v>
      </c>
      <c r="C400" s="977">
        <v>30</v>
      </c>
      <c r="D400" s="973">
        <v>52877995</v>
      </c>
      <c r="E400" s="1096">
        <v>10</v>
      </c>
      <c r="F400" s="892">
        <v>9220611.5999999996</v>
      </c>
    </row>
    <row r="401" spans="1:6" s="975" customFormat="1" ht="18.75" x14ac:dyDescent="0.3">
      <c r="A401" s="976"/>
      <c r="B401" s="971">
        <v>10</v>
      </c>
      <c r="C401" s="977">
        <v>24</v>
      </c>
      <c r="D401" s="973">
        <v>18777435</v>
      </c>
      <c r="E401" s="1096">
        <v>11</v>
      </c>
      <c r="F401" s="892">
        <v>13230348.119999999</v>
      </c>
    </row>
    <row r="402" spans="1:6" s="975" customFormat="1" ht="19.5" thickBot="1" x14ac:dyDescent="0.35">
      <c r="A402" s="976"/>
      <c r="B402" s="971">
        <v>12</v>
      </c>
      <c r="C402" s="977">
        <v>16</v>
      </c>
      <c r="D402" s="973">
        <v>16359770</v>
      </c>
      <c r="E402" s="1096">
        <v>33</v>
      </c>
      <c r="F402" s="892">
        <v>36912823.200000003</v>
      </c>
    </row>
    <row r="403" spans="1:6" ht="21" thickBot="1" x14ac:dyDescent="0.35">
      <c r="A403" s="937" t="s">
        <v>188</v>
      </c>
      <c r="B403" s="938"/>
      <c r="C403" s="968">
        <f>SUM(C398:C402)</f>
        <v>119</v>
      </c>
      <c r="D403" s="940">
        <f>SUM(D398:D402)</f>
        <v>130903465</v>
      </c>
      <c r="E403" s="1058">
        <v>79</v>
      </c>
      <c r="F403" s="961">
        <v>77380597.439999998</v>
      </c>
    </row>
    <row r="404" spans="1:6" s="975" customFormat="1" ht="18.75" x14ac:dyDescent="0.3">
      <c r="A404" s="976"/>
      <c r="B404" s="971">
        <v>13</v>
      </c>
      <c r="C404" s="977">
        <v>16</v>
      </c>
      <c r="D404" s="973">
        <v>19707010</v>
      </c>
      <c r="E404" s="1096">
        <v>51</v>
      </c>
      <c r="F404" s="892">
        <v>73075915.079999998</v>
      </c>
    </row>
    <row r="405" spans="1:6" s="975" customFormat="1" ht="18.75" x14ac:dyDescent="0.3">
      <c r="A405" s="976"/>
      <c r="B405" s="971">
        <v>14</v>
      </c>
      <c r="C405" s="977">
        <v>28</v>
      </c>
      <c r="D405" s="973">
        <v>34235040</v>
      </c>
      <c r="E405" s="1096">
        <v>27</v>
      </c>
      <c r="F405" s="892">
        <v>42406902</v>
      </c>
    </row>
    <row r="406" spans="1:6" s="975" customFormat="1" ht="18.75" x14ac:dyDescent="0.3">
      <c r="A406" s="976"/>
      <c r="B406" s="971">
        <v>15</v>
      </c>
      <c r="C406" s="977">
        <v>7</v>
      </c>
      <c r="D406" s="973">
        <v>14153940</v>
      </c>
      <c r="E406" s="1096">
        <v>4</v>
      </c>
      <c r="F406" s="892">
        <v>7984461.1200000001</v>
      </c>
    </row>
    <row r="407" spans="1:6" s="975" customFormat="1" ht="19.5" thickBot="1" x14ac:dyDescent="0.35">
      <c r="A407" s="976"/>
      <c r="B407" s="971">
        <v>16</v>
      </c>
      <c r="C407" s="977">
        <v>5</v>
      </c>
      <c r="D407" s="973">
        <v>14762730</v>
      </c>
      <c r="E407" s="1096">
        <v>7</v>
      </c>
      <c r="F407" s="892">
        <v>17151533.280000001</v>
      </c>
    </row>
    <row r="408" spans="1:6" ht="21" thickBot="1" x14ac:dyDescent="0.35">
      <c r="A408" s="937" t="s">
        <v>189</v>
      </c>
      <c r="B408" s="938"/>
      <c r="C408" s="968">
        <f>SUM(C404:C407)</f>
        <v>56</v>
      </c>
      <c r="D408" s="940">
        <f>SUM(D404:D407)</f>
        <v>82858720</v>
      </c>
      <c r="E408" s="1058">
        <v>89</v>
      </c>
      <c r="F408" s="961">
        <v>140618811.48000002</v>
      </c>
    </row>
    <row r="409" spans="1:6" ht="21" thickBot="1" x14ac:dyDescent="0.35">
      <c r="A409" s="937" t="s">
        <v>190</v>
      </c>
      <c r="B409" s="938"/>
      <c r="C409" s="1097">
        <f>SUM(C397,C403,C408)</f>
        <v>232</v>
      </c>
      <c r="D409" s="1081">
        <f>SUM(D397,D403,D408)</f>
        <v>238064880</v>
      </c>
      <c r="E409" s="1098">
        <v>234</v>
      </c>
      <c r="F409" s="961">
        <v>245597105.40000004</v>
      </c>
    </row>
    <row r="410" spans="1:6" s="1009" customFormat="1" ht="15.75" x14ac:dyDescent="0.2">
      <c r="A410" s="1099" t="s">
        <v>702</v>
      </c>
      <c r="B410" s="1100"/>
      <c r="C410" s="1101"/>
      <c r="D410" s="1010">
        <v>132583850</v>
      </c>
      <c r="E410" s="1101"/>
      <c r="F410" s="1010">
        <v>0</v>
      </c>
    </row>
    <row r="411" spans="1:6" s="1009" customFormat="1" ht="15.75" x14ac:dyDescent="0.2">
      <c r="A411" s="1099" t="s">
        <v>754</v>
      </c>
      <c r="B411" s="1100"/>
      <c r="C411" s="1101"/>
      <c r="D411" s="1010">
        <v>136449545</v>
      </c>
      <c r="E411" s="1101"/>
      <c r="F411" s="1010">
        <v>0</v>
      </c>
    </row>
    <row r="412" spans="1:6" s="1009" customFormat="1" ht="15.75" x14ac:dyDescent="0.2">
      <c r="A412" s="1099" t="s">
        <v>755</v>
      </c>
      <c r="B412" s="1102"/>
      <c r="C412" s="1101"/>
      <c r="D412" s="1010">
        <v>158587170</v>
      </c>
      <c r="E412" s="1101"/>
      <c r="F412" s="1010">
        <v>0</v>
      </c>
    </row>
    <row r="413" spans="1:6" s="1009" customFormat="1" ht="15.75" x14ac:dyDescent="0.2">
      <c r="A413" s="1099" t="s">
        <v>756</v>
      </c>
      <c r="B413" s="1102"/>
      <c r="C413" s="1101"/>
      <c r="D413" s="1010">
        <v>41352780</v>
      </c>
      <c r="E413" s="1101"/>
      <c r="F413" s="1010">
        <v>0</v>
      </c>
    </row>
    <row r="414" spans="1:6" s="1009" customFormat="1" ht="16.5" thickBot="1" x14ac:dyDescent="0.25">
      <c r="A414" s="1103" t="s">
        <v>757</v>
      </c>
      <c r="B414" s="1104"/>
      <c r="C414" s="1105"/>
      <c r="D414" s="1106">
        <v>82810960</v>
      </c>
      <c r="E414" s="1105"/>
      <c r="F414" s="1106">
        <v>0</v>
      </c>
    </row>
    <row r="415" spans="1:6" ht="21" thickBot="1" x14ac:dyDescent="0.25">
      <c r="A415" s="1045" t="s">
        <v>117</v>
      </c>
      <c r="B415" s="991"/>
      <c r="C415" s="939"/>
      <c r="D415" s="1107">
        <f>SUM(D409:D414)</f>
        <v>789849185</v>
      </c>
      <c r="E415" s="939"/>
      <c r="F415" s="940">
        <f>SUM(F409:F414)</f>
        <v>245597105.40000004</v>
      </c>
    </row>
    <row r="416" spans="1:6" s="975" customFormat="1" ht="18.75" x14ac:dyDescent="0.2">
      <c r="A416" s="1108" t="s">
        <v>528</v>
      </c>
      <c r="B416" s="971"/>
      <c r="C416" s="977">
        <v>1</v>
      </c>
      <c r="D416" s="973">
        <v>1337225</v>
      </c>
      <c r="E416" s="977">
        <v>1</v>
      </c>
      <c r="F416" s="974">
        <v>1337225</v>
      </c>
    </row>
    <row r="417" spans="1:6" s="975" customFormat="1" ht="18.75" x14ac:dyDescent="0.2">
      <c r="A417" s="1108" t="s">
        <v>732</v>
      </c>
      <c r="B417" s="971"/>
      <c r="C417" s="977"/>
      <c r="D417" s="973">
        <v>4479705</v>
      </c>
      <c r="E417" s="977"/>
      <c r="F417" s="974">
        <v>4479705</v>
      </c>
    </row>
    <row r="418" spans="1:6" s="975" customFormat="1" ht="18.75" x14ac:dyDescent="0.2">
      <c r="A418" s="1108" t="s">
        <v>1130</v>
      </c>
      <c r="B418" s="971"/>
      <c r="C418" s="977">
        <v>1</v>
      </c>
      <c r="D418" s="973">
        <v>1247870</v>
      </c>
      <c r="E418" s="977">
        <v>1</v>
      </c>
      <c r="F418" s="974">
        <v>1247870</v>
      </c>
    </row>
    <row r="419" spans="1:6" s="975" customFormat="1" ht="19.5" thickBot="1" x14ac:dyDescent="0.25">
      <c r="A419" s="1108" t="s">
        <v>1131</v>
      </c>
      <c r="B419" s="971"/>
      <c r="C419" s="977"/>
      <c r="D419" s="973">
        <v>4180365</v>
      </c>
      <c r="E419" s="977"/>
      <c r="F419" s="974">
        <v>4180365</v>
      </c>
    </row>
    <row r="420" spans="1:6" ht="21" thickBot="1" x14ac:dyDescent="0.25">
      <c r="A420" s="950" t="s">
        <v>117</v>
      </c>
      <c r="B420" s="1077"/>
      <c r="C420" s="1078">
        <f>SUM(C416:C419)</f>
        <v>2</v>
      </c>
      <c r="D420" s="1032">
        <f>SUM(D416:D419)</f>
        <v>11245165</v>
      </c>
      <c r="E420" s="1078">
        <v>2</v>
      </c>
      <c r="F420" s="940">
        <v>11245165</v>
      </c>
    </row>
    <row r="421" spans="1:6" ht="21" thickBot="1" x14ac:dyDescent="0.25">
      <c r="A421" s="950" t="s">
        <v>210</v>
      </c>
      <c r="B421" s="938"/>
      <c r="C421" s="939">
        <f>SUM(C409,C420)</f>
        <v>234</v>
      </c>
      <c r="D421" s="1081">
        <f>SUM(D415,D420)</f>
        <v>801094350</v>
      </c>
      <c r="E421" s="939">
        <v>236</v>
      </c>
      <c r="F421" s="940">
        <v>256842270.40000004</v>
      </c>
    </row>
    <row r="423" spans="1:6" s="905" customFormat="1" x14ac:dyDescent="0.3">
      <c r="A423" s="3543" t="s">
        <v>183</v>
      </c>
      <c r="B423" s="3543"/>
      <c r="C423" s="3543"/>
      <c r="D423" s="3543"/>
      <c r="E423" s="3543"/>
      <c r="F423" s="914"/>
    </row>
    <row r="424" spans="1:6" s="905" customFormat="1" ht="21" thickBot="1" x14ac:dyDescent="0.35">
      <c r="A424" s="3544" t="s">
        <v>1487</v>
      </c>
      <c r="B424" s="3544"/>
      <c r="C424" s="3544"/>
      <c r="D424" s="3544"/>
      <c r="E424" s="3544"/>
      <c r="F424" s="914"/>
    </row>
    <row r="425" spans="1:6" s="906" customFormat="1" ht="41.25" thickBot="1" x14ac:dyDescent="0.35">
      <c r="A425" s="1048" t="s">
        <v>185</v>
      </c>
      <c r="B425" s="1049" t="s">
        <v>186</v>
      </c>
      <c r="C425" s="922" t="s">
        <v>564</v>
      </c>
      <c r="D425" s="1048" t="s">
        <v>1482</v>
      </c>
      <c r="E425" s="922" t="s">
        <v>1129</v>
      </c>
      <c r="F425" s="923" t="s">
        <v>3096</v>
      </c>
    </row>
    <row r="426" spans="1:6" s="905" customFormat="1" x14ac:dyDescent="0.3">
      <c r="A426" s="908"/>
      <c r="B426" s="965">
        <v>1</v>
      </c>
      <c r="C426" s="1109"/>
      <c r="D426" s="1110">
        <v>2017945</v>
      </c>
      <c r="E426" s="1111">
        <v>5</v>
      </c>
      <c r="F426" s="1112">
        <v>2039995</v>
      </c>
    </row>
    <row r="427" spans="1:6" s="905" customFormat="1" x14ac:dyDescent="0.3">
      <c r="A427" s="1052"/>
      <c r="B427" s="965">
        <v>2</v>
      </c>
      <c r="C427" s="1109"/>
      <c r="D427" s="1113">
        <v>0</v>
      </c>
      <c r="E427" s="1114">
        <v>0</v>
      </c>
      <c r="F427" s="1112">
        <v>0</v>
      </c>
    </row>
    <row r="428" spans="1:6" s="905" customFormat="1" x14ac:dyDescent="0.3">
      <c r="A428" s="1052"/>
      <c r="B428" s="965">
        <v>3</v>
      </c>
      <c r="C428" s="1109"/>
      <c r="D428" s="1113">
        <v>4139602</v>
      </c>
      <c r="E428" s="1114">
        <v>9</v>
      </c>
      <c r="F428" s="1112">
        <v>4189232</v>
      </c>
    </row>
    <row r="429" spans="1:6" s="905" customFormat="1" x14ac:dyDescent="0.3">
      <c r="A429" s="1052"/>
      <c r="B429" s="965">
        <v>4</v>
      </c>
      <c r="C429" s="1109"/>
      <c r="D429" s="1113">
        <v>6172910</v>
      </c>
      <c r="E429" s="1114">
        <v>13</v>
      </c>
      <c r="F429" s="1112">
        <v>6283560</v>
      </c>
    </row>
    <row r="430" spans="1:6" s="905" customFormat="1" x14ac:dyDescent="0.3">
      <c r="A430" s="1052"/>
      <c r="B430" s="965">
        <v>5</v>
      </c>
      <c r="C430" s="1109"/>
      <c r="D430" s="1113">
        <v>1135190</v>
      </c>
      <c r="E430" s="1114">
        <v>2</v>
      </c>
      <c r="F430" s="1112">
        <v>1155522</v>
      </c>
    </row>
    <row r="431" spans="1:6" s="905" customFormat="1" ht="21" thickBot="1" x14ac:dyDescent="0.35">
      <c r="A431" s="1052"/>
      <c r="B431" s="965">
        <v>6</v>
      </c>
      <c r="C431" s="1109"/>
      <c r="D431" s="1113">
        <v>5693007</v>
      </c>
      <c r="E431" s="1114">
        <v>9</v>
      </c>
      <c r="F431" s="1112">
        <v>4632596</v>
      </c>
    </row>
    <row r="432" spans="1:6" s="905" customFormat="1" ht="21" thickBot="1" x14ac:dyDescent="0.35">
      <c r="A432" s="1056" t="s">
        <v>187</v>
      </c>
      <c r="B432" s="1057"/>
      <c r="C432" s="1115"/>
      <c r="D432" s="1116">
        <f>SUM(D426:D431)</f>
        <v>19158654</v>
      </c>
      <c r="E432" s="1058">
        <f>SUM(E426:E431)</f>
        <v>38</v>
      </c>
      <c r="F432" s="1117">
        <f>SUM(F426:F431)</f>
        <v>18300905</v>
      </c>
    </row>
    <row r="433" spans="1:6" s="905" customFormat="1" x14ac:dyDescent="0.3">
      <c r="A433" s="1052"/>
      <c r="B433" s="965">
        <v>7</v>
      </c>
      <c r="C433" s="1109"/>
      <c r="D433" s="1113">
        <v>6317001</v>
      </c>
      <c r="E433" s="1114">
        <v>11</v>
      </c>
      <c r="F433" s="1112">
        <v>7657106</v>
      </c>
    </row>
    <row r="434" spans="1:6" s="905" customFormat="1" x14ac:dyDescent="0.3">
      <c r="A434" s="1052"/>
      <c r="B434" s="965">
        <v>8</v>
      </c>
      <c r="C434" s="1109"/>
      <c r="D434" s="1113">
        <v>6086099</v>
      </c>
      <c r="E434" s="1114">
        <v>8</v>
      </c>
      <c r="F434" s="1112">
        <v>6232521</v>
      </c>
    </row>
    <row r="435" spans="1:6" s="905" customFormat="1" x14ac:dyDescent="0.3">
      <c r="A435" s="1052"/>
      <c r="B435" s="965">
        <v>9</v>
      </c>
      <c r="C435" s="1109"/>
      <c r="D435" s="1113">
        <v>6428486</v>
      </c>
      <c r="E435" s="1114">
        <v>6</v>
      </c>
      <c r="F435" s="1112">
        <v>5532975</v>
      </c>
    </row>
    <row r="436" spans="1:6" s="905" customFormat="1" x14ac:dyDescent="0.3">
      <c r="A436" s="1052"/>
      <c r="B436" s="965">
        <v>10</v>
      </c>
      <c r="C436" s="1109"/>
      <c r="D436" s="1113">
        <v>11640556</v>
      </c>
      <c r="E436" s="1114">
        <v>10</v>
      </c>
      <c r="F436" s="1112">
        <v>10617963</v>
      </c>
    </row>
    <row r="437" spans="1:6" s="905" customFormat="1" ht="21" thickBot="1" x14ac:dyDescent="0.35">
      <c r="A437" s="1052"/>
      <c r="B437" s="965">
        <v>12</v>
      </c>
      <c r="C437" s="1109"/>
      <c r="D437" s="1113">
        <v>16571320</v>
      </c>
      <c r="E437" s="1114">
        <v>12</v>
      </c>
      <c r="F437" s="1118">
        <v>15556336</v>
      </c>
    </row>
    <row r="438" spans="1:6" s="905" customFormat="1" ht="21" thickBot="1" x14ac:dyDescent="0.35">
      <c r="A438" s="1056" t="s">
        <v>188</v>
      </c>
      <c r="B438" s="1057"/>
      <c r="C438" s="1115"/>
      <c r="D438" s="1116">
        <f>SUM(D433:D437)</f>
        <v>47043462</v>
      </c>
      <c r="E438" s="1058">
        <f>SUM(E433:E437)</f>
        <v>47</v>
      </c>
      <c r="F438" s="1117">
        <f>SUM(F433:F437)</f>
        <v>45596901</v>
      </c>
    </row>
    <row r="439" spans="1:6" s="905" customFormat="1" x14ac:dyDescent="0.3">
      <c r="A439" s="1052"/>
      <c r="B439" s="965">
        <v>13</v>
      </c>
      <c r="C439" s="1109"/>
      <c r="D439" s="1113">
        <v>11778910</v>
      </c>
      <c r="E439" s="1114">
        <v>9</v>
      </c>
      <c r="F439" s="1119">
        <v>13175681</v>
      </c>
    </row>
    <row r="440" spans="1:6" s="905" customFormat="1" x14ac:dyDescent="0.3">
      <c r="A440" s="1052"/>
      <c r="B440" s="965">
        <v>14</v>
      </c>
      <c r="C440" s="1109"/>
      <c r="D440" s="1113">
        <v>29264448</v>
      </c>
      <c r="E440" s="1114">
        <v>19</v>
      </c>
      <c r="F440" s="1112">
        <v>32690401</v>
      </c>
    </row>
    <row r="441" spans="1:6" s="905" customFormat="1" x14ac:dyDescent="0.3">
      <c r="A441" s="1052"/>
      <c r="B441" s="965">
        <v>15</v>
      </c>
      <c r="C441" s="1109"/>
      <c r="D441" s="1113">
        <v>6489612</v>
      </c>
      <c r="E441" s="1114">
        <v>2</v>
      </c>
      <c r="F441" s="1112">
        <v>4417314</v>
      </c>
    </row>
    <row r="442" spans="1:6" s="905" customFormat="1" ht="21" thickBot="1" x14ac:dyDescent="0.35">
      <c r="A442" s="1052"/>
      <c r="B442" s="965">
        <v>16</v>
      </c>
      <c r="C442" s="1109"/>
      <c r="D442" s="1113">
        <v>15920464</v>
      </c>
      <c r="E442" s="1114">
        <v>7</v>
      </c>
      <c r="F442" s="1112">
        <v>18266568</v>
      </c>
    </row>
    <row r="443" spans="1:6" s="905" customFormat="1" ht="21" thickBot="1" x14ac:dyDescent="0.35">
      <c r="A443" s="1056" t="s">
        <v>189</v>
      </c>
      <c r="B443" s="1057"/>
      <c r="C443" s="1120"/>
      <c r="D443" s="1116">
        <f>SUM(D439:D442)</f>
        <v>63453434</v>
      </c>
      <c r="E443" s="1058">
        <f>SUM(E439:E442)</f>
        <v>37</v>
      </c>
      <c r="F443" s="1117">
        <f>SUM(F439:F442)</f>
        <v>68549964</v>
      </c>
    </row>
    <row r="444" spans="1:6" s="905" customFormat="1" ht="21" thickBot="1" x14ac:dyDescent="0.35">
      <c r="A444" s="1062" t="s">
        <v>190</v>
      </c>
      <c r="B444" s="1063"/>
      <c r="C444" s="1115"/>
      <c r="D444" s="1121">
        <f>D443+D438+D432</f>
        <v>129655550</v>
      </c>
      <c r="E444" s="1122">
        <f>SUM(E443,E438,E432)</f>
        <v>122</v>
      </c>
      <c r="F444" s="1123">
        <f>SUM(F443,F438,F432)</f>
        <v>132447770</v>
      </c>
    </row>
    <row r="445" spans="1:6" s="905" customFormat="1" ht="21" thickBot="1" x14ac:dyDescent="0.35">
      <c r="A445" s="905" t="s">
        <v>1488</v>
      </c>
      <c r="B445" s="965"/>
      <c r="C445" s="1109"/>
      <c r="D445" s="958">
        <v>3091547</v>
      </c>
      <c r="E445" s="1114">
        <v>1</v>
      </c>
      <c r="F445" s="1112">
        <v>3091547</v>
      </c>
    </row>
    <row r="446" spans="1:6" s="906" customFormat="1" ht="21" thickBot="1" x14ac:dyDescent="0.35">
      <c r="A446" s="1066" t="s">
        <v>117</v>
      </c>
      <c r="B446" s="1057"/>
      <c r="C446" s="1124"/>
      <c r="D446" s="961">
        <f>SUM(D445:D445)</f>
        <v>3091547</v>
      </c>
      <c r="E446" s="1125">
        <f>SUM(E445:E445)</f>
        <v>1</v>
      </c>
      <c r="F446" s="1117">
        <f>SUM(F445:F445)</f>
        <v>3091547</v>
      </c>
    </row>
    <row r="447" spans="1:6" s="905" customFormat="1" ht="21" thickBot="1" x14ac:dyDescent="0.35">
      <c r="A447" s="1126" t="s">
        <v>1489</v>
      </c>
      <c r="B447" s="1057"/>
      <c r="C447" s="1127"/>
      <c r="D447" s="961">
        <v>132583850</v>
      </c>
      <c r="E447" s="1125">
        <f>SUM(E444,E446)</f>
        <v>123</v>
      </c>
      <c r="F447" s="1117">
        <f>SUM(F444,F446)</f>
        <v>135539317</v>
      </c>
    </row>
    <row r="449" spans="1:6" s="905" customFormat="1" x14ac:dyDescent="0.3">
      <c r="A449" s="3543" t="s">
        <v>183</v>
      </c>
      <c r="B449" s="3543"/>
      <c r="C449" s="3543"/>
      <c r="D449" s="3543"/>
      <c r="E449" s="3543"/>
      <c r="F449" s="3543"/>
    </row>
    <row r="450" spans="1:6" s="905" customFormat="1" ht="21" thickBot="1" x14ac:dyDescent="0.35">
      <c r="A450" s="3544" t="s">
        <v>1481</v>
      </c>
      <c r="B450" s="3544"/>
      <c r="C450" s="3544"/>
      <c r="D450" s="3544"/>
      <c r="E450" s="3544"/>
      <c r="F450" s="3544"/>
    </row>
    <row r="451" spans="1:6" s="905" customFormat="1" ht="41.25" thickBot="1" x14ac:dyDescent="0.35">
      <c r="A451" s="920" t="s">
        <v>185</v>
      </c>
      <c r="B451" s="921" t="s">
        <v>186</v>
      </c>
      <c r="C451" s="922" t="s">
        <v>564</v>
      </c>
      <c r="D451" s="923" t="s">
        <v>1128</v>
      </c>
      <c r="E451" s="922" t="s">
        <v>1129</v>
      </c>
      <c r="F451" s="923" t="s">
        <v>3096</v>
      </c>
    </row>
    <row r="452" spans="1:6" s="905" customFormat="1" x14ac:dyDescent="0.3">
      <c r="A452" s="908"/>
      <c r="B452" s="965">
        <v>1</v>
      </c>
      <c r="C452" s="1120">
        <v>3732240</v>
      </c>
      <c r="D452" s="1128">
        <v>2488160</v>
      </c>
      <c r="E452" s="929">
        <v>10</v>
      </c>
      <c r="F452" s="958">
        <v>3776400</v>
      </c>
    </row>
    <row r="453" spans="1:6" s="905" customFormat="1" x14ac:dyDescent="0.3">
      <c r="A453" s="1052"/>
      <c r="B453" s="965">
        <v>2</v>
      </c>
      <c r="C453" s="1129" t="s">
        <v>1483</v>
      </c>
      <c r="D453" s="1130" t="s">
        <v>1483</v>
      </c>
      <c r="E453" s="935">
        <v>0</v>
      </c>
      <c r="F453" s="958">
        <v>0</v>
      </c>
    </row>
    <row r="454" spans="1:6" s="905" customFormat="1" x14ac:dyDescent="0.3">
      <c r="A454" s="1052"/>
      <c r="B454" s="965">
        <v>3</v>
      </c>
      <c r="C454" s="1109">
        <v>1582656</v>
      </c>
      <c r="D454" s="1131">
        <v>1055104</v>
      </c>
      <c r="E454" s="935">
        <v>4</v>
      </c>
      <c r="F454" s="958">
        <v>1611024</v>
      </c>
    </row>
    <row r="455" spans="1:6" s="905" customFormat="1" x14ac:dyDescent="0.3">
      <c r="A455" s="1052"/>
      <c r="B455" s="965">
        <v>4</v>
      </c>
      <c r="C455" s="1109">
        <v>1642992</v>
      </c>
      <c r="D455" s="1131">
        <v>1095328</v>
      </c>
      <c r="E455" s="935">
        <v>4</v>
      </c>
      <c r="F455" s="958">
        <v>1679952</v>
      </c>
    </row>
    <row r="456" spans="1:6" s="905" customFormat="1" x14ac:dyDescent="0.3">
      <c r="A456" s="1052"/>
      <c r="B456" s="965">
        <v>5</v>
      </c>
      <c r="C456" s="1109">
        <v>1286676</v>
      </c>
      <c r="D456" s="1131">
        <v>857784</v>
      </c>
      <c r="E456" s="935">
        <v>3</v>
      </c>
      <c r="F456" s="958">
        <v>1317168</v>
      </c>
    </row>
    <row r="457" spans="1:6" s="905" customFormat="1" ht="21" thickBot="1" x14ac:dyDescent="0.35">
      <c r="A457" s="1052"/>
      <c r="B457" s="965">
        <v>6</v>
      </c>
      <c r="C457" s="1109">
        <v>2250900</v>
      </c>
      <c r="D457" s="1131">
        <v>1500600</v>
      </c>
      <c r="E457" s="935">
        <v>5</v>
      </c>
      <c r="F457" s="958">
        <v>2371500</v>
      </c>
    </row>
    <row r="458" spans="1:6" s="905" customFormat="1" ht="21" thickBot="1" x14ac:dyDescent="0.35">
      <c r="A458" s="1056" t="s">
        <v>187</v>
      </c>
      <c r="B458" s="1057"/>
      <c r="C458" s="1132">
        <f>SUM(C452:C457)</f>
        <v>10495464</v>
      </c>
      <c r="D458" s="1116">
        <f>SUM(D452:D457)</f>
        <v>6996976</v>
      </c>
      <c r="E458" s="1058">
        <f>SUM(E452:E457)</f>
        <v>26</v>
      </c>
      <c r="F458" s="961">
        <f>SUM(F452:F457)</f>
        <v>10756044</v>
      </c>
    </row>
    <row r="459" spans="1:6" s="905" customFormat="1" x14ac:dyDescent="0.3">
      <c r="A459" s="1052"/>
      <c r="B459" s="965">
        <v>7</v>
      </c>
      <c r="C459" s="1109">
        <v>7903800</v>
      </c>
      <c r="D459" s="1131">
        <v>5269200</v>
      </c>
      <c r="E459" s="935">
        <v>15</v>
      </c>
      <c r="F459" s="958">
        <v>8134380</v>
      </c>
    </row>
    <row r="460" spans="1:6" s="905" customFormat="1" x14ac:dyDescent="0.3">
      <c r="A460" s="1052"/>
      <c r="B460" s="965">
        <v>8</v>
      </c>
      <c r="C460" s="1109">
        <v>4590600</v>
      </c>
      <c r="D460" s="1131">
        <v>3060400</v>
      </c>
      <c r="E460" s="935">
        <v>7</v>
      </c>
      <c r="F460" s="958">
        <v>4710300</v>
      </c>
    </row>
    <row r="461" spans="1:6" s="905" customFormat="1" x14ac:dyDescent="0.3">
      <c r="A461" s="1052"/>
      <c r="B461" s="965">
        <v>9</v>
      </c>
      <c r="C461" s="1109">
        <v>12341326</v>
      </c>
      <c r="D461" s="1131">
        <v>8208128</v>
      </c>
      <c r="E461" s="935">
        <v>16</v>
      </c>
      <c r="F461" s="958">
        <v>12584064</v>
      </c>
    </row>
    <row r="462" spans="1:6" s="905" customFormat="1" x14ac:dyDescent="0.3">
      <c r="A462" s="1052"/>
      <c r="B462" s="965">
        <v>10</v>
      </c>
      <c r="C462" s="1109">
        <v>7152576</v>
      </c>
      <c r="D462" s="1131">
        <v>4768384</v>
      </c>
      <c r="E462" s="935">
        <v>8</v>
      </c>
      <c r="F462" s="958">
        <v>7377024</v>
      </c>
    </row>
    <row r="463" spans="1:6" s="905" customFormat="1" ht="21" thickBot="1" x14ac:dyDescent="0.35">
      <c r="A463" s="1052"/>
      <c r="B463" s="965">
        <v>12</v>
      </c>
      <c r="C463" s="1109">
        <v>9798052</v>
      </c>
      <c r="D463" s="1131">
        <v>6265368</v>
      </c>
      <c r="E463" s="935">
        <v>9</v>
      </c>
      <c r="F463" s="981">
        <v>9732528</v>
      </c>
    </row>
    <row r="464" spans="1:6" s="905" customFormat="1" ht="21" thickBot="1" x14ac:dyDescent="0.35">
      <c r="A464" s="1056" t="s">
        <v>188</v>
      </c>
      <c r="B464" s="1057"/>
      <c r="C464" s="1132">
        <f>SUM(C459:C463)</f>
        <v>41786354</v>
      </c>
      <c r="D464" s="1116">
        <f>SUM(D459:D463)</f>
        <v>27571480</v>
      </c>
      <c r="E464" s="1058">
        <f>SUM(E459:E463)</f>
        <v>55</v>
      </c>
      <c r="F464" s="961">
        <f>SUM(F459:F463)</f>
        <v>42538296</v>
      </c>
    </row>
    <row r="465" spans="1:6" s="905" customFormat="1" x14ac:dyDescent="0.3">
      <c r="A465" s="1052"/>
      <c r="B465" s="965">
        <v>13</v>
      </c>
      <c r="C465" s="1109">
        <v>13893408</v>
      </c>
      <c r="D465" s="1131">
        <v>9262272</v>
      </c>
      <c r="E465" s="935">
        <v>12</v>
      </c>
      <c r="F465" s="957">
        <v>14365008</v>
      </c>
    </row>
    <row r="466" spans="1:6" s="905" customFormat="1" x14ac:dyDescent="0.3">
      <c r="A466" s="1052"/>
      <c r="B466" s="965">
        <v>14</v>
      </c>
      <c r="C466" s="1109">
        <v>29713132</v>
      </c>
      <c r="D466" s="1131">
        <v>19542088</v>
      </c>
      <c r="E466" s="935">
        <v>23</v>
      </c>
      <c r="F466" s="958">
        <v>30291552</v>
      </c>
    </row>
    <row r="467" spans="1:6" s="905" customFormat="1" x14ac:dyDescent="0.3">
      <c r="A467" s="1052"/>
      <c r="B467" s="965">
        <v>15</v>
      </c>
      <c r="C467" s="1109">
        <v>8482680</v>
      </c>
      <c r="D467" s="1131">
        <v>5655120</v>
      </c>
      <c r="E467" s="935">
        <v>5</v>
      </c>
      <c r="F467" s="958">
        <v>8782260</v>
      </c>
    </row>
    <row r="468" spans="1:6" s="905" customFormat="1" ht="21" thickBot="1" x14ac:dyDescent="0.35">
      <c r="A468" s="1052"/>
      <c r="B468" s="965">
        <v>16</v>
      </c>
      <c r="C468" s="1109">
        <v>29462576</v>
      </c>
      <c r="D468" s="1131">
        <v>19508384</v>
      </c>
      <c r="E468" s="935">
        <v>14</v>
      </c>
      <c r="F468" s="958">
        <v>30270744</v>
      </c>
    </row>
    <row r="469" spans="1:6" s="905" customFormat="1" ht="21" thickBot="1" x14ac:dyDescent="0.35">
      <c r="A469" s="1056" t="s">
        <v>189</v>
      </c>
      <c r="B469" s="1057"/>
      <c r="C469" s="1132">
        <f>SUM(C465:C468)</f>
        <v>81551796</v>
      </c>
      <c r="D469" s="1116">
        <f>SUM(D465:D468)</f>
        <v>53967864</v>
      </c>
      <c r="E469" s="1058">
        <f>SUM(E465:E468)</f>
        <v>54</v>
      </c>
      <c r="F469" s="961">
        <f>SUM(F465:F468)</f>
        <v>83709564</v>
      </c>
    </row>
    <row r="470" spans="1:6" s="905" customFormat="1" ht="21" thickBot="1" x14ac:dyDescent="0.35">
      <c r="A470" s="1062" t="s">
        <v>190</v>
      </c>
      <c r="B470" s="1063"/>
      <c r="C470" s="1133">
        <f>C469+C464+C458</f>
        <v>133833614</v>
      </c>
      <c r="D470" s="1134">
        <f>SUM(D469,D464,D458)</f>
        <v>88536320</v>
      </c>
      <c r="E470" s="1064">
        <f>SUM(E469,E464,E458)</f>
        <v>135</v>
      </c>
      <c r="F470" s="1065">
        <f>SUM(F469,F464,F458)</f>
        <v>137003904</v>
      </c>
    </row>
    <row r="471" spans="1:6" s="905" customFormat="1" x14ac:dyDescent="0.3">
      <c r="A471" s="905" t="s">
        <v>1484</v>
      </c>
      <c r="B471" s="965"/>
      <c r="C471" s="966">
        <v>2378117</v>
      </c>
      <c r="D471" s="1131">
        <v>1585408</v>
      </c>
      <c r="E471" s="935">
        <v>1</v>
      </c>
      <c r="F471" s="958">
        <v>2378117</v>
      </c>
    </row>
    <row r="472" spans="1:6" s="905" customFormat="1" ht="21" thickBot="1" x14ac:dyDescent="0.35">
      <c r="A472" s="905" t="s">
        <v>1485</v>
      </c>
      <c r="B472" s="965"/>
      <c r="C472" s="966">
        <v>237812</v>
      </c>
      <c r="D472" s="1131">
        <v>158544</v>
      </c>
      <c r="E472" s="935"/>
      <c r="F472" s="958">
        <v>237812</v>
      </c>
    </row>
    <row r="473" spans="1:6" s="906" customFormat="1" ht="21" thickBot="1" x14ac:dyDescent="0.35">
      <c r="A473" s="1066" t="s">
        <v>117</v>
      </c>
      <c r="B473" s="1057"/>
      <c r="C473" s="1135">
        <f>SUM(C471:C472)</f>
        <v>2615929</v>
      </c>
      <c r="D473" s="961">
        <f>SUM(D471:D472)</f>
        <v>1743952</v>
      </c>
      <c r="E473" s="943">
        <f>SUM(E471:E472)</f>
        <v>1</v>
      </c>
      <c r="F473" s="961">
        <f>SUM(F471:F472)</f>
        <v>2615929</v>
      </c>
    </row>
    <row r="474" spans="1:6" s="905" customFormat="1" ht="21" thickBot="1" x14ac:dyDescent="0.35">
      <c r="A474" s="1126" t="s">
        <v>2504</v>
      </c>
      <c r="B474" s="1057"/>
      <c r="C474" s="1124">
        <f>SUM(C470,C473)</f>
        <v>136449543</v>
      </c>
      <c r="D474" s="1068">
        <f>SUM(D470,D473)</f>
        <v>90280272</v>
      </c>
      <c r="E474" s="943">
        <f>SUM(E470,E473)</f>
        <v>136</v>
      </c>
      <c r="F474" s="961">
        <f>SUM(F470,F473)</f>
        <v>139619833</v>
      </c>
    </row>
    <row r="475" spans="1:6" s="905" customFormat="1" x14ac:dyDescent="0.3">
      <c r="C475" s="1136"/>
      <c r="E475" s="907"/>
      <c r="F475" s="914"/>
    </row>
    <row r="476" spans="1:6" s="905" customFormat="1" x14ac:dyDescent="0.3">
      <c r="A476" s="3543" t="s">
        <v>183</v>
      </c>
      <c r="B476" s="3543"/>
      <c r="C476" s="3543"/>
      <c r="D476" s="3543"/>
      <c r="E476" s="3543"/>
      <c r="F476" s="3543"/>
    </row>
    <row r="477" spans="1:6" s="905" customFormat="1" ht="21" thickBot="1" x14ac:dyDescent="0.35">
      <c r="A477" s="3544" t="s">
        <v>2668</v>
      </c>
      <c r="B477" s="3544"/>
      <c r="C477" s="3544"/>
      <c r="D477" s="3544"/>
      <c r="E477" s="3544"/>
      <c r="F477" s="3544"/>
    </row>
    <row r="478" spans="1:6" s="906" customFormat="1" ht="41.25" thickBot="1" x14ac:dyDescent="0.35">
      <c r="A478" s="1048" t="s">
        <v>185</v>
      </c>
      <c r="B478" s="1049" t="s">
        <v>186</v>
      </c>
      <c r="C478" s="922" t="s">
        <v>564</v>
      </c>
      <c r="D478" s="1048" t="s">
        <v>1482</v>
      </c>
      <c r="E478" s="922" t="s">
        <v>564</v>
      </c>
      <c r="F478" s="923" t="s">
        <v>3096</v>
      </c>
    </row>
    <row r="479" spans="1:6" s="905" customFormat="1" x14ac:dyDescent="0.3">
      <c r="A479" s="908"/>
      <c r="B479" s="965">
        <v>1</v>
      </c>
      <c r="C479" s="1137"/>
      <c r="D479" s="908">
        <v>0</v>
      </c>
      <c r="E479" s="1111">
        <v>0</v>
      </c>
      <c r="F479" s="958">
        <v>0</v>
      </c>
    </row>
    <row r="480" spans="1:6" s="905" customFormat="1" x14ac:dyDescent="0.3">
      <c r="A480" s="1052"/>
      <c r="B480" s="965">
        <v>2</v>
      </c>
      <c r="C480" s="1138"/>
      <c r="D480" s="1139">
        <v>0</v>
      </c>
      <c r="E480" s="1114">
        <v>0</v>
      </c>
      <c r="F480" s="958">
        <v>0</v>
      </c>
    </row>
    <row r="481" spans="1:6" s="905" customFormat="1" x14ac:dyDescent="0.3">
      <c r="A481" s="1052"/>
      <c r="B481" s="965">
        <v>3</v>
      </c>
      <c r="C481" s="1138">
        <v>1</v>
      </c>
      <c r="D481" s="1139">
        <v>468146</v>
      </c>
      <c r="E481" s="1114">
        <v>1</v>
      </c>
      <c r="F481" s="958">
        <v>491553.3</v>
      </c>
    </row>
    <row r="482" spans="1:6" s="905" customFormat="1" x14ac:dyDescent="0.3">
      <c r="A482" s="1052"/>
      <c r="B482" s="965">
        <v>4</v>
      </c>
      <c r="C482" s="1138"/>
      <c r="D482" s="1139">
        <v>0</v>
      </c>
      <c r="E482" s="1114">
        <v>0</v>
      </c>
      <c r="F482" s="958">
        <v>0</v>
      </c>
    </row>
    <row r="483" spans="1:6" s="905" customFormat="1" x14ac:dyDescent="0.3">
      <c r="A483" s="1052"/>
      <c r="B483" s="965">
        <v>5</v>
      </c>
      <c r="C483" s="1138">
        <v>1</v>
      </c>
      <c r="D483" s="1139">
        <v>777484</v>
      </c>
      <c r="E483" s="1114" t="s">
        <v>1757</v>
      </c>
      <c r="F483" s="958">
        <v>0</v>
      </c>
    </row>
    <row r="484" spans="1:6" s="905" customFormat="1" ht="21" thickBot="1" x14ac:dyDescent="0.35">
      <c r="A484" s="1052"/>
      <c r="B484" s="965">
        <v>6</v>
      </c>
      <c r="C484" s="1138"/>
      <c r="D484" s="1139">
        <v>0</v>
      </c>
      <c r="E484" s="1114">
        <v>0</v>
      </c>
      <c r="F484" s="958">
        <v>0</v>
      </c>
    </row>
    <row r="485" spans="1:6" s="905" customFormat="1" ht="21" thickBot="1" x14ac:dyDescent="0.35">
      <c r="A485" s="1056" t="s">
        <v>187</v>
      </c>
      <c r="B485" s="1057"/>
      <c r="C485" s="1058">
        <f>SUM(C479:C484)</f>
        <v>2</v>
      </c>
      <c r="D485" s="1116">
        <f>SUM(D479:D484)</f>
        <v>1245630</v>
      </c>
      <c r="E485" s="1058">
        <f>SUM(E479:E484)</f>
        <v>1</v>
      </c>
      <c r="F485" s="961">
        <f>SUM(F479:F484)</f>
        <v>491553.3</v>
      </c>
    </row>
    <row r="486" spans="1:6" s="905" customFormat="1" x14ac:dyDescent="0.3">
      <c r="A486" s="1052"/>
      <c r="B486" s="965">
        <v>7</v>
      </c>
      <c r="C486" s="1138">
        <v>11</v>
      </c>
      <c r="D486" s="1139">
        <v>9343711</v>
      </c>
      <c r="E486" s="1114">
        <v>8</v>
      </c>
      <c r="F486" s="958">
        <v>9795426</v>
      </c>
    </row>
    <row r="487" spans="1:6" s="905" customFormat="1" x14ac:dyDescent="0.3">
      <c r="A487" s="1052"/>
      <c r="B487" s="965">
        <v>8</v>
      </c>
      <c r="C487" s="1138">
        <v>4</v>
      </c>
      <c r="D487" s="1139">
        <v>2275397</v>
      </c>
      <c r="E487" s="1114">
        <v>4</v>
      </c>
      <c r="F487" s="958">
        <v>2389167</v>
      </c>
    </row>
    <row r="488" spans="1:6" s="905" customFormat="1" x14ac:dyDescent="0.3">
      <c r="A488" s="1052"/>
      <c r="B488" s="965">
        <v>9</v>
      </c>
      <c r="C488" s="1138">
        <v>1</v>
      </c>
      <c r="D488" s="1139">
        <v>861572</v>
      </c>
      <c r="E488" s="1114">
        <v>1</v>
      </c>
      <c r="F488" s="958">
        <v>904651</v>
      </c>
    </row>
    <row r="489" spans="1:6" s="905" customFormat="1" x14ac:dyDescent="0.3">
      <c r="A489" s="1052"/>
      <c r="B489" s="965">
        <v>10</v>
      </c>
      <c r="C489" s="1138">
        <v>5</v>
      </c>
      <c r="D489" s="1139">
        <v>5502605</v>
      </c>
      <c r="E489" s="1114">
        <v>5</v>
      </c>
      <c r="F489" s="958">
        <v>5777735</v>
      </c>
    </row>
    <row r="490" spans="1:6" s="905" customFormat="1" ht="21" thickBot="1" x14ac:dyDescent="0.35">
      <c r="A490" s="1052"/>
      <c r="B490" s="965">
        <v>12</v>
      </c>
      <c r="C490" s="1138">
        <v>3</v>
      </c>
      <c r="D490" s="1139">
        <v>2811231</v>
      </c>
      <c r="E490" s="1114">
        <v>3</v>
      </c>
      <c r="F490" s="981">
        <v>2951793</v>
      </c>
    </row>
    <row r="491" spans="1:6" s="905" customFormat="1" ht="21" thickBot="1" x14ac:dyDescent="0.35">
      <c r="A491" s="1056" t="s">
        <v>188</v>
      </c>
      <c r="B491" s="1057"/>
      <c r="C491" s="1058">
        <f>SUM(C486:C490)</f>
        <v>24</v>
      </c>
      <c r="D491" s="1116">
        <f>SUM(D486:D490)</f>
        <v>20794516</v>
      </c>
      <c r="E491" s="1058">
        <f>SUM(E486:E490)</f>
        <v>21</v>
      </c>
      <c r="F491" s="961">
        <f>SUM(F486:F490)</f>
        <v>21818772</v>
      </c>
    </row>
    <row r="492" spans="1:6" s="905" customFormat="1" x14ac:dyDescent="0.3">
      <c r="A492" s="1052"/>
      <c r="B492" s="965">
        <v>13</v>
      </c>
      <c r="C492" s="1138">
        <v>7</v>
      </c>
      <c r="D492" s="1139">
        <v>8181246</v>
      </c>
      <c r="E492" s="1114">
        <v>7</v>
      </c>
      <c r="F492" s="957">
        <v>8590308</v>
      </c>
    </row>
    <row r="493" spans="1:6" s="905" customFormat="1" x14ac:dyDescent="0.3">
      <c r="A493" s="1052"/>
      <c r="B493" s="965">
        <v>14</v>
      </c>
      <c r="C493" s="1138">
        <v>5</v>
      </c>
      <c r="D493" s="1139">
        <v>6282504</v>
      </c>
      <c r="E493" s="1114">
        <v>5</v>
      </c>
      <c r="F493" s="958">
        <v>6732374</v>
      </c>
    </row>
    <row r="494" spans="1:6" s="905" customFormat="1" x14ac:dyDescent="0.3">
      <c r="A494" s="1052"/>
      <c r="B494" s="965">
        <v>15</v>
      </c>
      <c r="C494" s="1138">
        <v>1</v>
      </c>
      <c r="D494" s="1139">
        <v>1876286</v>
      </c>
      <c r="E494" s="1114">
        <v>1</v>
      </c>
      <c r="F494" s="958">
        <v>1970100</v>
      </c>
    </row>
    <row r="495" spans="1:6" s="905" customFormat="1" ht="21" thickBot="1" x14ac:dyDescent="0.35">
      <c r="A495" s="1052"/>
      <c r="B495" s="965">
        <v>16</v>
      </c>
      <c r="C495" s="1138"/>
      <c r="D495" s="1139"/>
      <c r="E495" s="1114">
        <v>0</v>
      </c>
      <c r="F495" s="958">
        <v>0</v>
      </c>
    </row>
    <row r="496" spans="1:6" s="905" customFormat="1" ht="21" thickBot="1" x14ac:dyDescent="0.35">
      <c r="A496" s="1056" t="s">
        <v>189</v>
      </c>
      <c r="B496" s="1057"/>
      <c r="C496" s="1058">
        <f>SUM(C492:C495)</f>
        <v>13</v>
      </c>
      <c r="D496" s="1116">
        <f>SUM(D492:D495)</f>
        <v>16340036</v>
      </c>
      <c r="E496" s="1058">
        <f>SUM(E492:E495)</f>
        <v>13</v>
      </c>
      <c r="F496" s="961">
        <f>SUM(F492:F495)</f>
        <v>17292782</v>
      </c>
    </row>
    <row r="497" spans="1:6" s="905" customFormat="1" ht="21" thickBot="1" x14ac:dyDescent="0.35">
      <c r="A497" s="1062" t="s">
        <v>190</v>
      </c>
      <c r="B497" s="1063"/>
      <c r="C497" s="1064">
        <f>SUM(C496,C491,C485)</f>
        <v>39</v>
      </c>
      <c r="D497" s="1134">
        <f>D496+D491+D485</f>
        <v>38380182</v>
      </c>
      <c r="E497" s="1122">
        <f>SUM(E496,E491,E485)</f>
        <v>35</v>
      </c>
      <c r="F497" s="1065">
        <f>SUM(F496,F491,F485)</f>
        <v>39603107.299999997</v>
      </c>
    </row>
    <row r="498" spans="1:6" s="905" customFormat="1" x14ac:dyDescent="0.3">
      <c r="A498" s="905" t="s">
        <v>1569</v>
      </c>
      <c r="B498" s="965"/>
      <c r="C498" s="1138">
        <v>1</v>
      </c>
      <c r="D498" s="958">
        <v>2378069</v>
      </c>
      <c r="E498" s="1114">
        <v>1</v>
      </c>
      <c r="F498" s="958">
        <v>2378069</v>
      </c>
    </row>
    <row r="499" spans="1:6" s="905" customFormat="1" ht="21" thickBot="1" x14ac:dyDescent="0.35">
      <c r="A499" s="905" t="s">
        <v>1749</v>
      </c>
      <c r="B499" s="965"/>
      <c r="C499" s="1138"/>
      <c r="D499" s="958">
        <v>594592</v>
      </c>
      <c r="E499" s="1114">
        <v>0</v>
      </c>
      <c r="F499" s="958">
        <v>594592</v>
      </c>
    </row>
    <row r="500" spans="1:6" s="906" customFormat="1" ht="21" thickBot="1" x14ac:dyDescent="0.35">
      <c r="A500" s="1066" t="s">
        <v>117</v>
      </c>
      <c r="B500" s="1057"/>
      <c r="C500" s="1058">
        <f>SUM(C498:C499)</f>
        <v>1</v>
      </c>
      <c r="D500" s="961">
        <f>SUM(D498:D499)</f>
        <v>2972661</v>
      </c>
      <c r="E500" s="1125">
        <f>SUM(E498:E499)</f>
        <v>1</v>
      </c>
      <c r="F500" s="961">
        <f>SUM(F498:F499)</f>
        <v>2972661</v>
      </c>
    </row>
    <row r="501" spans="1:6" s="905" customFormat="1" ht="21" thickBot="1" x14ac:dyDescent="0.35">
      <c r="A501" s="1140" t="s">
        <v>2509</v>
      </c>
      <c r="B501" s="1057"/>
      <c r="C501" s="943">
        <f>SUM(C497,C500)</f>
        <v>40</v>
      </c>
      <c r="D501" s="1068">
        <f>SUM(D497,D500)</f>
        <v>41352843</v>
      </c>
      <c r="E501" s="1125">
        <f>SUM(E497,E500)</f>
        <v>36</v>
      </c>
      <c r="F501" s="961">
        <f>SUM(F497,F500)</f>
        <v>42575768.299999997</v>
      </c>
    </row>
    <row r="503" spans="1:6" s="905" customFormat="1" x14ac:dyDescent="0.3">
      <c r="C503" s="1136"/>
      <c r="D503" s="914"/>
      <c r="E503" s="907"/>
      <c r="F503" s="914"/>
    </row>
    <row r="504" spans="1:6" s="905" customFormat="1" x14ac:dyDescent="0.3">
      <c r="A504" s="3543" t="s">
        <v>183</v>
      </c>
      <c r="B504" s="3543"/>
      <c r="C504" s="3543"/>
      <c r="D504" s="3543"/>
      <c r="E504" s="3543"/>
      <c r="F504" s="3543"/>
    </row>
    <row r="505" spans="1:6" s="905" customFormat="1" ht="21" thickBot="1" x14ac:dyDescent="0.35">
      <c r="A505" s="3544" t="s">
        <v>1750</v>
      </c>
      <c r="B505" s="3544"/>
      <c r="C505" s="3544"/>
      <c r="D505" s="3544"/>
      <c r="E505" s="3544"/>
      <c r="F505" s="3544"/>
    </row>
    <row r="506" spans="1:6" s="1141" customFormat="1" ht="41.25" thickBot="1" x14ac:dyDescent="0.25">
      <c r="A506" s="920" t="s">
        <v>185</v>
      </c>
      <c r="B506" s="921" t="s">
        <v>186</v>
      </c>
      <c r="C506" s="922" t="s">
        <v>564</v>
      </c>
      <c r="D506" s="920" t="s">
        <v>1482</v>
      </c>
      <c r="E506" s="922" t="s">
        <v>1129</v>
      </c>
      <c r="F506" s="923" t="s">
        <v>3096</v>
      </c>
    </row>
    <row r="507" spans="1:6" s="905" customFormat="1" x14ac:dyDescent="0.3">
      <c r="A507" s="908"/>
      <c r="B507" s="965">
        <v>1</v>
      </c>
      <c r="C507" s="929"/>
      <c r="D507" s="908">
        <v>0</v>
      </c>
      <c r="E507" s="1111">
        <v>0</v>
      </c>
      <c r="F507" s="958">
        <v>0</v>
      </c>
    </row>
    <row r="508" spans="1:6" s="905" customFormat="1" x14ac:dyDescent="0.3">
      <c r="A508" s="1052"/>
      <c r="B508" s="965">
        <v>2</v>
      </c>
      <c r="C508" s="935"/>
      <c r="D508" s="1139">
        <v>0</v>
      </c>
      <c r="E508" s="1114">
        <v>0</v>
      </c>
      <c r="F508" s="958">
        <v>0</v>
      </c>
    </row>
    <row r="509" spans="1:6" s="905" customFormat="1" x14ac:dyDescent="0.3">
      <c r="A509" s="1052"/>
      <c r="B509" s="965">
        <v>3</v>
      </c>
      <c r="C509" s="935">
        <v>5</v>
      </c>
      <c r="D509" s="1139">
        <v>5095210</v>
      </c>
      <c r="E509" s="1114">
        <v>5</v>
      </c>
      <c r="F509" s="958">
        <v>5250700</v>
      </c>
    </row>
    <row r="510" spans="1:6" s="905" customFormat="1" x14ac:dyDescent="0.3">
      <c r="A510" s="1052"/>
      <c r="B510" s="965">
        <v>4</v>
      </c>
      <c r="C510" s="935">
        <v>7</v>
      </c>
      <c r="D510" s="1139">
        <v>2031725</v>
      </c>
      <c r="E510" s="1114">
        <v>7</v>
      </c>
      <c r="F510" s="958">
        <v>2126600</v>
      </c>
    </row>
    <row r="511" spans="1:6" s="905" customFormat="1" x14ac:dyDescent="0.3">
      <c r="A511" s="1052"/>
      <c r="B511" s="965">
        <v>5</v>
      </c>
      <c r="C511" s="935">
        <v>1</v>
      </c>
      <c r="D511" s="1139">
        <v>415251</v>
      </c>
      <c r="E511" s="1114">
        <v>1</v>
      </c>
      <c r="F511" s="958">
        <v>430800</v>
      </c>
    </row>
    <row r="512" spans="1:6" s="905" customFormat="1" ht="21" thickBot="1" x14ac:dyDescent="0.35">
      <c r="A512" s="1052"/>
      <c r="B512" s="965">
        <v>6</v>
      </c>
      <c r="C512" s="935">
        <v>4</v>
      </c>
      <c r="D512" s="1139">
        <v>2105152</v>
      </c>
      <c r="E512" s="1114">
        <v>4</v>
      </c>
      <c r="F512" s="958">
        <v>2216000</v>
      </c>
    </row>
    <row r="513" spans="1:6" s="905" customFormat="1" ht="21" thickBot="1" x14ac:dyDescent="0.35">
      <c r="A513" s="1056" t="s">
        <v>187</v>
      </c>
      <c r="B513" s="1057"/>
      <c r="C513" s="1058">
        <v>17</v>
      </c>
      <c r="D513" s="1116">
        <v>2647338</v>
      </c>
      <c r="E513" s="1058">
        <f>SUM(E507:E512)</f>
        <v>17</v>
      </c>
      <c r="F513" s="1117">
        <f>SUM(F507:F512)</f>
        <v>10024100</v>
      </c>
    </row>
    <row r="514" spans="1:6" s="905" customFormat="1" x14ac:dyDescent="0.3">
      <c r="A514" s="1052"/>
      <c r="B514" s="965">
        <v>7</v>
      </c>
      <c r="C514" s="935">
        <v>12</v>
      </c>
      <c r="D514" s="1139">
        <v>8654787</v>
      </c>
      <c r="E514" s="1114">
        <v>12</v>
      </c>
      <c r="F514" s="958">
        <v>8759400</v>
      </c>
    </row>
    <row r="515" spans="1:6" s="905" customFormat="1" x14ac:dyDescent="0.3">
      <c r="A515" s="1052"/>
      <c r="B515" s="965">
        <v>8</v>
      </c>
      <c r="C515" s="935">
        <v>1</v>
      </c>
      <c r="D515" s="1139">
        <v>791931</v>
      </c>
      <c r="E515" s="1114">
        <v>1</v>
      </c>
      <c r="F515" s="958">
        <v>738600</v>
      </c>
    </row>
    <row r="516" spans="1:6" s="905" customFormat="1" x14ac:dyDescent="0.3">
      <c r="A516" s="1052"/>
      <c r="B516" s="965">
        <v>9</v>
      </c>
      <c r="C516" s="935">
        <v>1</v>
      </c>
      <c r="D516" s="1139">
        <v>0</v>
      </c>
      <c r="E516" s="1114">
        <v>1</v>
      </c>
      <c r="F516" s="958">
        <v>1115800</v>
      </c>
    </row>
    <row r="517" spans="1:6" s="905" customFormat="1" x14ac:dyDescent="0.3">
      <c r="A517" s="1052"/>
      <c r="B517" s="965">
        <v>10</v>
      </c>
      <c r="C517" s="935">
        <v>1</v>
      </c>
      <c r="D517" s="1139">
        <v>3121452</v>
      </c>
      <c r="E517" s="1114">
        <v>1</v>
      </c>
      <c r="F517" s="958">
        <v>1124300</v>
      </c>
    </row>
    <row r="518" spans="1:6" s="905" customFormat="1" ht="21" thickBot="1" x14ac:dyDescent="0.35">
      <c r="A518" s="1052"/>
      <c r="B518" s="965">
        <v>12</v>
      </c>
      <c r="C518" s="935">
        <v>3</v>
      </c>
      <c r="D518" s="1139">
        <v>2370437</v>
      </c>
      <c r="E518" s="1114">
        <v>3</v>
      </c>
      <c r="F518" s="981">
        <v>3580600</v>
      </c>
    </row>
    <row r="519" spans="1:6" s="905" customFormat="1" ht="21" thickBot="1" x14ac:dyDescent="0.35">
      <c r="A519" s="1056" t="s">
        <v>188</v>
      </c>
      <c r="B519" s="1057"/>
      <c r="C519" s="1058">
        <v>18</v>
      </c>
      <c r="D519" s="1116">
        <v>14938607</v>
      </c>
      <c r="E519" s="1058">
        <f>SUM(E514:E518)</f>
        <v>18</v>
      </c>
      <c r="F519" s="1117">
        <f>SUM(F514:F518)</f>
        <v>15318700</v>
      </c>
    </row>
    <row r="520" spans="1:6" s="905" customFormat="1" x14ac:dyDescent="0.3">
      <c r="A520" s="1052"/>
      <c r="B520" s="965">
        <v>13</v>
      </c>
      <c r="C520" s="935">
        <v>3</v>
      </c>
      <c r="D520" s="1139">
        <v>5292746</v>
      </c>
      <c r="E520" s="1114">
        <v>1</v>
      </c>
      <c r="F520" s="957">
        <v>1222600</v>
      </c>
    </row>
    <row r="521" spans="1:6" s="905" customFormat="1" x14ac:dyDescent="0.3">
      <c r="A521" s="1052"/>
      <c r="B521" s="965">
        <v>14</v>
      </c>
      <c r="C521" s="935">
        <v>13</v>
      </c>
      <c r="D521" s="1139">
        <v>23191242</v>
      </c>
      <c r="E521" s="1114">
        <v>13</v>
      </c>
      <c r="F521" s="958">
        <v>21275700</v>
      </c>
    </row>
    <row r="522" spans="1:6" s="905" customFormat="1" x14ac:dyDescent="0.3">
      <c r="A522" s="1052"/>
      <c r="B522" s="965">
        <v>15</v>
      </c>
      <c r="C522" s="935">
        <v>4</v>
      </c>
      <c r="D522" s="1139">
        <v>12835746</v>
      </c>
      <c r="E522" s="1114">
        <v>4</v>
      </c>
      <c r="F522" s="958">
        <v>8150000</v>
      </c>
    </row>
    <row r="523" spans="1:6" s="905" customFormat="1" ht="21" thickBot="1" x14ac:dyDescent="0.35">
      <c r="A523" s="1052"/>
      <c r="B523" s="965">
        <v>16</v>
      </c>
      <c r="C523" s="935">
        <v>7</v>
      </c>
      <c r="D523" s="1139">
        <v>24454097</v>
      </c>
      <c r="E523" s="1114">
        <v>7</v>
      </c>
      <c r="F523" s="958">
        <v>24290700</v>
      </c>
    </row>
    <row r="524" spans="1:6" s="905" customFormat="1" ht="21" thickBot="1" x14ac:dyDescent="0.35">
      <c r="A524" s="1056" t="s">
        <v>189</v>
      </c>
      <c r="B524" s="1057"/>
      <c r="C524" s="1058">
        <v>25</v>
      </c>
      <c r="D524" s="1116">
        <v>64773831</v>
      </c>
      <c r="E524" s="1058">
        <f>SUM(E520:E523)</f>
        <v>25</v>
      </c>
      <c r="F524" s="1117">
        <f>SUM(F520:F523)</f>
        <v>54939000</v>
      </c>
    </row>
    <row r="525" spans="1:6" s="905" customFormat="1" ht="21" thickBot="1" x14ac:dyDescent="0.35">
      <c r="A525" s="1062" t="s">
        <v>190</v>
      </c>
      <c r="B525" s="1063"/>
      <c r="C525" s="1064">
        <v>60</v>
      </c>
      <c r="D525" s="1134">
        <v>89359776</v>
      </c>
      <c r="E525" s="1064">
        <f>SUM(E513,E519,E524)</f>
        <v>60</v>
      </c>
      <c r="F525" s="1123">
        <f>SUM(F513,F519,F524)</f>
        <v>80281800</v>
      </c>
    </row>
    <row r="526" spans="1:6" s="905" customFormat="1" x14ac:dyDescent="0.3">
      <c r="A526" s="905" t="s">
        <v>1569</v>
      </c>
      <c r="B526" s="965"/>
      <c r="C526" s="1142">
        <v>1</v>
      </c>
      <c r="D526" s="958">
        <v>3169692</v>
      </c>
      <c r="E526" s="1114">
        <v>1</v>
      </c>
      <c r="F526" s="958">
        <v>2378117</v>
      </c>
    </row>
    <row r="527" spans="1:6" s="905" customFormat="1" ht="21" thickBot="1" x14ac:dyDescent="0.35">
      <c r="A527" s="905" t="s">
        <v>1749</v>
      </c>
      <c r="B527" s="965"/>
      <c r="C527" s="1142"/>
      <c r="D527" s="958">
        <v>0</v>
      </c>
      <c r="E527" s="1114"/>
      <c r="F527" s="958">
        <v>791575</v>
      </c>
    </row>
    <row r="528" spans="1:6" s="906" customFormat="1" ht="21" thickBot="1" x14ac:dyDescent="0.35">
      <c r="A528" s="1066" t="s">
        <v>117</v>
      </c>
      <c r="B528" s="1057"/>
      <c r="C528" s="1058">
        <v>1</v>
      </c>
      <c r="D528" s="961">
        <v>3169692</v>
      </c>
      <c r="E528" s="1058">
        <f>SUM(E526:E527)</f>
        <v>1</v>
      </c>
      <c r="F528" s="961">
        <f>SUM(F526:F527)</f>
        <v>3169692</v>
      </c>
    </row>
    <row r="529" spans="1:6" s="906" customFormat="1" ht="21" thickBot="1" x14ac:dyDescent="0.35">
      <c r="A529" s="1126" t="s">
        <v>2510</v>
      </c>
      <c r="B529" s="1057"/>
      <c r="C529" s="1143">
        <v>61</v>
      </c>
      <c r="D529" s="1065">
        <v>92529418</v>
      </c>
      <c r="E529" s="1144">
        <f>SUM(E525,E528)</f>
        <v>61</v>
      </c>
      <c r="F529" s="1145">
        <f>SUM(F525,F528)</f>
        <v>83451492</v>
      </c>
    </row>
    <row r="531" spans="1:6" x14ac:dyDescent="0.2">
      <c r="A531" s="3545" t="s">
        <v>183</v>
      </c>
      <c r="B531" s="3545"/>
      <c r="C531" s="3545"/>
      <c r="D531" s="3545"/>
      <c r="E531" s="3545"/>
      <c r="F531" s="3545"/>
    </row>
    <row r="532" spans="1:6" ht="21" thickBot="1" x14ac:dyDescent="0.25">
      <c r="A532" s="3546" t="s">
        <v>1056</v>
      </c>
      <c r="B532" s="3546"/>
      <c r="C532" s="3546"/>
      <c r="D532" s="3546"/>
      <c r="E532" s="3546"/>
      <c r="F532" s="3546"/>
    </row>
    <row r="533" spans="1:6" ht="41.25" thickBot="1" x14ac:dyDescent="0.25">
      <c r="A533" s="920" t="s">
        <v>185</v>
      </c>
      <c r="B533" s="921" t="s">
        <v>186</v>
      </c>
      <c r="C533" s="922" t="s">
        <v>564</v>
      </c>
      <c r="D533" s="923" t="s">
        <v>1128</v>
      </c>
      <c r="E533" s="922" t="s">
        <v>1129</v>
      </c>
      <c r="F533" s="923" t="s">
        <v>3096</v>
      </c>
    </row>
    <row r="534" spans="1:6" s="988" customFormat="1" x14ac:dyDescent="0.2">
      <c r="A534" s="925"/>
      <c r="B534" s="932">
        <v>1</v>
      </c>
      <c r="C534" s="927" t="s">
        <v>179</v>
      </c>
      <c r="D534" s="989"/>
      <c r="E534" s="1146" t="s">
        <v>179</v>
      </c>
      <c r="F534" s="928"/>
    </row>
    <row r="535" spans="1:6" x14ac:dyDescent="0.2">
      <c r="A535" s="931"/>
      <c r="B535" s="932">
        <v>2</v>
      </c>
      <c r="C535" s="933"/>
      <c r="E535" s="955"/>
      <c r="F535" s="934"/>
    </row>
    <row r="536" spans="1:6" x14ac:dyDescent="0.2">
      <c r="A536" s="931"/>
      <c r="B536" s="932">
        <v>3</v>
      </c>
      <c r="C536" s="933"/>
      <c r="E536" s="955"/>
      <c r="F536" s="934"/>
    </row>
    <row r="537" spans="1:6" x14ac:dyDescent="0.2">
      <c r="A537" s="931"/>
      <c r="B537" s="932">
        <v>4</v>
      </c>
      <c r="C537" s="933"/>
      <c r="E537" s="955"/>
      <c r="F537" s="934"/>
    </row>
    <row r="538" spans="1:6" x14ac:dyDescent="0.2">
      <c r="A538" s="931"/>
      <c r="B538" s="932">
        <v>5</v>
      </c>
      <c r="C538" s="933"/>
      <c r="E538" s="955"/>
      <c r="F538" s="934"/>
    </row>
    <row r="539" spans="1:6" ht="21" thickBot="1" x14ac:dyDescent="0.25">
      <c r="A539" s="931"/>
      <c r="B539" s="932">
        <v>6</v>
      </c>
      <c r="C539" s="933"/>
      <c r="E539" s="955"/>
      <c r="F539" s="934"/>
    </row>
    <row r="540" spans="1:6" ht="21" thickBot="1" x14ac:dyDescent="0.25">
      <c r="A540" s="937" t="s">
        <v>187</v>
      </c>
      <c r="B540" s="938"/>
      <c r="C540" s="939">
        <f>SUM(C534:C539)</f>
        <v>0</v>
      </c>
      <c r="D540" s="940">
        <f>SUM(D534:D539)</f>
        <v>0</v>
      </c>
      <c r="E540" s="959">
        <f>SUM(E534:E539)</f>
        <v>0</v>
      </c>
      <c r="F540" s="940">
        <f>SUM(F534:F539)</f>
        <v>0</v>
      </c>
    </row>
    <row r="541" spans="1:6" x14ac:dyDescent="0.2">
      <c r="A541" s="931"/>
      <c r="B541" s="932">
        <v>7</v>
      </c>
      <c r="C541" s="933"/>
      <c r="E541" s="955"/>
      <c r="F541" s="934"/>
    </row>
    <row r="542" spans="1:6" x14ac:dyDescent="0.2">
      <c r="A542" s="931"/>
      <c r="B542" s="932">
        <v>8</v>
      </c>
      <c r="C542" s="933"/>
      <c r="E542" s="955"/>
      <c r="F542" s="934"/>
    </row>
    <row r="543" spans="1:6" x14ac:dyDescent="0.2">
      <c r="A543" s="931"/>
      <c r="B543" s="932">
        <v>9</v>
      </c>
      <c r="C543" s="933"/>
      <c r="E543" s="955"/>
      <c r="F543" s="934"/>
    </row>
    <row r="544" spans="1:6" x14ac:dyDescent="0.2">
      <c r="A544" s="931"/>
      <c r="B544" s="932">
        <v>10</v>
      </c>
      <c r="C544" s="933"/>
      <c r="E544" s="955"/>
      <c r="F544" s="934"/>
    </row>
    <row r="545" spans="1:6" ht="21" thickBot="1" x14ac:dyDescent="0.25">
      <c r="A545" s="931"/>
      <c r="B545" s="932">
        <v>12</v>
      </c>
      <c r="C545" s="933"/>
      <c r="E545" s="955"/>
      <c r="F545" s="934"/>
    </row>
    <row r="546" spans="1:6" ht="21" thickBot="1" x14ac:dyDescent="0.25">
      <c r="A546" s="937" t="s">
        <v>188</v>
      </c>
      <c r="B546" s="938"/>
      <c r="C546" s="939">
        <f>SUM(C541:C545)</f>
        <v>0</v>
      </c>
      <c r="D546" s="940">
        <f>SUM(D541:D545)</f>
        <v>0</v>
      </c>
      <c r="E546" s="959">
        <f>SUM(E541:E545)</f>
        <v>0</v>
      </c>
      <c r="F546" s="940">
        <f>SUM(F541:F545)</f>
        <v>0</v>
      </c>
    </row>
    <row r="547" spans="1:6" x14ac:dyDescent="0.2">
      <c r="A547" s="931"/>
      <c r="B547" s="932">
        <v>13</v>
      </c>
      <c r="C547" s="933"/>
      <c r="E547" s="955"/>
      <c r="F547" s="934"/>
    </row>
    <row r="548" spans="1:6" x14ac:dyDescent="0.2">
      <c r="A548" s="931"/>
      <c r="B548" s="932">
        <v>14</v>
      </c>
      <c r="C548" s="933"/>
      <c r="E548" s="955"/>
      <c r="F548" s="934"/>
    </row>
    <row r="549" spans="1:6" x14ac:dyDescent="0.2">
      <c r="A549" s="931"/>
      <c r="B549" s="932">
        <v>15</v>
      </c>
      <c r="C549" s="933"/>
      <c r="E549" s="955"/>
      <c r="F549" s="934"/>
    </row>
    <row r="550" spans="1:6" ht="21" thickBot="1" x14ac:dyDescent="0.25">
      <c r="A550" s="931"/>
      <c r="B550" s="932">
        <v>16</v>
      </c>
      <c r="C550" s="933"/>
      <c r="E550" s="955"/>
      <c r="F550" s="934"/>
    </row>
    <row r="551" spans="1:6" ht="21" thickBot="1" x14ac:dyDescent="0.25">
      <c r="A551" s="937" t="s">
        <v>189</v>
      </c>
      <c r="B551" s="938"/>
      <c r="C551" s="939">
        <f>SUM(C547:C550)</f>
        <v>0</v>
      </c>
      <c r="D551" s="940">
        <f>SUM(D547:D550)</f>
        <v>0</v>
      </c>
      <c r="E551" s="959">
        <f>SUM(E547:E550)</f>
        <v>0</v>
      </c>
      <c r="F551" s="940">
        <f>SUM(F547:F550)</f>
        <v>0</v>
      </c>
    </row>
    <row r="552" spans="1:6" ht="21" thickBot="1" x14ac:dyDescent="0.25">
      <c r="A552" s="990" t="s">
        <v>190</v>
      </c>
      <c r="B552" s="991"/>
      <c r="C552" s="992">
        <f>SUM(C551,C546,C540)</f>
        <v>0</v>
      </c>
      <c r="D552" s="969">
        <f>SUM(D551,D546,D540)</f>
        <v>0</v>
      </c>
      <c r="E552" s="1147">
        <f>SUM(E551,E546,E540)</f>
        <v>0</v>
      </c>
      <c r="F552" s="969">
        <f>SUM(F551,F546,F540)</f>
        <v>0</v>
      </c>
    </row>
    <row r="553" spans="1:6" x14ac:dyDescent="0.2">
      <c r="A553" s="919" t="s">
        <v>200</v>
      </c>
      <c r="C553" s="1088">
        <v>1</v>
      </c>
      <c r="D553" s="1089">
        <v>1250110</v>
      </c>
      <c r="E553" s="1148">
        <v>1</v>
      </c>
      <c r="F553" s="1149">
        <v>1250110</v>
      </c>
    </row>
    <row r="554" spans="1:6" ht="21" thickBot="1" x14ac:dyDescent="0.25">
      <c r="A554" s="919" t="s">
        <v>201</v>
      </c>
      <c r="C554" s="1088"/>
      <c r="D554" s="1089">
        <v>4479705</v>
      </c>
      <c r="E554" s="1148"/>
      <c r="F554" s="1149">
        <v>4479705</v>
      </c>
    </row>
    <row r="555" spans="1:6" s="924" customFormat="1" ht="21" thickBot="1" x14ac:dyDescent="0.25">
      <c r="A555" s="950" t="s">
        <v>117</v>
      </c>
      <c r="B555" s="938"/>
      <c r="C555" s="968">
        <f>SUM(C553:C554)</f>
        <v>1</v>
      </c>
      <c r="D555" s="940">
        <f>SUM(D553:D554)</f>
        <v>5729815</v>
      </c>
      <c r="E555" s="962">
        <f>SUM(E553:E554)</f>
        <v>1</v>
      </c>
      <c r="F555" s="940">
        <f>SUM(F553:F554)</f>
        <v>5729815</v>
      </c>
    </row>
    <row r="556" spans="1:6" ht="21" thickBot="1" x14ac:dyDescent="0.25">
      <c r="A556" s="950" t="s">
        <v>1337</v>
      </c>
      <c r="B556" s="938"/>
      <c r="C556" s="968">
        <f>SUM(C552,C555)</f>
        <v>1</v>
      </c>
      <c r="D556" s="940">
        <f>SUM(D552,D555)</f>
        <v>5729815</v>
      </c>
      <c r="E556" s="962">
        <f>SUM(E552,E555)</f>
        <v>1</v>
      </c>
      <c r="F556" s="940">
        <f>SUM(F552,F555)</f>
        <v>5729815</v>
      </c>
    </row>
    <row r="557" spans="1:6" x14ac:dyDescent="0.2">
      <c r="A557" s="3545"/>
      <c r="B557" s="3545"/>
      <c r="C557" s="3545"/>
      <c r="D557" s="3545"/>
      <c r="E557" s="3545"/>
      <c r="F557" s="3545"/>
    </row>
    <row r="558" spans="1:6" x14ac:dyDescent="0.2">
      <c r="A558" s="3545" t="s">
        <v>183</v>
      </c>
      <c r="B558" s="3545"/>
      <c r="C558" s="3545"/>
      <c r="D558" s="3545"/>
      <c r="E558" s="3545"/>
      <c r="F558" s="3545"/>
    </row>
    <row r="559" spans="1:6" ht="21" thickBot="1" x14ac:dyDescent="0.25">
      <c r="A559" s="3546" t="s">
        <v>2670</v>
      </c>
      <c r="B559" s="3546"/>
      <c r="C559" s="3546"/>
      <c r="D559" s="3546"/>
      <c r="E559" s="3546"/>
      <c r="F559" s="3546"/>
    </row>
    <row r="560" spans="1:6" s="924" customFormat="1" ht="41.25" thickBot="1" x14ac:dyDescent="0.25">
      <c r="A560" s="920" t="s">
        <v>185</v>
      </c>
      <c r="B560" s="921" t="s">
        <v>186</v>
      </c>
      <c r="C560" s="922" t="s">
        <v>564</v>
      </c>
      <c r="D560" s="923" t="s">
        <v>1128</v>
      </c>
      <c r="E560" s="922" t="s">
        <v>1129</v>
      </c>
      <c r="F560" s="923" t="s">
        <v>3096</v>
      </c>
    </row>
    <row r="561" spans="1:6" x14ac:dyDescent="0.2">
      <c r="A561" s="931"/>
      <c r="B561" s="954">
        <v>1</v>
      </c>
      <c r="C561" s="933"/>
      <c r="D561" s="978"/>
      <c r="E561" s="933"/>
      <c r="F561" s="934"/>
    </row>
    <row r="562" spans="1:6" x14ac:dyDescent="0.2">
      <c r="A562" s="931"/>
      <c r="B562" s="954">
        <v>2</v>
      </c>
      <c r="C562" s="933"/>
      <c r="D562" s="978"/>
      <c r="E562" s="933"/>
      <c r="F562" s="934"/>
    </row>
    <row r="563" spans="1:6" x14ac:dyDescent="0.2">
      <c r="A563" s="931"/>
      <c r="B563" s="954">
        <v>3</v>
      </c>
      <c r="C563" s="933"/>
      <c r="D563" s="978"/>
      <c r="E563" s="933"/>
      <c r="F563" s="934"/>
    </row>
    <row r="564" spans="1:6" x14ac:dyDescent="0.2">
      <c r="A564" s="931"/>
      <c r="B564" s="954">
        <v>4</v>
      </c>
      <c r="C564" s="933">
        <v>1</v>
      </c>
      <c r="D564" s="978"/>
      <c r="E564" s="933"/>
      <c r="F564" s="934"/>
    </row>
    <row r="565" spans="1:6" x14ac:dyDescent="0.2">
      <c r="A565" s="931"/>
      <c r="B565" s="954">
        <v>5</v>
      </c>
      <c r="C565" s="933"/>
      <c r="D565" s="978"/>
      <c r="E565" s="933"/>
      <c r="F565" s="934"/>
    </row>
    <row r="566" spans="1:6" ht="21" thickBot="1" x14ac:dyDescent="0.25">
      <c r="A566" s="931"/>
      <c r="B566" s="954">
        <v>6</v>
      </c>
      <c r="C566" s="933"/>
      <c r="D566" s="978"/>
      <c r="E566" s="933"/>
      <c r="F566" s="934"/>
    </row>
    <row r="567" spans="1:6" ht="21" thickBot="1" x14ac:dyDescent="0.25">
      <c r="A567" s="937" t="s">
        <v>187</v>
      </c>
      <c r="B567" s="938"/>
      <c r="C567" s="968">
        <f>SUM(C561:C566)</f>
        <v>1</v>
      </c>
      <c r="D567" s="940">
        <f>SUM(D561:D566)</f>
        <v>0</v>
      </c>
      <c r="E567" s="968">
        <f>SUM(E561:E566)</f>
        <v>0</v>
      </c>
      <c r="F567" s="940">
        <f>SUM(F561:F566)</f>
        <v>0</v>
      </c>
    </row>
    <row r="568" spans="1:6" x14ac:dyDescent="0.2">
      <c r="A568" s="931"/>
      <c r="B568" s="954">
        <v>7</v>
      </c>
      <c r="C568" s="933"/>
      <c r="D568" s="978"/>
      <c r="E568" s="933"/>
      <c r="F568" s="934"/>
    </row>
    <row r="569" spans="1:6" x14ac:dyDescent="0.2">
      <c r="A569" s="931"/>
      <c r="B569" s="954">
        <v>8</v>
      </c>
      <c r="C569" s="933"/>
      <c r="D569" s="978"/>
      <c r="E569" s="933"/>
      <c r="F569" s="934"/>
    </row>
    <row r="570" spans="1:6" x14ac:dyDescent="0.2">
      <c r="A570" s="931"/>
      <c r="B570" s="954">
        <v>9</v>
      </c>
      <c r="C570" s="933"/>
      <c r="D570" s="978"/>
      <c r="E570" s="933"/>
      <c r="F570" s="934"/>
    </row>
    <row r="571" spans="1:6" x14ac:dyDescent="0.2">
      <c r="A571" s="931"/>
      <c r="B571" s="954">
        <v>10</v>
      </c>
      <c r="C571" s="933"/>
      <c r="D571" s="978"/>
      <c r="E571" s="933"/>
      <c r="F571" s="934"/>
    </row>
    <row r="572" spans="1:6" ht="21" thickBot="1" x14ac:dyDescent="0.25">
      <c r="A572" s="931"/>
      <c r="B572" s="954">
        <v>12</v>
      </c>
      <c r="C572" s="933" t="s">
        <v>179</v>
      </c>
      <c r="D572" s="978"/>
      <c r="E572" s="933" t="s">
        <v>179</v>
      </c>
      <c r="F572" s="934"/>
    </row>
    <row r="573" spans="1:6" ht="21" thickBot="1" x14ac:dyDescent="0.25">
      <c r="A573" s="937" t="s">
        <v>188</v>
      </c>
      <c r="B573" s="938"/>
      <c r="C573" s="968">
        <f>SUM(C568:C572)</f>
        <v>0</v>
      </c>
      <c r="D573" s="940">
        <f>SUM(D568:D572)</f>
        <v>0</v>
      </c>
      <c r="E573" s="968">
        <f>SUM(E568:E572)</f>
        <v>0</v>
      </c>
      <c r="F573" s="940">
        <f>SUM(F568:F572)</f>
        <v>0</v>
      </c>
    </row>
    <row r="574" spans="1:6" x14ac:dyDescent="0.2">
      <c r="A574" s="931"/>
      <c r="B574" s="954">
        <v>13</v>
      </c>
      <c r="C574" s="933">
        <v>2</v>
      </c>
      <c r="D574" s="978"/>
      <c r="E574" s="933"/>
      <c r="F574" s="934"/>
    </row>
    <row r="575" spans="1:6" x14ac:dyDescent="0.2">
      <c r="A575" s="931"/>
      <c r="B575" s="954">
        <v>14</v>
      </c>
      <c r="C575" s="933">
        <v>3</v>
      </c>
      <c r="D575" s="978"/>
      <c r="E575" s="933"/>
      <c r="F575" s="934"/>
    </row>
    <row r="576" spans="1:6" x14ac:dyDescent="0.2">
      <c r="A576" s="931"/>
      <c r="B576" s="954">
        <v>15</v>
      </c>
      <c r="C576" s="933">
        <v>1</v>
      </c>
      <c r="D576" s="978"/>
      <c r="E576" s="933"/>
      <c r="F576" s="934"/>
    </row>
    <row r="577" spans="1:6" ht="21" thickBot="1" x14ac:dyDescent="0.25">
      <c r="A577" s="931"/>
      <c r="B577" s="954">
        <v>16</v>
      </c>
      <c r="C577" s="933"/>
      <c r="D577" s="978">
        <v>0</v>
      </c>
      <c r="E577" s="933"/>
      <c r="F577" s="934">
        <v>0</v>
      </c>
    </row>
    <row r="578" spans="1:6" ht="21" thickBot="1" x14ac:dyDescent="0.25">
      <c r="A578" s="937" t="s">
        <v>189</v>
      </c>
      <c r="B578" s="938"/>
      <c r="C578" s="968">
        <f>SUM(C574:C577)</f>
        <v>6</v>
      </c>
      <c r="D578" s="940">
        <f>SUM(D574:D577)</f>
        <v>0</v>
      </c>
      <c r="E578" s="968">
        <f>SUM(E574:E577)</f>
        <v>0</v>
      </c>
      <c r="F578" s="940">
        <f>SUM(F574:F577)</f>
        <v>0</v>
      </c>
    </row>
    <row r="579" spans="1:6" ht="21" thickBot="1" x14ac:dyDescent="0.25">
      <c r="A579" s="937" t="s">
        <v>190</v>
      </c>
      <c r="B579" s="938"/>
      <c r="C579" s="939">
        <f>SUM(C578,C573,C567)</f>
        <v>7</v>
      </c>
      <c r="D579" s="940">
        <f>SUM(D578,D573,D567)</f>
        <v>0</v>
      </c>
      <c r="E579" s="939">
        <f>SUM(E578,E573,E567)</f>
        <v>0</v>
      </c>
      <c r="F579" s="940">
        <f>SUM(F578,F573,F567)</f>
        <v>0</v>
      </c>
    </row>
    <row r="580" spans="1:6" x14ac:dyDescent="0.2">
      <c r="A580" s="964" t="s">
        <v>200</v>
      </c>
      <c r="B580" s="954" t="s">
        <v>179</v>
      </c>
      <c r="C580" s="933">
        <v>1</v>
      </c>
      <c r="D580" s="978">
        <v>1250110</v>
      </c>
      <c r="E580" s="933">
        <v>1</v>
      </c>
      <c r="F580" s="934">
        <v>1250110</v>
      </c>
    </row>
    <row r="581" spans="1:6" ht="21" thickBot="1" x14ac:dyDescent="0.25">
      <c r="A581" s="964" t="s">
        <v>527</v>
      </c>
      <c r="B581" s="954"/>
      <c r="C581" s="933"/>
      <c r="D581" s="978">
        <v>4479705</v>
      </c>
      <c r="E581" s="933"/>
      <c r="F581" s="934">
        <v>4479705</v>
      </c>
    </row>
    <row r="582" spans="1:6" s="924" customFormat="1" ht="21" thickBot="1" x14ac:dyDescent="0.25">
      <c r="A582" s="950" t="s">
        <v>117</v>
      </c>
      <c r="B582" s="938"/>
      <c r="C582" s="939">
        <f>SUM(C580:C581)</f>
        <v>1</v>
      </c>
      <c r="D582" s="940">
        <f>SUM(D580:D581)</f>
        <v>5729815</v>
      </c>
      <c r="E582" s="939">
        <f>SUM(E580:E581)</f>
        <v>1</v>
      </c>
      <c r="F582" s="940">
        <f>SUM(F580:F581)</f>
        <v>5729815</v>
      </c>
    </row>
    <row r="583" spans="1:6" ht="21" thickBot="1" x14ac:dyDescent="0.25">
      <c r="A583" s="950" t="s">
        <v>2671</v>
      </c>
      <c r="B583" s="938"/>
      <c r="C583" s="939">
        <f>SUM(C579,C582)</f>
        <v>8</v>
      </c>
      <c r="D583" s="940">
        <f>SUM(D579,D582)</f>
        <v>5729815</v>
      </c>
      <c r="E583" s="939">
        <f>SUM(E579,E582)</f>
        <v>1</v>
      </c>
      <c r="F583" s="940">
        <f>SUM(F579,F582)</f>
        <v>5729815</v>
      </c>
    </row>
    <row r="584" spans="1:6" x14ac:dyDescent="0.2">
      <c r="A584" s="3559"/>
      <c r="B584" s="3559"/>
      <c r="C584" s="3559"/>
      <c r="D584" s="3559"/>
      <c r="E584" s="3559"/>
      <c r="F584" s="3559"/>
    </row>
    <row r="585" spans="1:6" x14ac:dyDescent="0.2">
      <c r="A585" s="3545" t="s">
        <v>183</v>
      </c>
      <c r="B585" s="3545"/>
      <c r="C585" s="3545"/>
      <c r="D585" s="3545"/>
      <c r="E585" s="3545"/>
      <c r="F585" s="3545"/>
    </row>
    <row r="586" spans="1:6" ht="21" thickBot="1" x14ac:dyDescent="0.25">
      <c r="A586" s="3546" t="s">
        <v>2669</v>
      </c>
      <c r="B586" s="3546"/>
      <c r="C586" s="3546"/>
      <c r="D586" s="3546"/>
      <c r="E586" s="3546"/>
      <c r="F586" s="3546"/>
    </row>
    <row r="587" spans="1:6" ht="41.25" thickBot="1" x14ac:dyDescent="0.25">
      <c r="A587" s="920" t="s">
        <v>185</v>
      </c>
      <c r="B587" s="921" t="s">
        <v>186</v>
      </c>
      <c r="C587" s="922" t="s">
        <v>564</v>
      </c>
      <c r="D587" s="923" t="s">
        <v>1128</v>
      </c>
      <c r="E587" s="922" t="s">
        <v>1129</v>
      </c>
      <c r="F587" s="923" t="s">
        <v>3096</v>
      </c>
    </row>
    <row r="588" spans="1:6" x14ac:dyDescent="0.2">
      <c r="A588" s="931"/>
      <c r="B588" s="954">
        <v>1</v>
      </c>
      <c r="C588" s="927">
        <v>7</v>
      </c>
      <c r="D588" s="978">
        <v>2509495</v>
      </c>
      <c r="E588" s="927">
        <v>7</v>
      </c>
      <c r="F588" s="934">
        <v>2509495</v>
      </c>
    </row>
    <row r="589" spans="1:6" x14ac:dyDescent="0.2">
      <c r="A589" s="931"/>
      <c r="B589" s="954">
        <v>2</v>
      </c>
      <c r="C589" s="933">
        <v>3</v>
      </c>
      <c r="D589" s="978">
        <v>2451155</v>
      </c>
      <c r="E589" s="933">
        <v>3</v>
      </c>
      <c r="F589" s="934">
        <v>2451155</v>
      </c>
    </row>
    <row r="590" spans="1:6" x14ac:dyDescent="0.2">
      <c r="A590" s="931"/>
      <c r="B590" s="954">
        <v>3</v>
      </c>
      <c r="C590" s="933">
        <v>26</v>
      </c>
      <c r="D590" s="978">
        <v>8894400</v>
      </c>
      <c r="E590" s="933">
        <v>26</v>
      </c>
      <c r="F590" s="934">
        <v>8894400</v>
      </c>
    </row>
    <row r="591" spans="1:6" x14ac:dyDescent="0.2">
      <c r="A591" s="931"/>
      <c r="B591" s="954">
        <v>4</v>
      </c>
      <c r="C591" s="933">
        <v>20</v>
      </c>
      <c r="D591" s="978">
        <v>4890120</v>
      </c>
      <c r="E591" s="933">
        <v>20</v>
      </c>
      <c r="F591" s="934">
        <v>4890120</v>
      </c>
    </row>
    <row r="592" spans="1:6" x14ac:dyDescent="0.2">
      <c r="A592" s="931"/>
      <c r="B592" s="954">
        <v>5</v>
      </c>
      <c r="C592" s="933">
        <v>7</v>
      </c>
      <c r="D592" s="978">
        <v>4095470</v>
      </c>
      <c r="E592" s="933">
        <v>7</v>
      </c>
      <c r="F592" s="934">
        <v>4095470</v>
      </c>
    </row>
    <row r="593" spans="1:6" ht="21" thickBot="1" x14ac:dyDescent="0.25">
      <c r="A593" s="931"/>
      <c r="B593" s="954">
        <v>6</v>
      </c>
      <c r="C593" s="933">
        <v>3</v>
      </c>
      <c r="D593" s="978">
        <v>2620000</v>
      </c>
      <c r="E593" s="933">
        <v>3</v>
      </c>
      <c r="F593" s="934">
        <v>2620000</v>
      </c>
    </row>
    <row r="594" spans="1:6" s="924" customFormat="1" ht="21" thickBot="1" x14ac:dyDescent="0.25">
      <c r="A594" s="937" t="s">
        <v>187</v>
      </c>
      <c r="B594" s="938"/>
      <c r="C594" s="968">
        <f>SUM(C588:C593)</f>
        <v>66</v>
      </c>
      <c r="D594" s="940">
        <f>SUM(D588:D593)</f>
        <v>25460640</v>
      </c>
      <c r="E594" s="968">
        <f>SUM(E588:E593)</f>
        <v>66</v>
      </c>
      <c r="F594" s="940">
        <f>SUM(F588:F593)</f>
        <v>25460640</v>
      </c>
    </row>
    <row r="595" spans="1:6" x14ac:dyDescent="0.2">
      <c r="A595" s="931"/>
      <c r="B595" s="954">
        <v>7</v>
      </c>
      <c r="C595" s="933">
        <v>9</v>
      </c>
      <c r="D595" s="978">
        <v>5402412</v>
      </c>
      <c r="E595" s="933">
        <v>8</v>
      </c>
      <c r="F595" s="934">
        <v>5402412</v>
      </c>
    </row>
    <row r="596" spans="1:6" x14ac:dyDescent="0.2">
      <c r="A596" s="931"/>
      <c r="B596" s="954">
        <v>8</v>
      </c>
      <c r="C596" s="933">
        <v>20</v>
      </c>
      <c r="D596" s="978">
        <v>14711320</v>
      </c>
      <c r="E596" s="933">
        <v>20</v>
      </c>
      <c r="F596" s="934">
        <v>14711320</v>
      </c>
    </row>
    <row r="597" spans="1:6" x14ac:dyDescent="0.2">
      <c r="A597" s="931"/>
      <c r="B597" s="954">
        <v>9</v>
      </c>
      <c r="C597" s="933">
        <v>4</v>
      </c>
      <c r="D597" s="978">
        <v>4113387</v>
      </c>
      <c r="E597" s="933">
        <v>4</v>
      </c>
      <c r="F597" s="934">
        <v>4113387</v>
      </c>
    </row>
    <row r="598" spans="1:6" x14ac:dyDescent="0.2">
      <c r="A598" s="931"/>
      <c r="B598" s="954">
        <v>10</v>
      </c>
      <c r="C598" s="933">
        <v>5</v>
      </c>
      <c r="D598" s="978">
        <v>5592293</v>
      </c>
      <c r="E598" s="933">
        <v>5</v>
      </c>
      <c r="F598" s="934">
        <v>5592293</v>
      </c>
    </row>
    <row r="599" spans="1:6" ht="21" thickBot="1" x14ac:dyDescent="0.25">
      <c r="A599" s="931"/>
      <c r="B599" s="954">
        <v>12</v>
      </c>
      <c r="C599" s="933">
        <v>6</v>
      </c>
      <c r="D599" s="978">
        <v>7148263</v>
      </c>
      <c r="E599" s="933">
        <v>6</v>
      </c>
      <c r="F599" s="934">
        <v>7148263</v>
      </c>
    </row>
    <row r="600" spans="1:6" s="924" customFormat="1" ht="21" thickBot="1" x14ac:dyDescent="0.25">
      <c r="A600" s="937" t="s">
        <v>188</v>
      </c>
      <c r="B600" s="938"/>
      <c r="C600" s="968">
        <f>SUM(C595:C599)</f>
        <v>44</v>
      </c>
      <c r="D600" s="940">
        <f>SUM(D595:D599)</f>
        <v>36967675</v>
      </c>
      <c r="E600" s="968">
        <f>SUM(E595:E599)</f>
        <v>43</v>
      </c>
      <c r="F600" s="940">
        <f>SUM(F595:F599)</f>
        <v>36967675</v>
      </c>
    </row>
    <row r="601" spans="1:6" x14ac:dyDescent="0.2">
      <c r="A601" s="931"/>
      <c r="B601" s="954">
        <v>13</v>
      </c>
      <c r="C601" s="933">
        <v>4</v>
      </c>
      <c r="D601" s="978">
        <v>4267065</v>
      </c>
      <c r="E601" s="933">
        <v>4</v>
      </c>
      <c r="F601" s="934">
        <v>4267065</v>
      </c>
    </row>
    <row r="602" spans="1:6" x14ac:dyDescent="0.2">
      <c r="A602" s="931"/>
      <c r="B602" s="954">
        <v>14</v>
      </c>
      <c r="C602" s="933">
        <v>6</v>
      </c>
      <c r="D602" s="978">
        <v>9894045</v>
      </c>
      <c r="E602" s="933">
        <v>6</v>
      </c>
      <c r="F602" s="934">
        <v>9894045</v>
      </c>
    </row>
    <row r="603" spans="1:6" x14ac:dyDescent="0.2">
      <c r="A603" s="931"/>
      <c r="B603" s="954">
        <v>15</v>
      </c>
      <c r="C603" s="933">
        <v>3</v>
      </c>
      <c r="D603" s="978">
        <v>5753840</v>
      </c>
      <c r="E603" s="933">
        <v>3</v>
      </c>
      <c r="F603" s="934">
        <v>5753840</v>
      </c>
    </row>
    <row r="604" spans="1:6" ht="21" thickBot="1" x14ac:dyDescent="0.25">
      <c r="A604" s="931"/>
      <c r="B604" s="954">
        <v>16</v>
      </c>
      <c r="C604" s="933">
        <v>4</v>
      </c>
      <c r="D604" s="978">
        <v>7199920</v>
      </c>
      <c r="E604" s="933">
        <v>4</v>
      </c>
      <c r="F604" s="934">
        <v>7199920</v>
      </c>
    </row>
    <row r="605" spans="1:6" s="924" customFormat="1" ht="21" thickBot="1" x14ac:dyDescent="0.25">
      <c r="A605" s="937" t="s">
        <v>189</v>
      </c>
      <c r="B605" s="938"/>
      <c r="C605" s="968">
        <f>SUM(C601:C604)</f>
        <v>17</v>
      </c>
      <c r="D605" s="940">
        <f>SUM(D601:D604)</f>
        <v>27114870</v>
      </c>
      <c r="E605" s="968">
        <f>SUM(E601:E604)</f>
        <v>17</v>
      </c>
      <c r="F605" s="940">
        <f>SUM(F601:F604)</f>
        <v>27114870</v>
      </c>
    </row>
    <row r="606" spans="1:6" s="924" customFormat="1" ht="21" thickBot="1" x14ac:dyDescent="0.25">
      <c r="A606" s="937" t="s">
        <v>190</v>
      </c>
      <c r="B606" s="938"/>
      <c r="C606" s="939">
        <f>SUM(C605,C600,C594)</f>
        <v>127</v>
      </c>
      <c r="D606" s="940">
        <f>SUM(D605,D600,D594)</f>
        <v>89543185</v>
      </c>
      <c r="E606" s="968">
        <f>SUM(E605,E600,E594)</f>
        <v>126</v>
      </c>
      <c r="F606" s="940">
        <f>SUM(F605,F600,F594)</f>
        <v>89543185</v>
      </c>
    </row>
    <row r="607" spans="1:6" x14ac:dyDescent="0.2">
      <c r="A607" s="964" t="s">
        <v>758</v>
      </c>
      <c r="B607" s="954"/>
      <c r="C607" s="933">
        <v>1</v>
      </c>
      <c r="D607" s="978">
        <v>1337225</v>
      </c>
      <c r="E607" s="933">
        <v>1</v>
      </c>
      <c r="F607" s="934">
        <v>1337225</v>
      </c>
    </row>
    <row r="608" spans="1:6" x14ac:dyDescent="0.2">
      <c r="A608" s="964" t="s">
        <v>759</v>
      </c>
      <c r="B608" s="954"/>
      <c r="C608" s="933"/>
      <c r="D608" s="978">
        <v>4479705</v>
      </c>
      <c r="E608" s="933"/>
      <c r="F608" s="934">
        <v>4479705</v>
      </c>
    </row>
    <row r="609" spans="1:6" x14ac:dyDescent="0.2">
      <c r="A609" s="964" t="s">
        <v>216</v>
      </c>
      <c r="B609" s="954"/>
      <c r="C609" s="933">
        <v>1</v>
      </c>
      <c r="D609" s="978">
        <v>1247870</v>
      </c>
      <c r="E609" s="933">
        <v>1</v>
      </c>
      <c r="F609" s="934">
        <v>1247870</v>
      </c>
    </row>
    <row r="610" spans="1:6" ht="21" thickBot="1" x14ac:dyDescent="0.25">
      <c r="A610" s="964" t="s">
        <v>530</v>
      </c>
      <c r="B610" s="954"/>
      <c r="C610" s="933"/>
      <c r="D610" s="978">
        <v>4180365</v>
      </c>
      <c r="E610" s="933"/>
      <c r="F610" s="934">
        <v>4180365</v>
      </c>
    </row>
    <row r="611" spans="1:6" s="924" customFormat="1" ht="21" thickBot="1" x14ac:dyDescent="0.25">
      <c r="A611" s="950" t="s">
        <v>117</v>
      </c>
      <c r="B611" s="938"/>
      <c r="C611" s="968">
        <f>SUM(C607:C610)</f>
        <v>2</v>
      </c>
      <c r="D611" s="940">
        <f>SUM(D607:D610)</f>
        <v>11245165</v>
      </c>
      <c r="E611" s="968">
        <f>SUM(E607:E610)</f>
        <v>2</v>
      </c>
      <c r="F611" s="940">
        <f>SUM(F607:F610)</f>
        <v>11245165</v>
      </c>
    </row>
    <row r="612" spans="1:6" s="924" customFormat="1" ht="21" thickBot="1" x14ac:dyDescent="0.25">
      <c r="A612" s="950" t="s">
        <v>198</v>
      </c>
      <c r="B612" s="938"/>
      <c r="C612" s="939">
        <f>SUM(C606,C611)</f>
        <v>129</v>
      </c>
      <c r="D612" s="940">
        <f>SUM(D606,D611)</f>
        <v>100788350</v>
      </c>
      <c r="E612" s="968">
        <f>SUM(E606,E611)</f>
        <v>128</v>
      </c>
      <c r="F612" s="940">
        <f>SUM(F606,F611)</f>
        <v>100788350</v>
      </c>
    </row>
    <row r="613" spans="1:6" x14ac:dyDescent="0.2">
      <c r="A613" s="3545" t="s">
        <v>183</v>
      </c>
      <c r="B613" s="3545"/>
      <c r="C613" s="3545"/>
      <c r="D613" s="3545"/>
      <c r="E613" s="3545"/>
      <c r="F613" s="3545"/>
    </row>
    <row r="614" spans="1:6" ht="21" thickBot="1" x14ac:dyDescent="0.25">
      <c r="A614" s="3546" t="s">
        <v>1198</v>
      </c>
      <c r="B614" s="3546"/>
      <c r="C614" s="3546"/>
      <c r="D614" s="3546"/>
      <c r="E614" s="3546"/>
      <c r="F614" s="3546"/>
    </row>
    <row r="615" spans="1:6" s="1470" customFormat="1" ht="33.75" thickBot="1" x14ac:dyDescent="0.25">
      <c r="A615" s="1904" t="s">
        <v>185</v>
      </c>
      <c r="B615" s="1905" t="s">
        <v>186</v>
      </c>
      <c r="C615" s="1906" t="s">
        <v>1128</v>
      </c>
      <c r="D615" s="1907" t="s">
        <v>1558</v>
      </c>
      <c r="E615" s="1908" t="s">
        <v>1129</v>
      </c>
      <c r="F615" s="1907" t="s">
        <v>3096</v>
      </c>
    </row>
    <row r="616" spans="1:6" s="1914" customFormat="1" ht="16.5" x14ac:dyDescent="0.25">
      <c r="A616" s="1909"/>
      <c r="B616" s="1910">
        <v>1</v>
      </c>
      <c r="C616" s="1911">
        <v>1832775</v>
      </c>
      <c r="D616" s="1912"/>
      <c r="E616" s="1913" t="s">
        <v>179</v>
      </c>
      <c r="F616" s="1911">
        <v>0</v>
      </c>
    </row>
    <row r="617" spans="1:6" s="1914" customFormat="1" ht="16.5" x14ac:dyDescent="0.25">
      <c r="A617" s="1909"/>
      <c r="B617" s="1910">
        <v>2</v>
      </c>
      <c r="C617" s="1911">
        <v>615815</v>
      </c>
      <c r="D617" s="1912"/>
      <c r="E617" s="1913" t="s">
        <v>179</v>
      </c>
      <c r="F617" s="1911">
        <v>0</v>
      </c>
    </row>
    <row r="618" spans="1:6" s="1914" customFormat="1" ht="16.5" x14ac:dyDescent="0.25">
      <c r="A618" s="1909"/>
      <c r="B618" s="1910">
        <v>3</v>
      </c>
      <c r="C618" s="1911">
        <v>4029220</v>
      </c>
      <c r="D618" s="1912"/>
      <c r="E618" s="1913">
        <v>4</v>
      </c>
      <c r="F618" s="1911">
        <v>1922369</v>
      </c>
    </row>
    <row r="619" spans="1:6" s="1914" customFormat="1" ht="16.5" x14ac:dyDescent="0.25">
      <c r="A619" s="1909"/>
      <c r="B619" s="1910">
        <v>4</v>
      </c>
      <c r="C619" s="1911">
        <v>4209785</v>
      </c>
      <c r="D619" s="1912"/>
      <c r="E619" s="1913">
        <v>14</v>
      </c>
      <c r="F619" s="1911">
        <v>6983031</v>
      </c>
    </row>
    <row r="620" spans="1:6" s="1914" customFormat="1" ht="16.5" x14ac:dyDescent="0.25">
      <c r="A620" s="1909"/>
      <c r="B620" s="1910">
        <v>5</v>
      </c>
      <c r="C620" s="1911">
        <v>862850</v>
      </c>
      <c r="D620" s="1912"/>
      <c r="E620" s="1913">
        <v>1</v>
      </c>
      <c r="F620" s="1911">
        <v>567765</v>
      </c>
    </row>
    <row r="621" spans="1:6" s="1914" customFormat="1" ht="17.25" thickBot="1" x14ac:dyDescent="0.3">
      <c r="A621" s="1909"/>
      <c r="B621" s="1910">
        <v>6</v>
      </c>
      <c r="C621" s="1911">
        <v>2218785</v>
      </c>
      <c r="D621" s="1915"/>
      <c r="E621" s="1913">
        <v>27</v>
      </c>
      <c r="F621" s="1911">
        <v>12661349</v>
      </c>
    </row>
    <row r="622" spans="1:6" s="1914" customFormat="1" ht="17.25" thickBot="1" x14ac:dyDescent="0.3">
      <c r="A622" s="1916" t="s">
        <v>187</v>
      </c>
      <c r="B622" s="1917"/>
      <c r="C622" s="1918">
        <f>SUM(C616:C621)</f>
        <v>13769230</v>
      </c>
      <c r="D622" s="1918"/>
      <c r="E622" s="1919">
        <f>SUM(E616:E621)</f>
        <v>46</v>
      </c>
      <c r="F622" s="1918">
        <f>SUM(F616:F621)</f>
        <v>22134514</v>
      </c>
    </row>
    <row r="623" spans="1:6" s="1914" customFormat="1" ht="16.5" x14ac:dyDescent="0.25">
      <c r="A623" s="1909"/>
      <c r="B623" s="1910">
        <v>7</v>
      </c>
      <c r="C623" s="1911">
        <v>4000260</v>
      </c>
      <c r="D623" s="1920"/>
      <c r="E623" s="1913">
        <v>2</v>
      </c>
      <c r="F623" s="1911">
        <v>1332989</v>
      </c>
    </row>
    <row r="624" spans="1:6" s="1914" customFormat="1" ht="16.5" x14ac:dyDescent="0.25">
      <c r="A624" s="1909"/>
      <c r="B624" s="1910">
        <v>8</v>
      </c>
      <c r="C624" s="1911">
        <v>7457300</v>
      </c>
      <c r="D624" s="1920"/>
      <c r="E624" s="1913" t="s">
        <v>179</v>
      </c>
      <c r="F624" s="1911" t="s">
        <v>179</v>
      </c>
    </row>
    <row r="625" spans="1:6" s="1914" customFormat="1" ht="16.5" x14ac:dyDescent="0.25">
      <c r="A625" s="1909"/>
      <c r="B625" s="1910">
        <v>9</v>
      </c>
      <c r="C625" s="1911">
        <v>4724870</v>
      </c>
      <c r="D625" s="1920"/>
      <c r="E625" s="1913">
        <v>3</v>
      </c>
      <c r="F625" s="1911">
        <v>2766527</v>
      </c>
    </row>
    <row r="626" spans="1:6" s="1914" customFormat="1" ht="16.5" x14ac:dyDescent="0.25">
      <c r="A626" s="1909"/>
      <c r="B626" s="1910">
        <v>10</v>
      </c>
      <c r="C626" s="1911">
        <v>5482850</v>
      </c>
      <c r="D626" s="1920"/>
      <c r="E626" s="1913">
        <v>4</v>
      </c>
      <c r="F626" s="1911">
        <v>4285595</v>
      </c>
    </row>
    <row r="627" spans="1:6" s="1914" customFormat="1" ht="17.25" thickBot="1" x14ac:dyDescent="0.3">
      <c r="A627" s="1909"/>
      <c r="B627" s="1910">
        <v>12</v>
      </c>
      <c r="C627" s="1911">
        <v>10928065</v>
      </c>
      <c r="D627" s="1920"/>
      <c r="E627" s="1913">
        <v>9</v>
      </c>
      <c r="F627" s="1911">
        <v>11077868</v>
      </c>
    </row>
    <row r="628" spans="1:6" s="1914" customFormat="1" ht="17.25" thickBot="1" x14ac:dyDescent="0.3">
      <c r="A628" s="1916" t="s">
        <v>188</v>
      </c>
      <c r="B628" s="1917"/>
      <c r="C628" s="1918">
        <f>SUM(C623:C627)</f>
        <v>32593345</v>
      </c>
      <c r="D628" s="1918">
        <f>SUM(D623:D627)</f>
        <v>0</v>
      </c>
      <c r="E628" s="1919">
        <f>SUM(E623:E627)</f>
        <v>18</v>
      </c>
      <c r="F628" s="1918">
        <f>SUM(F623:F627)</f>
        <v>19462979</v>
      </c>
    </row>
    <row r="629" spans="1:6" s="1914" customFormat="1" ht="16.5" x14ac:dyDescent="0.25">
      <c r="A629" s="1909"/>
      <c r="B629" s="1910">
        <v>13</v>
      </c>
      <c r="C629" s="1911">
        <v>16319095</v>
      </c>
      <c r="D629" s="1920"/>
      <c r="E629" s="1913">
        <v>8</v>
      </c>
      <c r="F629" s="1911">
        <v>11555950</v>
      </c>
    </row>
    <row r="630" spans="1:6" s="1914" customFormat="1" ht="16.5" x14ac:dyDescent="0.25">
      <c r="A630" s="1909"/>
      <c r="B630" s="1910">
        <v>14</v>
      </c>
      <c r="C630" s="1911">
        <v>20180120</v>
      </c>
      <c r="D630" s="1920"/>
      <c r="E630" s="1913">
        <v>27</v>
      </c>
      <c r="F630" s="1911">
        <v>44976585</v>
      </c>
    </row>
    <row r="631" spans="1:6" s="1914" customFormat="1" ht="16.5" x14ac:dyDescent="0.25">
      <c r="A631" s="1909"/>
      <c r="B631" s="1910">
        <v>15</v>
      </c>
      <c r="C631" s="1911">
        <v>10089700</v>
      </c>
      <c r="D631" s="1920"/>
      <c r="E631" s="1913">
        <v>5</v>
      </c>
      <c r="F631" s="1911">
        <v>10176711</v>
      </c>
    </row>
    <row r="632" spans="1:6" s="1914" customFormat="1" ht="17.25" thickBot="1" x14ac:dyDescent="0.3">
      <c r="A632" s="1909"/>
      <c r="B632" s="1910">
        <v>16</v>
      </c>
      <c r="C632" s="1911">
        <v>11425665</v>
      </c>
      <c r="D632" s="1920"/>
      <c r="E632" s="1913">
        <v>4</v>
      </c>
      <c r="F632" s="1911">
        <v>10290924</v>
      </c>
    </row>
    <row r="633" spans="1:6" s="1923" customFormat="1" ht="17.25" thickBot="1" x14ac:dyDescent="0.3">
      <c r="A633" s="1916" t="s">
        <v>189</v>
      </c>
      <c r="B633" s="1917"/>
      <c r="C633" s="1921">
        <f>SUM(C629:C632)</f>
        <v>58014580</v>
      </c>
      <c r="D633" s="1921">
        <f>SUM(D629:D632)</f>
        <v>0</v>
      </c>
      <c r="E633" s="1922">
        <v>44</v>
      </c>
      <c r="F633" s="1921">
        <f>SUM(F629:F632)</f>
        <v>77000170</v>
      </c>
    </row>
    <row r="634" spans="1:6" s="1923" customFormat="1" ht="17.25" thickBot="1" x14ac:dyDescent="0.3">
      <c r="A634" s="1916" t="s">
        <v>190</v>
      </c>
      <c r="B634" s="1917"/>
      <c r="C634" s="1921">
        <f>SUM(C633,C628,C622)</f>
        <v>104377155</v>
      </c>
      <c r="D634" s="1924">
        <f>SUM(D633,D628,D622)</f>
        <v>0</v>
      </c>
      <c r="E634" s="1925">
        <f>SUM(E633,E628,E622)</f>
        <v>108</v>
      </c>
      <c r="F634" s="1921">
        <f>SUM(F633,F628,F622)</f>
        <v>118597663</v>
      </c>
    </row>
    <row r="635" spans="1:6" s="1914" customFormat="1" ht="16.5" x14ac:dyDescent="0.25">
      <c r="A635" s="1926" t="s">
        <v>1533</v>
      </c>
      <c r="B635" s="1927"/>
      <c r="C635" s="1928">
        <v>5000000000</v>
      </c>
      <c r="D635" s="1929">
        <v>3397087000.7399998</v>
      </c>
      <c r="E635" s="1930"/>
      <c r="F635" s="1931">
        <v>6000000000</v>
      </c>
    </row>
    <row r="636" spans="1:6" s="1914" customFormat="1" ht="17.25" thickBot="1" x14ac:dyDescent="0.3">
      <c r="A636" s="1932" t="s">
        <v>1534</v>
      </c>
      <c r="B636" s="1933"/>
      <c r="C636" s="1911">
        <v>6200000000</v>
      </c>
      <c r="D636" s="1934"/>
      <c r="E636" s="1913"/>
      <c r="F636" s="1935">
        <v>6000000000</v>
      </c>
    </row>
    <row r="637" spans="1:6" s="1923" customFormat="1" ht="17.25" thickBot="1" x14ac:dyDescent="0.3">
      <c r="A637" s="1936" t="s">
        <v>117</v>
      </c>
      <c r="B637" s="1917"/>
      <c r="C637" s="1937">
        <f>SUM(C635:C636)</f>
        <v>11200000000</v>
      </c>
      <c r="D637" s="1938">
        <f>SUM(D635:D636)</f>
        <v>3397087000.7399998</v>
      </c>
      <c r="E637" s="1925"/>
      <c r="F637" s="1939">
        <f>SUM(F635:F636)</f>
        <v>12000000000</v>
      </c>
    </row>
    <row r="638" spans="1:6" s="1914" customFormat="1" ht="16.5" x14ac:dyDescent="0.25">
      <c r="A638" s="1932" t="s">
        <v>1777</v>
      </c>
      <c r="B638" s="1933"/>
      <c r="C638" s="1911">
        <v>100000000</v>
      </c>
      <c r="D638" s="1940">
        <v>5414220</v>
      </c>
      <c r="E638" s="1913"/>
      <c r="F638" s="1935">
        <v>30000000</v>
      </c>
    </row>
    <row r="639" spans="1:6" s="1914" customFormat="1" ht="16.5" x14ac:dyDescent="0.25">
      <c r="A639" s="1932" t="s">
        <v>1535</v>
      </c>
      <c r="B639" s="1933"/>
      <c r="C639" s="1911">
        <v>50000000</v>
      </c>
      <c r="D639" s="1940">
        <v>82329534</v>
      </c>
      <c r="E639" s="1913"/>
      <c r="F639" s="1935">
        <v>10000000</v>
      </c>
    </row>
    <row r="640" spans="1:6" s="1914" customFormat="1" ht="17.25" thickBot="1" x14ac:dyDescent="0.3">
      <c r="A640" s="1932" t="s">
        <v>1778</v>
      </c>
      <c r="B640" s="1933"/>
      <c r="C640" s="1911">
        <v>36000000</v>
      </c>
      <c r="D640" s="1940"/>
      <c r="E640" s="1913"/>
      <c r="F640" s="1935">
        <v>36000000</v>
      </c>
    </row>
    <row r="641" spans="1:6" s="1942" customFormat="1" ht="17.25" thickBot="1" x14ac:dyDescent="0.25">
      <c r="A641" s="1941" t="s">
        <v>117</v>
      </c>
      <c r="B641" s="1593"/>
      <c r="C641" s="1595">
        <f>SUM(C638:C640)</f>
        <v>186000000</v>
      </c>
      <c r="D641" s="1595">
        <f>SUM(D638:D640)</f>
        <v>87743754</v>
      </c>
      <c r="E641" s="1594">
        <f>SUM(E638:E640)</f>
        <v>0</v>
      </c>
      <c r="F641" s="1595">
        <f>SUM(F638:F640)</f>
        <v>76000000</v>
      </c>
    </row>
    <row r="642" spans="1:6" s="1914" customFormat="1" ht="16.5" x14ac:dyDescent="0.25">
      <c r="A642" s="1943" t="s">
        <v>216</v>
      </c>
      <c r="B642" s="1910"/>
      <c r="C642" s="1911">
        <v>1247870</v>
      </c>
      <c r="D642" s="1920"/>
      <c r="E642" s="1913">
        <v>1</v>
      </c>
      <c r="F642" s="1911">
        <v>1247870</v>
      </c>
    </row>
    <row r="643" spans="1:6" s="1914" customFormat="1" ht="17.25" thickBot="1" x14ac:dyDescent="0.3">
      <c r="A643" s="1943" t="s">
        <v>530</v>
      </c>
      <c r="B643" s="1910"/>
      <c r="C643" s="1911">
        <v>4180365</v>
      </c>
      <c r="D643" s="1920"/>
      <c r="E643" s="1913"/>
      <c r="F643" s="1911">
        <v>4180365</v>
      </c>
    </row>
    <row r="644" spans="1:6" s="1914" customFormat="1" ht="17.25" thickBot="1" x14ac:dyDescent="0.3">
      <c r="A644" s="1944" t="s">
        <v>117</v>
      </c>
      <c r="B644" s="1927"/>
      <c r="C644" s="1945">
        <f>SUM(C642:C643)</f>
        <v>5428235</v>
      </c>
      <c r="D644" s="1946">
        <f>SUM(D642:D643)</f>
        <v>0</v>
      </c>
      <c r="E644" s="1947">
        <f>SUM(E642:E643)</f>
        <v>1</v>
      </c>
      <c r="F644" s="1945">
        <f>SUM(F642:F643)</f>
        <v>5428235</v>
      </c>
    </row>
    <row r="645" spans="1:6" s="1942" customFormat="1" ht="17.25" thickBot="1" x14ac:dyDescent="0.25">
      <c r="A645" s="1941" t="s">
        <v>199</v>
      </c>
      <c r="B645" s="1593"/>
      <c r="C645" s="1948">
        <f>SUM(C634,C644,C637,C641)</f>
        <v>11495805390</v>
      </c>
      <c r="D645" s="1949">
        <f>SUM(D634,D644,D637,D641)</f>
        <v>3484830754.7399998</v>
      </c>
      <c r="E645" s="1950">
        <f>SUM(E634,E644,E637,E641)</f>
        <v>109</v>
      </c>
      <c r="F645" s="1951">
        <f>SUM(F634,F644,F637,F641)</f>
        <v>12200025898</v>
      </c>
    </row>
    <row r="646" spans="1:6" x14ac:dyDescent="0.2">
      <c r="A646" s="3545"/>
      <c r="B646" s="3545"/>
      <c r="C646" s="3545"/>
      <c r="D646" s="3545"/>
      <c r="E646" s="3545"/>
      <c r="F646" s="3545"/>
    </row>
    <row r="647" spans="1:6" x14ac:dyDescent="0.2">
      <c r="A647" s="3545" t="s">
        <v>183</v>
      </c>
      <c r="B647" s="3545"/>
      <c r="C647" s="3545"/>
      <c r="D647" s="3545"/>
      <c r="E647" s="3545"/>
      <c r="F647" s="3545"/>
    </row>
    <row r="648" spans="1:6" ht="21" thickBot="1" x14ac:dyDescent="0.25">
      <c r="A648" s="3546" t="s">
        <v>792</v>
      </c>
      <c r="B648" s="3546"/>
      <c r="C648" s="3546"/>
      <c r="D648" s="3546"/>
      <c r="E648" s="3546"/>
      <c r="F648" s="3546"/>
    </row>
    <row r="649" spans="1:6" s="988" customFormat="1" ht="41.25" thickBot="1" x14ac:dyDescent="0.25">
      <c r="A649" s="920" t="s">
        <v>185</v>
      </c>
      <c r="B649" s="921" t="s">
        <v>186</v>
      </c>
      <c r="C649" s="922" t="s">
        <v>564</v>
      </c>
      <c r="D649" s="923" t="s">
        <v>1128</v>
      </c>
      <c r="E649" s="1159" t="s">
        <v>1129</v>
      </c>
      <c r="F649" s="923" t="s">
        <v>3096</v>
      </c>
    </row>
    <row r="650" spans="1:6" x14ac:dyDescent="0.2">
      <c r="A650" s="925"/>
      <c r="B650" s="932">
        <v>1</v>
      </c>
      <c r="C650" s="927" t="s">
        <v>179</v>
      </c>
      <c r="D650" s="989" t="s">
        <v>179</v>
      </c>
      <c r="E650" s="1146" t="s">
        <v>179</v>
      </c>
      <c r="F650" s="934" t="s">
        <v>179</v>
      </c>
    </row>
    <row r="651" spans="1:6" x14ac:dyDescent="0.2">
      <c r="A651" s="931"/>
      <c r="B651" s="932">
        <v>2</v>
      </c>
      <c r="C651" s="933"/>
      <c r="E651" s="955"/>
      <c r="F651" s="934"/>
    </row>
    <row r="652" spans="1:6" x14ac:dyDescent="0.2">
      <c r="A652" s="931"/>
      <c r="B652" s="932">
        <v>3</v>
      </c>
      <c r="C652" s="933"/>
      <c r="E652" s="955"/>
      <c r="F652" s="934"/>
    </row>
    <row r="653" spans="1:6" x14ac:dyDescent="0.2">
      <c r="A653" s="931"/>
      <c r="B653" s="932">
        <v>4</v>
      </c>
      <c r="C653" s="933"/>
      <c r="E653" s="955"/>
      <c r="F653" s="934"/>
    </row>
    <row r="654" spans="1:6" x14ac:dyDescent="0.2">
      <c r="A654" s="931"/>
      <c r="B654" s="932">
        <v>5</v>
      </c>
      <c r="C654" s="933"/>
      <c r="E654" s="955"/>
      <c r="F654" s="934"/>
    </row>
    <row r="655" spans="1:6" ht="21" thickBot="1" x14ac:dyDescent="0.25">
      <c r="A655" s="931"/>
      <c r="B655" s="932">
        <v>6</v>
      </c>
      <c r="C655" s="933"/>
      <c r="E655" s="955"/>
      <c r="F655" s="934"/>
    </row>
    <row r="656" spans="1:6" ht="21" thickBot="1" x14ac:dyDescent="0.25">
      <c r="A656" s="937" t="s">
        <v>187</v>
      </c>
      <c r="B656" s="938"/>
      <c r="C656" s="939">
        <f>SUM(C650:C655)</f>
        <v>0</v>
      </c>
      <c r="D656" s="940">
        <f>SUM(D650:D655)</f>
        <v>0</v>
      </c>
      <c r="E656" s="959">
        <f>SUM(E650:E655)</f>
        <v>0</v>
      </c>
      <c r="F656" s="940">
        <f>SUM(F650:F655)</f>
        <v>0</v>
      </c>
    </row>
    <row r="657" spans="1:6" x14ac:dyDescent="0.2">
      <c r="A657" s="931"/>
      <c r="B657" s="932">
        <v>7</v>
      </c>
      <c r="C657" s="933"/>
      <c r="E657" s="955"/>
      <c r="F657" s="934"/>
    </row>
    <row r="658" spans="1:6" x14ac:dyDescent="0.2">
      <c r="A658" s="931"/>
      <c r="B658" s="932">
        <v>8</v>
      </c>
      <c r="C658" s="933"/>
      <c r="E658" s="955"/>
      <c r="F658" s="934"/>
    </row>
    <row r="659" spans="1:6" x14ac:dyDescent="0.2">
      <c r="A659" s="931"/>
      <c r="B659" s="932">
        <v>9</v>
      </c>
      <c r="C659" s="933"/>
      <c r="E659" s="955"/>
      <c r="F659" s="934"/>
    </row>
    <row r="660" spans="1:6" x14ac:dyDescent="0.2">
      <c r="A660" s="931"/>
      <c r="B660" s="932">
        <v>10</v>
      </c>
      <c r="C660" s="933"/>
      <c r="E660" s="955"/>
      <c r="F660" s="934"/>
    </row>
    <row r="661" spans="1:6" ht="21" thickBot="1" x14ac:dyDescent="0.25">
      <c r="A661" s="931"/>
      <c r="B661" s="932">
        <v>12</v>
      </c>
      <c r="C661" s="933"/>
      <c r="E661" s="955"/>
      <c r="F661" s="934"/>
    </row>
    <row r="662" spans="1:6" ht="21" thickBot="1" x14ac:dyDescent="0.25">
      <c r="A662" s="937" t="s">
        <v>188</v>
      </c>
      <c r="B662" s="938"/>
      <c r="C662" s="939">
        <f>SUM(C657:C661)</f>
        <v>0</v>
      </c>
      <c r="D662" s="940">
        <f>SUM(D657:D661)</f>
        <v>0</v>
      </c>
      <c r="E662" s="959">
        <f>SUM(E657:E661)</f>
        <v>0</v>
      </c>
      <c r="F662" s="940">
        <f>SUM(F657:F661)</f>
        <v>0</v>
      </c>
    </row>
    <row r="663" spans="1:6" x14ac:dyDescent="0.2">
      <c r="A663" s="931"/>
      <c r="B663" s="932">
        <v>13</v>
      </c>
      <c r="C663" s="933"/>
      <c r="E663" s="955"/>
      <c r="F663" s="934"/>
    </row>
    <row r="664" spans="1:6" x14ac:dyDescent="0.2">
      <c r="A664" s="931"/>
      <c r="B664" s="932">
        <v>14</v>
      </c>
      <c r="C664" s="933"/>
      <c r="E664" s="955"/>
      <c r="F664" s="934"/>
    </row>
    <row r="665" spans="1:6" x14ac:dyDescent="0.2">
      <c r="A665" s="931"/>
      <c r="B665" s="932">
        <v>15</v>
      </c>
      <c r="C665" s="933"/>
      <c r="E665" s="955"/>
      <c r="F665" s="934"/>
    </row>
    <row r="666" spans="1:6" ht="21" thickBot="1" x14ac:dyDescent="0.25">
      <c r="A666" s="931"/>
      <c r="B666" s="932">
        <v>16</v>
      </c>
      <c r="C666" s="933"/>
      <c r="E666" s="955"/>
      <c r="F666" s="934"/>
    </row>
    <row r="667" spans="1:6" ht="21" thickBot="1" x14ac:dyDescent="0.25">
      <c r="A667" s="937" t="s">
        <v>189</v>
      </c>
      <c r="B667" s="938"/>
      <c r="C667" s="939">
        <f>SUM(C663:C666)</f>
        <v>0</v>
      </c>
      <c r="D667" s="940">
        <f>SUM(D663:D666)</f>
        <v>0</v>
      </c>
      <c r="E667" s="959">
        <f>SUM(E663:E666)</f>
        <v>0</v>
      </c>
      <c r="F667" s="940">
        <f>SUM(F663:F666)</f>
        <v>0</v>
      </c>
    </row>
    <row r="668" spans="1:6" ht="21" thickBot="1" x14ac:dyDescent="0.25">
      <c r="A668" s="990" t="s">
        <v>190</v>
      </c>
      <c r="B668" s="991"/>
      <c r="C668" s="992">
        <f>SUM(C667,C662,C656)</f>
        <v>0</v>
      </c>
      <c r="D668" s="969">
        <f>SUM(D667,D662,D656)</f>
        <v>0</v>
      </c>
      <c r="E668" s="1147">
        <f>SUM(E667,E662,E656)</f>
        <v>0</v>
      </c>
      <c r="F668" s="969">
        <f>SUM(F667,F662,F656)</f>
        <v>0</v>
      </c>
    </row>
    <row r="669" spans="1:6" x14ac:dyDescent="0.2">
      <c r="A669" s="919" t="s">
        <v>200</v>
      </c>
      <c r="C669" s="1088">
        <v>1</v>
      </c>
      <c r="D669" s="1089">
        <v>1250110</v>
      </c>
      <c r="E669" s="1148">
        <v>1</v>
      </c>
      <c r="F669" s="1149">
        <v>1250110</v>
      </c>
    </row>
    <row r="670" spans="1:6" ht="21" thickBot="1" x14ac:dyDescent="0.25">
      <c r="A670" s="919" t="s">
        <v>201</v>
      </c>
      <c r="C670" s="1088"/>
      <c r="D670" s="1089">
        <v>4479705</v>
      </c>
      <c r="E670" s="1148"/>
      <c r="F670" s="1149">
        <v>4479705</v>
      </c>
    </row>
    <row r="671" spans="1:6" s="924" customFormat="1" ht="21" thickBot="1" x14ac:dyDescent="0.25">
      <c r="A671" s="950" t="s">
        <v>117</v>
      </c>
      <c r="B671" s="938"/>
      <c r="C671" s="968">
        <f>SUM(C669:C670)</f>
        <v>1</v>
      </c>
      <c r="D671" s="940">
        <f>SUM(D669:D670)</f>
        <v>5729815</v>
      </c>
      <c r="E671" s="962">
        <f>SUM(E669:E670)</f>
        <v>1</v>
      </c>
      <c r="F671" s="940">
        <f>SUM(F669:F670)</f>
        <v>5729815</v>
      </c>
    </row>
    <row r="672" spans="1:6" ht="21" thickBot="1" x14ac:dyDescent="0.25">
      <c r="A672" s="950" t="s">
        <v>1540</v>
      </c>
      <c r="B672" s="938"/>
      <c r="C672" s="968">
        <f>SUM(C668,C671)</f>
        <v>1</v>
      </c>
      <c r="D672" s="940">
        <f>SUM(D668,D671)</f>
        <v>5729815</v>
      </c>
      <c r="E672" s="962">
        <f>SUM(E668,E671)</f>
        <v>1</v>
      </c>
      <c r="F672" s="940">
        <f>SUM(F668,F671)</f>
        <v>5729815</v>
      </c>
    </row>
    <row r="674" spans="1:6" x14ac:dyDescent="0.2">
      <c r="A674" s="3545" t="s">
        <v>183</v>
      </c>
      <c r="B674" s="3545"/>
      <c r="C674" s="3545"/>
      <c r="D674" s="3545"/>
      <c r="E674" s="3545"/>
      <c r="F674" s="3545"/>
    </row>
    <row r="675" spans="1:6" ht="21" thickBot="1" x14ac:dyDescent="0.25">
      <c r="A675" s="3546" t="s">
        <v>760</v>
      </c>
      <c r="B675" s="3546"/>
      <c r="C675" s="3546"/>
      <c r="D675" s="3546"/>
      <c r="E675" s="3546"/>
      <c r="F675" s="3546"/>
    </row>
    <row r="676" spans="1:6" ht="41.25" thickBot="1" x14ac:dyDescent="0.25">
      <c r="A676" s="920" t="s">
        <v>185</v>
      </c>
      <c r="B676" s="921" t="s">
        <v>186</v>
      </c>
      <c r="C676" s="922" t="s">
        <v>564</v>
      </c>
      <c r="D676" s="923" t="s">
        <v>1128</v>
      </c>
      <c r="E676" s="922" t="s">
        <v>1129</v>
      </c>
      <c r="F676" s="923" t="s">
        <v>3096</v>
      </c>
    </row>
    <row r="677" spans="1:6" x14ac:dyDescent="0.3">
      <c r="A677" s="931"/>
      <c r="B677" s="954">
        <v>1</v>
      </c>
      <c r="C677" s="927">
        <v>7</v>
      </c>
      <c r="D677" s="978">
        <v>465405</v>
      </c>
      <c r="E677" s="929" t="s">
        <v>179</v>
      </c>
      <c r="F677" s="1160" t="s">
        <v>179</v>
      </c>
    </row>
    <row r="678" spans="1:6" x14ac:dyDescent="0.3">
      <c r="A678" s="931"/>
      <c r="B678" s="954">
        <v>2</v>
      </c>
      <c r="C678" s="933">
        <v>21</v>
      </c>
      <c r="D678" s="978">
        <v>2479620</v>
      </c>
      <c r="E678" s="935" t="s">
        <v>179</v>
      </c>
      <c r="F678" s="1160" t="s">
        <v>179</v>
      </c>
    </row>
    <row r="679" spans="1:6" x14ac:dyDescent="0.3">
      <c r="A679" s="931"/>
      <c r="B679" s="954">
        <v>3</v>
      </c>
      <c r="C679" s="933">
        <v>22</v>
      </c>
      <c r="D679" s="978">
        <v>2330505</v>
      </c>
      <c r="E679" s="935">
        <v>4</v>
      </c>
      <c r="F679" s="1160">
        <v>1382752</v>
      </c>
    </row>
    <row r="680" spans="1:6" x14ac:dyDescent="0.3">
      <c r="A680" s="931"/>
      <c r="B680" s="954">
        <v>4</v>
      </c>
      <c r="C680" s="933">
        <v>26</v>
      </c>
      <c r="D680" s="978">
        <v>5571875</v>
      </c>
      <c r="E680" s="935">
        <v>15</v>
      </c>
      <c r="F680" s="1160">
        <v>5655945</v>
      </c>
    </row>
    <row r="681" spans="1:6" x14ac:dyDescent="0.3">
      <c r="A681" s="931"/>
      <c r="B681" s="954">
        <v>5</v>
      </c>
      <c r="C681" s="933">
        <v>6</v>
      </c>
      <c r="D681" s="978">
        <v>851395</v>
      </c>
      <c r="E681" s="935">
        <v>6</v>
      </c>
      <c r="F681" s="1160">
        <v>2341171</v>
      </c>
    </row>
    <row r="682" spans="1:6" ht="21" thickBot="1" x14ac:dyDescent="0.35">
      <c r="A682" s="931"/>
      <c r="B682" s="954">
        <v>6</v>
      </c>
      <c r="C682" s="933">
        <v>18</v>
      </c>
      <c r="D682" s="978">
        <v>4795695</v>
      </c>
      <c r="E682" s="935">
        <v>2</v>
      </c>
      <c r="F682" s="1160">
        <v>894775</v>
      </c>
    </row>
    <row r="683" spans="1:6" ht="21" thickBot="1" x14ac:dyDescent="0.35">
      <c r="A683" s="937" t="s">
        <v>187</v>
      </c>
      <c r="B683" s="1077"/>
      <c r="C683" s="968">
        <f>SUM(C677:C682)</f>
        <v>100</v>
      </c>
      <c r="D683" s="940">
        <f>SUM(D677:D682)</f>
        <v>16494495</v>
      </c>
      <c r="E683" s="1161">
        <f>SUM(E677:E682)</f>
        <v>27</v>
      </c>
      <c r="F683" s="1162">
        <f>SUM(F677:F682)</f>
        <v>10274643</v>
      </c>
    </row>
    <row r="684" spans="1:6" x14ac:dyDescent="0.3">
      <c r="A684" s="931"/>
      <c r="B684" s="954">
        <v>7</v>
      </c>
      <c r="C684" s="933">
        <v>10</v>
      </c>
      <c r="D684" s="978">
        <v>2552015</v>
      </c>
      <c r="E684" s="935">
        <v>6</v>
      </c>
      <c r="F684" s="1160">
        <v>4067151</v>
      </c>
    </row>
    <row r="685" spans="1:6" x14ac:dyDescent="0.3">
      <c r="A685" s="931"/>
      <c r="B685" s="954">
        <v>8</v>
      </c>
      <c r="C685" s="933">
        <v>21</v>
      </c>
      <c r="D685" s="978">
        <v>13271770</v>
      </c>
      <c r="E685" s="935">
        <v>12</v>
      </c>
      <c r="F685" s="1160">
        <v>10111537</v>
      </c>
    </row>
    <row r="686" spans="1:6" x14ac:dyDescent="0.3">
      <c r="A686" s="931"/>
      <c r="B686" s="954">
        <v>9</v>
      </c>
      <c r="C686" s="933">
        <v>19</v>
      </c>
      <c r="D686" s="978">
        <v>6178260</v>
      </c>
      <c r="E686" s="935">
        <v>5</v>
      </c>
      <c r="F686" s="1160">
        <v>4962363</v>
      </c>
    </row>
    <row r="687" spans="1:6" x14ac:dyDescent="0.3">
      <c r="A687" s="931"/>
      <c r="B687" s="954">
        <v>10</v>
      </c>
      <c r="C687" s="933">
        <v>18</v>
      </c>
      <c r="D687" s="978">
        <v>7354795</v>
      </c>
      <c r="E687" s="935">
        <v>5</v>
      </c>
      <c r="F687" s="1160">
        <v>5698119</v>
      </c>
    </row>
    <row r="688" spans="1:6" ht="21" thickBot="1" x14ac:dyDescent="0.35">
      <c r="A688" s="931"/>
      <c r="B688" s="954">
        <v>12</v>
      </c>
      <c r="C688" s="933">
        <v>27</v>
      </c>
      <c r="D688" s="978">
        <v>11115530</v>
      </c>
      <c r="E688" s="935">
        <v>4</v>
      </c>
      <c r="F688" s="1163">
        <v>5188360</v>
      </c>
    </row>
    <row r="689" spans="1:6" s="924" customFormat="1" ht="21" thickBot="1" x14ac:dyDescent="0.35">
      <c r="A689" s="937" t="s">
        <v>188</v>
      </c>
      <c r="B689" s="938"/>
      <c r="C689" s="968">
        <f>SUM(C684:C688)</f>
        <v>95</v>
      </c>
      <c r="D689" s="940">
        <f>SUM(D684:D688)</f>
        <v>40472370</v>
      </c>
      <c r="E689" s="1161">
        <f>SUM(E684:E688)</f>
        <v>32</v>
      </c>
      <c r="F689" s="1162">
        <f>SUM(F684:F688)</f>
        <v>30027530</v>
      </c>
    </row>
    <row r="690" spans="1:6" x14ac:dyDescent="0.3">
      <c r="A690" s="931"/>
      <c r="B690" s="954">
        <v>13</v>
      </c>
      <c r="C690" s="933">
        <v>17</v>
      </c>
      <c r="D690" s="978">
        <v>12261195</v>
      </c>
      <c r="E690" s="935">
        <v>12</v>
      </c>
      <c r="F690" s="1163">
        <v>17135129</v>
      </c>
    </row>
    <row r="691" spans="1:6" x14ac:dyDescent="0.3">
      <c r="A691" s="931"/>
      <c r="B691" s="954">
        <v>14</v>
      </c>
      <c r="C691" s="933">
        <v>36</v>
      </c>
      <c r="D691" s="978">
        <v>18254940</v>
      </c>
      <c r="E691" s="935">
        <v>10</v>
      </c>
      <c r="F691" s="1163">
        <v>14092407</v>
      </c>
    </row>
    <row r="692" spans="1:6" x14ac:dyDescent="0.3">
      <c r="A692" s="931"/>
      <c r="B692" s="954">
        <v>15</v>
      </c>
      <c r="C692" s="933">
        <v>11</v>
      </c>
      <c r="D692" s="978">
        <v>7643405</v>
      </c>
      <c r="E692" s="935">
        <v>3</v>
      </c>
      <c r="F692" s="1163">
        <v>6103998</v>
      </c>
    </row>
    <row r="693" spans="1:6" ht="21" thickBot="1" x14ac:dyDescent="0.35">
      <c r="A693" s="931"/>
      <c r="B693" s="954">
        <v>16</v>
      </c>
      <c r="C693" s="933">
        <v>9</v>
      </c>
      <c r="D693" s="978">
        <v>14656430</v>
      </c>
      <c r="E693" s="935">
        <v>5</v>
      </c>
      <c r="F693" s="1163">
        <v>12485240</v>
      </c>
    </row>
    <row r="694" spans="1:6" s="924" customFormat="1" ht="21" thickBot="1" x14ac:dyDescent="0.35">
      <c r="A694" s="937" t="s">
        <v>189</v>
      </c>
      <c r="B694" s="938"/>
      <c r="C694" s="939">
        <f>SUM(C690:C693)</f>
        <v>73</v>
      </c>
      <c r="D694" s="940">
        <f>SUM(D690:D693)</f>
        <v>52815970</v>
      </c>
      <c r="E694" s="1164">
        <f>SUM(E690:E693)</f>
        <v>30</v>
      </c>
      <c r="F694" s="1165">
        <f>SUM(F690:F693)</f>
        <v>49816774</v>
      </c>
    </row>
    <row r="695" spans="1:6" s="924" customFormat="1" ht="21" thickBot="1" x14ac:dyDescent="0.35">
      <c r="A695" s="937" t="s">
        <v>190</v>
      </c>
      <c r="B695" s="938"/>
      <c r="C695" s="939">
        <f>SUM(C694,C689,C683)</f>
        <v>268</v>
      </c>
      <c r="D695" s="940">
        <f>SUM(D694,D689,D683)</f>
        <v>109782835</v>
      </c>
      <c r="E695" s="1166">
        <f>SUM(E694,E689,E683)</f>
        <v>89</v>
      </c>
      <c r="F695" s="1162">
        <f>SUM(F694,F689,F683)</f>
        <v>90118947</v>
      </c>
    </row>
    <row r="696" spans="1:6" x14ac:dyDescent="0.3">
      <c r="A696" s="919" t="s">
        <v>1973</v>
      </c>
      <c r="C696" s="933"/>
      <c r="D696" s="985"/>
      <c r="E696" s="929">
        <v>29</v>
      </c>
      <c r="F696" s="1160">
        <v>9931890</v>
      </c>
    </row>
    <row r="697" spans="1:6" ht="21" thickBot="1" x14ac:dyDescent="0.35">
      <c r="A697" s="919" t="s">
        <v>1974</v>
      </c>
      <c r="C697" s="933"/>
      <c r="D697" s="985"/>
      <c r="E697" s="935"/>
      <c r="F697" s="1160">
        <v>35968491</v>
      </c>
    </row>
    <row r="698" spans="1:6" ht="21" thickBot="1" x14ac:dyDescent="0.35">
      <c r="A698" s="950" t="s">
        <v>117</v>
      </c>
      <c r="B698" s="1167"/>
      <c r="C698" s="943">
        <f>SUM(C695:C697)</f>
        <v>268</v>
      </c>
      <c r="D698" s="1117">
        <f>SUM(D695:D697)</f>
        <v>109782835</v>
      </c>
      <c r="E698" s="943">
        <f>SUM(E695:E697)</f>
        <v>118</v>
      </c>
      <c r="F698" s="1117">
        <f>SUM(F695:F697)</f>
        <v>136019328</v>
      </c>
    </row>
    <row r="699" spans="1:6" x14ac:dyDescent="0.3">
      <c r="A699" s="964" t="s">
        <v>1133</v>
      </c>
      <c r="C699" s="933">
        <v>1</v>
      </c>
      <c r="D699" s="978">
        <v>1247870</v>
      </c>
      <c r="E699" s="935">
        <v>1</v>
      </c>
      <c r="F699" s="1163">
        <v>8486048</v>
      </c>
    </row>
    <row r="700" spans="1:6" ht="21" thickBot="1" x14ac:dyDescent="0.35">
      <c r="A700" s="964" t="s">
        <v>1134</v>
      </c>
      <c r="C700" s="933"/>
      <c r="D700" s="978">
        <v>4180365</v>
      </c>
      <c r="E700" s="935"/>
      <c r="F700" s="1163">
        <v>4180365</v>
      </c>
    </row>
    <row r="701" spans="1:6" ht="21" thickBot="1" x14ac:dyDescent="0.35">
      <c r="A701" s="1168" t="s">
        <v>117</v>
      </c>
      <c r="B701" s="1077"/>
      <c r="C701" s="1161">
        <f>SUM(C699:C700)</f>
        <v>1</v>
      </c>
      <c r="D701" s="1162">
        <f>SUM(D699:D700)</f>
        <v>5428235</v>
      </c>
      <c r="E701" s="1161">
        <f>SUM(E699:E700)</f>
        <v>1</v>
      </c>
      <c r="F701" s="1162">
        <f>SUM(F699:F700)</f>
        <v>12666413</v>
      </c>
    </row>
    <row r="702" spans="1:6" ht="21" thickBot="1" x14ac:dyDescent="0.35">
      <c r="A702" s="1169" t="s">
        <v>2672</v>
      </c>
      <c r="B702" s="1077"/>
      <c r="C702" s="1170">
        <f>C698+C701</f>
        <v>269</v>
      </c>
      <c r="D702" s="1171">
        <f>SUM(D698,D701)</f>
        <v>115211070</v>
      </c>
      <c r="E702" s="1170">
        <f>E698+E701</f>
        <v>119</v>
      </c>
      <c r="F702" s="1171">
        <f>SUM(F698,F701)</f>
        <v>148685741</v>
      </c>
    </row>
    <row r="703" spans="1:6" x14ac:dyDescent="0.2">
      <c r="A703" s="3545"/>
      <c r="B703" s="3545"/>
      <c r="C703" s="3545"/>
      <c r="D703" s="3545"/>
      <c r="E703" s="3545"/>
      <c r="F703" s="3545"/>
    </row>
    <row r="704" spans="1:6" x14ac:dyDescent="0.2">
      <c r="A704" s="3545" t="s">
        <v>183</v>
      </c>
      <c r="B704" s="3545"/>
      <c r="C704" s="3545"/>
      <c r="D704" s="3545"/>
      <c r="E704" s="3545"/>
      <c r="F704" s="3545"/>
    </row>
    <row r="705" spans="1:6" ht="21" thickBot="1" x14ac:dyDescent="0.25">
      <c r="A705" s="3546" t="s">
        <v>761</v>
      </c>
      <c r="B705" s="3546"/>
      <c r="C705" s="3546"/>
      <c r="D705" s="3546"/>
      <c r="E705" s="3546"/>
      <c r="F705" s="3546"/>
    </row>
    <row r="706" spans="1:6" ht="41.25" thickBot="1" x14ac:dyDescent="0.25">
      <c r="A706" s="920" t="s">
        <v>185</v>
      </c>
      <c r="B706" s="921" t="s">
        <v>186</v>
      </c>
      <c r="C706" s="922" t="s">
        <v>564</v>
      </c>
      <c r="D706" s="923" t="s">
        <v>1128</v>
      </c>
      <c r="E706" s="922" t="s">
        <v>1129</v>
      </c>
      <c r="F706" s="923" t="s">
        <v>3096</v>
      </c>
    </row>
    <row r="707" spans="1:6" x14ac:dyDescent="0.3">
      <c r="A707" s="931"/>
      <c r="B707" s="954">
        <v>1</v>
      </c>
      <c r="C707" s="927" t="s">
        <v>179</v>
      </c>
      <c r="D707" s="978" t="s">
        <v>130</v>
      </c>
      <c r="E707" s="1111" t="s">
        <v>1483</v>
      </c>
      <c r="F707" s="958">
        <v>0</v>
      </c>
    </row>
    <row r="708" spans="1:6" x14ac:dyDescent="0.3">
      <c r="A708" s="931"/>
      <c r="B708" s="954">
        <v>2</v>
      </c>
      <c r="C708" s="933">
        <v>4</v>
      </c>
      <c r="D708" s="978">
        <v>1231670</v>
      </c>
      <c r="E708" s="1114">
        <v>4</v>
      </c>
      <c r="F708" s="958">
        <v>1775922</v>
      </c>
    </row>
    <row r="709" spans="1:6" x14ac:dyDescent="0.3">
      <c r="A709" s="931"/>
      <c r="B709" s="954">
        <v>3</v>
      </c>
      <c r="C709" s="933">
        <v>3</v>
      </c>
      <c r="D709" s="978">
        <v>973500</v>
      </c>
      <c r="E709" s="1114">
        <v>3</v>
      </c>
      <c r="F709" s="958">
        <v>1392618</v>
      </c>
    </row>
    <row r="710" spans="1:6" x14ac:dyDescent="0.3">
      <c r="A710" s="931"/>
      <c r="B710" s="954">
        <v>4</v>
      </c>
      <c r="C710" s="933">
        <v>20</v>
      </c>
      <c r="D710" s="978">
        <v>6832990</v>
      </c>
      <c r="E710" s="1114">
        <v>19</v>
      </c>
      <c r="F710" s="936">
        <v>8687215</v>
      </c>
    </row>
    <row r="711" spans="1:6" x14ac:dyDescent="0.3">
      <c r="A711" s="931"/>
      <c r="B711" s="954">
        <v>5</v>
      </c>
      <c r="C711" s="933">
        <v>8</v>
      </c>
      <c r="D711" s="978">
        <v>3054860</v>
      </c>
      <c r="E711" s="1114">
        <v>7</v>
      </c>
      <c r="F711" s="936">
        <v>3719479</v>
      </c>
    </row>
    <row r="712" spans="1:6" ht="21" thickBot="1" x14ac:dyDescent="0.35">
      <c r="A712" s="931"/>
      <c r="B712" s="954">
        <v>6</v>
      </c>
      <c r="C712" s="933">
        <v>16</v>
      </c>
      <c r="D712" s="978">
        <v>7105310</v>
      </c>
      <c r="E712" s="1114">
        <v>15</v>
      </c>
      <c r="F712" s="936">
        <v>8650127</v>
      </c>
    </row>
    <row r="713" spans="1:6" ht="21" thickBot="1" x14ac:dyDescent="0.35">
      <c r="A713" s="937" t="s">
        <v>187</v>
      </c>
      <c r="B713" s="1077"/>
      <c r="C713" s="968">
        <f>SUM(C707:C712)</f>
        <v>51</v>
      </c>
      <c r="D713" s="940">
        <f>SUM(D707:D712)</f>
        <v>19198330</v>
      </c>
      <c r="E713" s="1058">
        <f>SUM(E707:E712)</f>
        <v>48</v>
      </c>
      <c r="F713" s="961">
        <f>SUM(F707:F712)</f>
        <v>24225361</v>
      </c>
    </row>
    <row r="714" spans="1:6" x14ac:dyDescent="0.3">
      <c r="A714" s="931"/>
      <c r="B714" s="954">
        <v>7</v>
      </c>
      <c r="C714" s="933">
        <v>9</v>
      </c>
      <c r="D714" s="978">
        <v>5713960</v>
      </c>
      <c r="E714" s="1114">
        <v>7</v>
      </c>
      <c r="F714" s="936">
        <v>4472714</v>
      </c>
    </row>
    <row r="715" spans="1:6" x14ac:dyDescent="0.3">
      <c r="A715" s="931"/>
      <c r="B715" s="954">
        <v>8</v>
      </c>
      <c r="C715" s="933">
        <v>18</v>
      </c>
      <c r="D715" s="978">
        <v>13878525</v>
      </c>
      <c r="E715" s="1114">
        <v>4</v>
      </c>
      <c r="F715" s="936">
        <v>3233526</v>
      </c>
    </row>
    <row r="716" spans="1:6" x14ac:dyDescent="0.3">
      <c r="A716" s="931"/>
      <c r="B716" s="954">
        <v>9</v>
      </c>
      <c r="C716" s="933">
        <v>5</v>
      </c>
      <c r="D716" s="978">
        <v>4595315</v>
      </c>
      <c r="E716" s="1114">
        <v>21</v>
      </c>
      <c r="F716" s="936">
        <v>20714319</v>
      </c>
    </row>
    <row r="717" spans="1:6" x14ac:dyDescent="0.3">
      <c r="A717" s="931"/>
      <c r="B717" s="954">
        <v>10</v>
      </c>
      <c r="C717" s="933"/>
      <c r="D717" s="978"/>
      <c r="E717" s="1114">
        <v>0</v>
      </c>
      <c r="F717" s="936">
        <v>0</v>
      </c>
    </row>
    <row r="718" spans="1:6" ht="21" thickBot="1" x14ac:dyDescent="0.35">
      <c r="A718" s="931"/>
      <c r="B718" s="954">
        <v>12</v>
      </c>
      <c r="C718" s="933">
        <v>1</v>
      </c>
      <c r="D718" s="978">
        <v>1160985</v>
      </c>
      <c r="E718" s="1114">
        <v>0</v>
      </c>
      <c r="F718" s="936">
        <v>0</v>
      </c>
    </row>
    <row r="719" spans="1:6" ht="21" thickBot="1" x14ac:dyDescent="0.35">
      <c r="A719" s="937" t="s">
        <v>188</v>
      </c>
      <c r="B719" s="1077"/>
      <c r="C719" s="968">
        <f>SUM(C714:C718)</f>
        <v>33</v>
      </c>
      <c r="D719" s="940">
        <f>SUM(D714:D718)</f>
        <v>25348785</v>
      </c>
      <c r="E719" s="1058">
        <f>SUM(E714:E718)</f>
        <v>32</v>
      </c>
      <c r="F719" s="961">
        <f>SUM(F714:F718)</f>
        <v>28420559</v>
      </c>
    </row>
    <row r="720" spans="1:6" x14ac:dyDescent="0.3">
      <c r="A720" s="931"/>
      <c r="B720" s="954">
        <v>13</v>
      </c>
      <c r="C720" s="933">
        <v>22</v>
      </c>
      <c r="D720" s="978">
        <v>27849210</v>
      </c>
      <c r="E720" s="1114">
        <v>14</v>
      </c>
      <c r="F720" s="936">
        <v>19470613</v>
      </c>
    </row>
    <row r="721" spans="1:6" x14ac:dyDescent="0.3">
      <c r="A721" s="931"/>
      <c r="B721" s="954">
        <v>14</v>
      </c>
      <c r="C721" s="933">
        <v>24</v>
      </c>
      <c r="D721" s="978">
        <v>33509500</v>
      </c>
      <c r="E721" s="1114">
        <v>29</v>
      </c>
      <c r="F721" s="936">
        <v>44956420</v>
      </c>
    </row>
    <row r="722" spans="1:6" x14ac:dyDescent="0.3">
      <c r="A722" s="931"/>
      <c r="B722" s="954">
        <v>15</v>
      </c>
      <c r="C722" s="933">
        <v>15</v>
      </c>
      <c r="D722" s="978">
        <v>28048080</v>
      </c>
      <c r="E722" s="1114">
        <v>10</v>
      </c>
      <c r="F722" s="936">
        <v>19721494</v>
      </c>
    </row>
    <row r="723" spans="1:6" ht="21" thickBot="1" x14ac:dyDescent="0.35">
      <c r="A723" s="931"/>
      <c r="B723" s="954">
        <v>16</v>
      </c>
      <c r="C723" s="933">
        <v>11</v>
      </c>
      <c r="D723" s="978">
        <v>21992475</v>
      </c>
      <c r="E723" s="1114">
        <v>12</v>
      </c>
      <c r="F723" s="936">
        <v>28898593</v>
      </c>
    </row>
    <row r="724" spans="1:6" ht="21" thickBot="1" x14ac:dyDescent="0.35">
      <c r="A724" s="937" t="s">
        <v>189</v>
      </c>
      <c r="B724" s="1077"/>
      <c r="C724" s="939">
        <f>SUM(C720:C723)</f>
        <v>72</v>
      </c>
      <c r="D724" s="1032">
        <f>SUM(D720:D723)</f>
        <v>111399265</v>
      </c>
      <c r="E724" s="1125">
        <f>SUM(E720:E723)</f>
        <v>65</v>
      </c>
      <c r="F724" s="942">
        <f>SUM(F720:F723)</f>
        <v>113047120</v>
      </c>
    </row>
    <row r="725" spans="1:6" ht="21" thickBot="1" x14ac:dyDescent="0.35">
      <c r="A725" s="937" t="s">
        <v>190</v>
      </c>
      <c r="B725" s="1077"/>
      <c r="C725" s="939">
        <f>SUM(C724,C719,C713)</f>
        <v>156</v>
      </c>
      <c r="D725" s="1032">
        <f>SUM(D724,D719,D713)</f>
        <v>155946380</v>
      </c>
      <c r="E725" s="1172">
        <f>SUM(E724,E719,E713)</f>
        <v>145</v>
      </c>
      <c r="F725" s="942">
        <f>SUM(F724,F719,F713)</f>
        <v>165693040</v>
      </c>
    </row>
    <row r="726" spans="1:6" x14ac:dyDescent="0.3">
      <c r="A726" s="964" t="s">
        <v>1133</v>
      </c>
      <c r="B726" s="946"/>
      <c r="C726" s="947">
        <v>1</v>
      </c>
      <c r="D726" s="1173">
        <v>1247870</v>
      </c>
      <c r="E726" s="1111">
        <v>1</v>
      </c>
      <c r="F726" s="1163">
        <v>8486048</v>
      </c>
    </row>
    <row r="727" spans="1:6" x14ac:dyDescent="0.3">
      <c r="A727" s="964" t="s">
        <v>1134</v>
      </c>
      <c r="B727" s="948"/>
      <c r="D727" s="1174">
        <v>4180365</v>
      </c>
      <c r="E727" s="1114"/>
      <c r="F727" s="1163">
        <v>4180365</v>
      </c>
    </row>
    <row r="728" spans="1:6" ht="21" thickBot="1" x14ac:dyDescent="0.35">
      <c r="A728" s="964" t="s">
        <v>2529</v>
      </c>
      <c r="B728" s="948"/>
      <c r="D728" s="1174"/>
      <c r="E728" s="1175"/>
      <c r="F728" s="1163">
        <v>5428235</v>
      </c>
    </row>
    <row r="729" spans="1:6" s="924" customFormat="1" ht="21" thickBot="1" x14ac:dyDescent="0.35">
      <c r="A729" s="1176" t="s">
        <v>117</v>
      </c>
      <c r="B729" s="951"/>
      <c r="C729" s="952">
        <f>SUM(C726:C727)</f>
        <v>1</v>
      </c>
      <c r="D729" s="940">
        <f>SUM(D726:D727)</f>
        <v>5428235</v>
      </c>
      <c r="E729" s="1175">
        <f>SUM(E726:E727)</f>
        <v>1</v>
      </c>
      <c r="F729" s="942">
        <f>SUM(F726:F728)</f>
        <v>18094648</v>
      </c>
    </row>
    <row r="730" spans="1:6" ht="21" thickBot="1" x14ac:dyDescent="0.35">
      <c r="A730" s="1169" t="s">
        <v>2673</v>
      </c>
      <c r="B730" s="951"/>
      <c r="C730" s="952"/>
      <c r="D730" s="940">
        <f>SUM(D729,D725)</f>
        <v>161374615</v>
      </c>
      <c r="E730" s="1144">
        <f t="shared" ref="E730" si="0">E729+E725</f>
        <v>146</v>
      </c>
      <c r="F730" s="942">
        <f>SUM(F729,F725)</f>
        <v>183787688</v>
      </c>
    </row>
    <row r="731" spans="1:6" x14ac:dyDescent="0.2">
      <c r="A731" s="3545"/>
      <c r="B731" s="3545"/>
      <c r="C731" s="3545"/>
      <c r="D731" s="3545"/>
      <c r="E731" s="3545"/>
      <c r="F731" s="3545"/>
    </row>
    <row r="732" spans="1:6" x14ac:dyDescent="0.2">
      <c r="A732" s="3545" t="s">
        <v>183</v>
      </c>
      <c r="B732" s="3545"/>
      <c r="C732" s="3545"/>
      <c r="D732" s="3545"/>
      <c r="E732" s="3545"/>
      <c r="F732" s="3545"/>
    </row>
    <row r="733" spans="1:6" ht="21" thickBot="1" x14ac:dyDescent="0.25">
      <c r="A733" s="3546" t="s">
        <v>345</v>
      </c>
      <c r="B733" s="3546"/>
      <c r="C733" s="3546"/>
      <c r="D733" s="3546"/>
      <c r="E733" s="3546"/>
      <c r="F733" s="3546"/>
    </row>
    <row r="734" spans="1:6" s="988" customFormat="1" ht="41.25" thickBot="1" x14ac:dyDescent="0.25">
      <c r="A734" s="920" t="s">
        <v>185</v>
      </c>
      <c r="B734" s="921" t="s">
        <v>186</v>
      </c>
      <c r="C734" s="922" t="s">
        <v>564</v>
      </c>
      <c r="D734" s="923" t="s">
        <v>1128</v>
      </c>
      <c r="E734" s="922" t="s">
        <v>1129</v>
      </c>
      <c r="F734" s="923" t="s">
        <v>3096</v>
      </c>
    </row>
    <row r="735" spans="1:6" x14ac:dyDescent="0.2">
      <c r="A735" s="931"/>
      <c r="B735" s="932">
        <v>1</v>
      </c>
      <c r="C735" s="927">
        <v>1</v>
      </c>
      <c r="D735" s="1177">
        <v>223880</v>
      </c>
      <c r="E735" s="1178">
        <v>1</v>
      </c>
      <c r="F735" s="1177">
        <v>223878</v>
      </c>
    </row>
    <row r="736" spans="1:6" x14ac:dyDescent="0.2">
      <c r="A736" s="931"/>
      <c r="B736" s="932">
        <v>2</v>
      </c>
      <c r="C736" s="933">
        <v>2</v>
      </c>
      <c r="D736" s="1179">
        <v>465865</v>
      </c>
      <c r="E736" s="1180">
        <v>2</v>
      </c>
      <c r="F736" s="1179">
        <v>465864</v>
      </c>
    </row>
    <row r="737" spans="1:6" x14ac:dyDescent="0.2">
      <c r="A737" s="931"/>
      <c r="B737" s="932">
        <v>3</v>
      </c>
      <c r="C737" s="933">
        <v>9</v>
      </c>
      <c r="D737" s="1179">
        <v>2594375</v>
      </c>
      <c r="E737" s="1180">
        <v>9</v>
      </c>
      <c r="F737" s="1179">
        <v>2573374</v>
      </c>
    </row>
    <row r="738" spans="1:6" x14ac:dyDescent="0.2">
      <c r="A738" s="931"/>
      <c r="B738" s="932">
        <v>4</v>
      </c>
      <c r="C738" s="933">
        <v>8</v>
      </c>
      <c r="D738" s="1179">
        <v>2378860</v>
      </c>
      <c r="E738" s="1180">
        <v>8</v>
      </c>
      <c r="F738" s="1179">
        <v>2378862</v>
      </c>
    </row>
    <row r="739" spans="1:6" x14ac:dyDescent="0.2">
      <c r="A739" s="931"/>
      <c r="B739" s="932">
        <v>5</v>
      </c>
      <c r="C739" s="933">
        <v>8</v>
      </c>
      <c r="D739" s="1179">
        <v>3171720</v>
      </c>
      <c r="E739" s="1180">
        <v>7</v>
      </c>
      <c r="F739" s="1179">
        <v>2775255</v>
      </c>
    </row>
    <row r="740" spans="1:6" ht="21" thickBot="1" x14ac:dyDescent="0.25">
      <c r="A740" s="931"/>
      <c r="B740" s="932">
        <v>6</v>
      </c>
      <c r="C740" s="933">
        <v>3</v>
      </c>
      <c r="D740" s="1181">
        <v>1443060</v>
      </c>
      <c r="E740" s="1180">
        <v>3</v>
      </c>
      <c r="F740" s="1181">
        <v>1443063</v>
      </c>
    </row>
    <row r="741" spans="1:6" ht="21" thickBot="1" x14ac:dyDescent="0.25">
      <c r="A741" s="937" t="s">
        <v>187</v>
      </c>
      <c r="B741" s="938"/>
      <c r="C741" s="968">
        <f>SUM(C735:C740)</f>
        <v>31</v>
      </c>
      <c r="D741" s="1182">
        <f>SUM(D735:D740)</f>
        <v>10277760</v>
      </c>
      <c r="E741" s="968">
        <v>30</v>
      </c>
      <c r="F741" s="1182">
        <v>9860295.6000000015</v>
      </c>
    </row>
    <row r="742" spans="1:6" x14ac:dyDescent="0.2">
      <c r="A742" s="931"/>
      <c r="B742" s="932">
        <v>7</v>
      </c>
      <c r="C742" s="933">
        <v>3</v>
      </c>
      <c r="D742" s="1179">
        <v>2513910</v>
      </c>
      <c r="E742" s="1180">
        <v>4</v>
      </c>
      <c r="F742" s="1179">
        <v>2513912</v>
      </c>
    </row>
    <row r="743" spans="1:6" x14ac:dyDescent="0.2">
      <c r="A743" s="931"/>
      <c r="B743" s="932">
        <v>8</v>
      </c>
      <c r="C743" s="933">
        <v>2</v>
      </c>
      <c r="D743" s="1179">
        <v>765900</v>
      </c>
      <c r="E743" s="1180">
        <v>1</v>
      </c>
      <c r="F743" s="1179">
        <v>765902</v>
      </c>
    </row>
    <row r="744" spans="1:6" x14ac:dyDescent="0.2">
      <c r="A744" s="931"/>
      <c r="B744" s="932">
        <v>9</v>
      </c>
      <c r="C744" s="933">
        <v>2</v>
      </c>
      <c r="D744" s="1179">
        <v>1846840</v>
      </c>
      <c r="E744" s="1180">
        <v>2</v>
      </c>
      <c r="F744" s="1179">
        <v>1846842</v>
      </c>
    </row>
    <row r="745" spans="1:6" x14ac:dyDescent="0.2">
      <c r="A745" s="931"/>
      <c r="B745" s="932">
        <v>10</v>
      </c>
      <c r="C745" s="933">
        <v>1</v>
      </c>
      <c r="D745" s="1179">
        <v>1745210</v>
      </c>
      <c r="E745" s="1180">
        <v>1</v>
      </c>
      <c r="F745" s="1179">
        <v>923421</v>
      </c>
    </row>
    <row r="746" spans="1:6" ht="21" thickBot="1" x14ac:dyDescent="0.25">
      <c r="A746" s="931"/>
      <c r="B746" s="932">
        <v>12</v>
      </c>
      <c r="C746" s="933">
        <v>4</v>
      </c>
      <c r="D746" s="1183">
        <v>3482300</v>
      </c>
      <c r="E746" s="1180">
        <v>3</v>
      </c>
      <c r="F746" s="1183">
        <v>3482230</v>
      </c>
    </row>
    <row r="747" spans="1:6" ht="21" thickBot="1" x14ac:dyDescent="0.25">
      <c r="A747" s="937" t="s">
        <v>188</v>
      </c>
      <c r="B747" s="938"/>
      <c r="C747" s="968">
        <f>SUM(C742:C746)</f>
        <v>12</v>
      </c>
      <c r="D747" s="1182">
        <f>SUM(D742:D746)</f>
        <v>10354160</v>
      </c>
      <c r="E747" s="968">
        <v>11</v>
      </c>
      <c r="F747" s="1182">
        <v>9532376.879999999</v>
      </c>
    </row>
    <row r="748" spans="1:6" x14ac:dyDescent="0.2">
      <c r="A748" s="931"/>
      <c r="B748" s="932">
        <v>13</v>
      </c>
      <c r="C748" s="933">
        <v>4</v>
      </c>
      <c r="D748" s="1179">
        <v>4676730</v>
      </c>
      <c r="E748" s="1180">
        <v>2</v>
      </c>
      <c r="F748" s="1179">
        <v>3517349</v>
      </c>
    </row>
    <row r="749" spans="1:6" x14ac:dyDescent="0.2">
      <c r="A749" s="931"/>
      <c r="B749" s="932">
        <v>14</v>
      </c>
      <c r="C749" s="933">
        <v>11</v>
      </c>
      <c r="D749" s="1179">
        <v>8453005</v>
      </c>
      <c r="E749" s="1180">
        <v>10</v>
      </c>
      <c r="F749" s="1179">
        <v>7475336</v>
      </c>
    </row>
    <row r="750" spans="1:6" x14ac:dyDescent="0.2">
      <c r="A750" s="931"/>
      <c r="B750" s="932">
        <v>15</v>
      </c>
      <c r="C750" s="933">
        <v>2</v>
      </c>
      <c r="D750" s="1179">
        <v>2817165</v>
      </c>
      <c r="E750" s="1180">
        <v>1</v>
      </c>
      <c r="F750" s="1179">
        <v>2817166</v>
      </c>
    </row>
    <row r="751" spans="1:6" ht="21" thickBot="1" x14ac:dyDescent="0.25">
      <c r="A751" s="931"/>
      <c r="B751" s="932">
        <v>16</v>
      </c>
      <c r="C751" s="933">
        <v>0</v>
      </c>
      <c r="D751" s="1183" t="s">
        <v>762</v>
      </c>
      <c r="E751" s="1180">
        <v>0</v>
      </c>
      <c r="F751" s="1183">
        <v>0</v>
      </c>
    </row>
    <row r="752" spans="1:6" ht="21" thickBot="1" x14ac:dyDescent="0.25">
      <c r="A752" s="937" t="s">
        <v>189</v>
      </c>
      <c r="B752" s="938"/>
      <c r="C752" s="968">
        <f>SUM(C748:C751)</f>
        <v>17</v>
      </c>
      <c r="D752" s="1182">
        <f>SUM(D748:D751)</f>
        <v>15946900</v>
      </c>
      <c r="E752" s="968">
        <f>SUM(E748:E751)</f>
        <v>13</v>
      </c>
      <c r="F752" s="1182">
        <f>SUM(F748:F751)</f>
        <v>13809851</v>
      </c>
    </row>
    <row r="753" spans="1:6" ht="21" thickBot="1" x14ac:dyDescent="0.25">
      <c r="A753" s="937" t="s">
        <v>190</v>
      </c>
      <c r="B753" s="938"/>
      <c r="C753" s="939">
        <f>SUM(C752,C747,C741)</f>
        <v>60</v>
      </c>
      <c r="D753" s="1184">
        <f>SUM(D752,D747,D741)</f>
        <v>36578820</v>
      </c>
      <c r="E753" s="1185">
        <f>SUM(E752,E747,E741)</f>
        <v>54</v>
      </c>
      <c r="F753" s="1182">
        <f>SUM(F752,F747,F741)</f>
        <v>33202523.48</v>
      </c>
    </row>
    <row r="754" spans="1:6" x14ac:dyDescent="0.2">
      <c r="A754" s="919" t="s">
        <v>534</v>
      </c>
      <c r="C754" s="1146">
        <v>1</v>
      </c>
      <c r="D754" s="1186">
        <v>1337225</v>
      </c>
      <c r="E754" s="927">
        <v>1</v>
      </c>
      <c r="F754" s="1187">
        <v>1337225</v>
      </c>
    </row>
    <row r="755" spans="1:6" x14ac:dyDescent="0.2">
      <c r="A755" s="919" t="s">
        <v>763</v>
      </c>
      <c r="C755" s="955">
        <v>4</v>
      </c>
      <c r="D755" s="1174">
        <v>5440660</v>
      </c>
      <c r="E755" s="933">
        <v>4</v>
      </c>
      <c r="F755" s="1188">
        <v>5440660</v>
      </c>
    </row>
    <row r="756" spans="1:6" x14ac:dyDescent="0.2">
      <c r="A756" s="919" t="s">
        <v>764</v>
      </c>
      <c r="C756" s="955"/>
      <c r="D756" s="1174">
        <v>31374495</v>
      </c>
      <c r="E756" s="933"/>
      <c r="F756" s="1188">
        <v>31374495</v>
      </c>
    </row>
    <row r="757" spans="1:6" x14ac:dyDescent="0.2">
      <c r="A757" s="919" t="s">
        <v>733</v>
      </c>
      <c r="C757" s="955">
        <v>1</v>
      </c>
      <c r="D757" s="1174">
        <v>1247870</v>
      </c>
      <c r="E757" s="933">
        <v>1</v>
      </c>
      <c r="F757" s="1188">
        <v>1247870</v>
      </c>
    </row>
    <row r="758" spans="1:6" ht="21" thickBot="1" x14ac:dyDescent="0.25">
      <c r="A758" s="919" t="s">
        <v>734</v>
      </c>
      <c r="C758" s="955"/>
      <c r="D758" s="1189">
        <v>4180365</v>
      </c>
      <c r="E758" s="1086"/>
      <c r="F758" s="1190">
        <v>4180365</v>
      </c>
    </row>
    <row r="759" spans="1:6" s="924" customFormat="1" ht="21" thickBot="1" x14ac:dyDescent="0.25">
      <c r="A759" s="950" t="s">
        <v>270</v>
      </c>
      <c r="B759" s="938"/>
      <c r="C759" s="939">
        <f>SUM(C754:C758)</f>
        <v>6</v>
      </c>
      <c r="D759" s="1191">
        <f>SUM(D754:D758)</f>
        <v>43580615</v>
      </c>
      <c r="E759" s="992">
        <f>SUM(E754:E758)</f>
        <v>6</v>
      </c>
      <c r="F759" s="1192">
        <f>SUM(F754:F758)</f>
        <v>43580615</v>
      </c>
    </row>
    <row r="760" spans="1:6" ht="21" thickBot="1" x14ac:dyDescent="0.25">
      <c r="A760" s="950" t="s">
        <v>2674</v>
      </c>
      <c r="B760" s="938"/>
      <c r="C760" s="939">
        <f>SUM(C753,C759)</f>
        <v>66</v>
      </c>
      <c r="D760" s="982">
        <f>SUM(D753,D759)</f>
        <v>80159435</v>
      </c>
      <c r="E760" s="939">
        <f>SUM(E753,E759)</f>
        <v>60</v>
      </c>
      <c r="F760" s="982">
        <f>SUM(F753,F759)</f>
        <v>76783138.480000004</v>
      </c>
    </row>
    <row r="761" spans="1:6" x14ac:dyDescent="0.2">
      <c r="A761" s="3545"/>
      <c r="B761" s="3545"/>
      <c r="C761" s="3545"/>
      <c r="D761" s="3545"/>
      <c r="E761" s="3545"/>
      <c r="F761" s="3545"/>
    </row>
    <row r="762" spans="1:6" x14ac:dyDescent="0.2">
      <c r="A762" s="3545" t="s">
        <v>183</v>
      </c>
      <c r="B762" s="3545"/>
      <c r="C762" s="3545"/>
      <c r="D762" s="3545"/>
      <c r="E762" s="3545"/>
      <c r="F762" s="3545"/>
    </row>
    <row r="763" spans="1:6" ht="21" thickBot="1" x14ac:dyDescent="0.25">
      <c r="A763" s="3546" t="s">
        <v>2675</v>
      </c>
      <c r="B763" s="3546"/>
      <c r="C763" s="3546"/>
      <c r="D763" s="3546"/>
      <c r="E763" s="3546"/>
      <c r="F763" s="3546"/>
    </row>
    <row r="764" spans="1:6" s="988" customFormat="1" ht="41.25" thickBot="1" x14ac:dyDescent="0.25">
      <c r="A764" s="920" t="s">
        <v>185</v>
      </c>
      <c r="B764" s="921" t="s">
        <v>186</v>
      </c>
      <c r="C764" s="922" t="s">
        <v>564</v>
      </c>
      <c r="D764" s="923" t="s">
        <v>1128</v>
      </c>
      <c r="E764" s="922" t="s">
        <v>1129</v>
      </c>
      <c r="F764" s="923" t="s">
        <v>3096</v>
      </c>
    </row>
    <row r="765" spans="1:6" x14ac:dyDescent="0.3">
      <c r="A765" s="931"/>
      <c r="B765" s="932">
        <v>1</v>
      </c>
      <c r="C765" s="927" t="s">
        <v>179</v>
      </c>
      <c r="D765" s="989" t="s">
        <v>179</v>
      </c>
      <c r="E765" s="1111" t="s">
        <v>179</v>
      </c>
      <c r="F765" s="1193" t="s">
        <v>179</v>
      </c>
    </row>
    <row r="766" spans="1:6" x14ac:dyDescent="0.3">
      <c r="A766" s="931"/>
      <c r="B766" s="932">
        <v>2</v>
      </c>
      <c r="C766" s="933" t="s">
        <v>179</v>
      </c>
      <c r="D766" s="989">
        <v>2570630</v>
      </c>
      <c r="E766" s="1114" t="s">
        <v>179</v>
      </c>
      <c r="F766" s="1193" t="s">
        <v>179</v>
      </c>
    </row>
    <row r="767" spans="1:6" x14ac:dyDescent="0.3">
      <c r="A767" s="931"/>
      <c r="B767" s="932">
        <v>3</v>
      </c>
      <c r="C767" s="933" t="s">
        <v>179</v>
      </c>
      <c r="D767" s="989" t="s">
        <v>765</v>
      </c>
      <c r="E767" s="1114" t="s">
        <v>179</v>
      </c>
      <c r="F767" s="1193" t="s">
        <v>179</v>
      </c>
    </row>
    <row r="768" spans="1:6" x14ac:dyDescent="0.3">
      <c r="A768" s="931"/>
      <c r="B768" s="932">
        <v>4</v>
      </c>
      <c r="C768" s="933">
        <v>10</v>
      </c>
      <c r="D768" s="989">
        <v>2232020</v>
      </c>
      <c r="E768" s="1114">
        <v>1</v>
      </c>
      <c r="F768" s="1193">
        <v>504452</v>
      </c>
    </row>
    <row r="769" spans="1:6" x14ac:dyDescent="0.3">
      <c r="A769" s="931"/>
      <c r="B769" s="932">
        <v>5</v>
      </c>
      <c r="C769" s="933">
        <v>1</v>
      </c>
      <c r="D769" s="989">
        <v>337095</v>
      </c>
      <c r="E769" s="1114" t="s">
        <v>179</v>
      </c>
      <c r="F769" s="1193" t="s">
        <v>179</v>
      </c>
    </row>
    <row r="770" spans="1:6" ht="21" thickBot="1" x14ac:dyDescent="0.35">
      <c r="A770" s="931"/>
      <c r="B770" s="932">
        <v>6</v>
      </c>
      <c r="C770" s="933">
        <v>4</v>
      </c>
      <c r="D770" s="989">
        <v>1130760</v>
      </c>
      <c r="E770" s="1114">
        <v>1</v>
      </c>
      <c r="F770" s="1193">
        <v>558745</v>
      </c>
    </row>
    <row r="771" spans="1:6" ht="21" thickBot="1" x14ac:dyDescent="0.35">
      <c r="A771" s="937" t="s">
        <v>187</v>
      </c>
      <c r="B771" s="1077"/>
      <c r="C771" s="968">
        <f>SUM(C765:C770)</f>
        <v>15</v>
      </c>
      <c r="D771" s="982">
        <f>SUM(D765:D770)</f>
        <v>6270505</v>
      </c>
      <c r="E771" s="1194">
        <f>SUM(E765:E770)</f>
        <v>2</v>
      </c>
      <c r="F771" s="1195">
        <f>SUM(F765:F770)</f>
        <v>1063197</v>
      </c>
    </row>
    <row r="772" spans="1:6" x14ac:dyDescent="0.3">
      <c r="A772" s="931"/>
      <c r="B772" s="932">
        <v>7</v>
      </c>
      <c r="C772" s="933">
        <v>1</v>
      </c>
      <c r="D772" s="989">
        <v>578500</v>
      </c>
      <c r="E772" s="1114">
        <v>4</v>
      </c>
      <c r="F772" s="1193">
        <v>2707421</v>
      </c>
    </row>
    <row r="773" spans="1:6" x14ac:dyDescent="0.3">
      <c r="A773" s="931"/>
      <c r="B773" s="932">
        <v>8</v>
      </c>
      <c r="C773" s="933">
        <v>4</v>
      </c>
      <c r="D773" s="989">
        <v>710990</v>
      </c>
      <c r="E773" s="1114" t="s">
        <v>179</v>
      </c>
      <c r="F773" s="1193" t="s">
        <v>179</v>
      </c>
    </row>
    <row r="774" spans="1:6" x14ac:dyDescent="0.3">
      <c r="A774" s="931"/>
      <c r="B774" s="932">
        <v>9</v>
      </c>
      <c r="C774" s="933">
        <v>2</v>
      </c>
      <c r="D774" s="989">
        <v>2367440</v>
      </c>
      <c r="E774" s="1114">
        <v>1</v>
      </c>
      <c r="F774" s="1193">
        <v>834897</v>
      </c>
    </row>
    <row r="775" spans="1:6" x14ac:dyDescent="0.3">
      <c r="A775" s="931"/>
      <c r="B775" s="932">
        <v>10</v>
      </c>
      <c r="C775" s="933">
        <v>2</v>
      </c>
      <c r="D775" s="989">
        <v>3036550</v>
      </c>
      <c r="E775" s="1114">
        <v>1</v>
      </c>
      <c r="F775" s="1193">
        <v>1058386</v>
      </c>
    </row>
    <row r="776" spans="1:6" ht="21" thickBot="1" x14ac:dyDescent="0.35">
      <c r="A776" s="931"/>
      <c r="B776" s="932">
        <v>12</v>
      </c>
      <c r="C776" s="933">
        <v>2</v>
      </c>
      <c r="D776" s="989">
        <v>4408615</v>
      </c>
      <c r="E776" s="1114">
        <v>2</v>
      </c>
      <c r="F776" s="1193">
        <v>2559927</v>
      </c>
    </row>
    <row r="777" spans="1:6" ht="21" thickBot="1" x14ac:dyDescent="0.35">
      <c r="A777" s="937" t="s">
        <v>188</v>
      </c>
      <c r="B777" s="1077"/>
      <c r="C777" s="968">
        <f>SUM(C772:C776)</f>
        <v>11</v>
      </c>
      <c r="D777" s="982">
        <f>SUM(D772:D776)</f>
        <v>11102095</v>
      </c>
      <c r="E777" s="1194">
        <f>SUM(E772:E776)</f>
        <v>8</v>
      </c>
      <c r="F777" s="1195">
        <f>SUM(F772:F776)</f>
        <v>7160631</v>
      </c>
    </row>
    <row r="778" spans="1:6" x14ac:dyDescent="0.3">
      <c r="A778" s="931"/>
      <c r="B778" s="932">
        <v>13</v>
      </c>
      <c r="C778" s="933">
        <v>1</v>
      </c>
      <c r="D778" s="989">
        <v>3560355</v>
      </c>
      <c r="E778" s="1114">
        <v>6</v>
      </c>
      <c r="F778" s="1193">
        <v>9559069</v>
      </c>
    </row>
    <row r="779" spans="1:6" x14ac:dyDescent="0.3">
      <c r="A779" s="931"/>
      <c r="B779" s="932">
        <v>14</v>
      </c>
      <c r="C779" s="933">
        <v>3</v>
      </c>
      <c r="D779" s="989">
        <v>3858700</v>
      </c>
      <c r="E779" s="1114">
        <v>6</v>
      </c>
      <c r="F779" s="1193">
        <v>9296840</v>
      </c>
    </row>
    <row r="780" spans="1:6" x14ac:dyDescent="0.3">
      <c r="A780" s="931"/>
      <c r="B780" s="932">
        <v>15</v>
      </c>
      <c r="C780" s="933">
        <v>3</v>
      </c>
      <c r="D780" s="989">
        <v>3937775</v>
      </c>
      <c r="E780" s="1114" t="s">
        <v>179</v>
      </c>
      <c r="F780" s="1193" t="s">
        <v>179</v>
      </c>
    </row>
    <row r="781" spans="1:6" ht="21" thickBot="1" x14ac:dyDescent="0.35">
      <c r="A781" s="931"/>
      <c r="B781" s="932">
        <v>16</v>
      </c>
      <c r="C781" s="933">
        <v>1</v>
      </c>
      <c r="D781" s="989">
        <v>3518120</v>
      </c>
      <c r="E781" s="1114">
        <v>2</v>
      </c>
      <c r="F781" s="1196">
        <v>4606548</v>
      </c>
    </row>
    <row r="782" spans="1:6" ht="21" thickBot="1" x14ac:dyDescent="0.35">
      <c r="A782" s="937" t="s">
        <v>189</v>
      </c>
      <c r="B782" s="1077"/>
      <c r="C782" s="968">
        <f>SUM(C778:C781)</f>
        <v>8</v>
      </c>
      <c r="D782" s="982">
        <f>SUM(D778:D781)</f>
        <v>14874950</v>
      </c>
      <c r="E782" s="1194">
        <f>SUM(E778:E781)</f>
        <v>14</v>
      </c>
      <c r="F782" s="1195">
        <f>SUM(F778:F781)</f>
        <v>23462457</v>
      </c>
    </row>
    <row r="783" spans="1:6" ht="21" thickBot="1" x14ac:dyDescent="0.35">
      <c r="A783" s="937" t="s">
        <v>190</v>
      </c>
      <c r="B783" s="1077"/>
      <c r="C783" s="939">
        <f>SUM(C782,C777,C771)</f>
        <v>34</v>
      </c>
      <c r="D783" s="982">
        <f>SUM(D782,D777,D771)</f>
        <v>32247550</v>
      </c>
      <c r="E783" s="1125">
        <f>SUM(E782,E777,E771)</f>
        <v>24</v>
      </c>
      <c r="F783" s="1195">
        <f>SUM(F782,F777,F771)</f>
        <v>31686285</v>
      </c>
    </row>
    <row r="784" spans="1:6" x14ac:dyDescent="0.3">
      <c r="A784" s="919" t="s">
        <v>1137</v>
      </c>
      <c r="C784" s="933">
        <v>1</v>
      </c>
      <c r="D784" s="989">
        <v>1337225</v>
      </c>
      <c r="E784" s="1114">
        <v>1</v>
      </c>
      <c r="F784" s="1193">
        <v>1337225</v>
      </c>
    </row>
    <row r="785" spans="1:6" x14ac:dyDescent="0.3">
      <c r="A785" s="919" t="s">
        <v>1135</v>
      </c>
      <c r="C785" s="933">
        <v>6</v>
      </c>
      <c r="D785" s="989">
        <v>7500660</v>
      </c>
      <c r="E785" s="1114">
        <v>6</v>
      </c>
      <c r="F785" s="1193">
        <v>7500660</v>
      </c>
    </row>
    <row r="786" spans="1:6" x14ac:dyDescent="0.3">
      <c r="A786" s="919" t="s">
        <v>1136</v>
      </c>
      <c r="C786" s="933"/>
      <c r="D786" s="989">
        <v>31374495</v>
      </c>
      <c r="E786" s="1114">
        <v>7</v>
      </c>
      <c r="F786" s="1193">
        <v>31374495</v>
      </c>
    </row>
    <row r="787" spans="1:6" x14ac:dyDescent="0.3">
      <c r="A787" s="919" t="s">
        <v>733</v>
      </c>
      <c r="C787" s="933">
        <v>1</v>
      </c>
      <c r="D787" s="989">
        <v>1247870</v>
      </c>
      <c r="E787" s="1114">
        <v>1</v>
      </c>
      <c r="F787" s="1193">
        <v>1247870</v>
      </c>
    </row>
    <row r="788" spans="1:6" ht="21" thickBot="1" x14ac:dyDescent="0.35">
      <c r="A788" s="919" t="s">
        <v>734</v>
      </c>
      <c r="C788" s="933"/>
      <c r="D788" s="989">
        <v>4180365</v>
      </c>
      <c r="E788" s="1114"/>
      <c r="F788" s="1193">
        <v>4180365</v>
      </c>
    </row>
    <row r="789" spans="1:6" ht="21" thickBot="1" x14ac:dyDescent="0.35">
      <c r="A789" s="1176" t="s">
        <v>117</v>
      </c>
      <c r="B789" s="926"/>
      <c r="C789" s="1075">
        <f>SUM(C784:C788)</f>
        <v>8</v>
      </c>
      <c r="D789" s="1197">
        <f>SUM(D784:D788)</f>
        <v>45640615</v>
      </c>
      <c r="E789" s="1198">
        <f>SUM(E784:E788)</f>
        <v>15</v>
      </c>
      <c r="F789" s="1199">
        <f>SUM(F784:F788)</f>
        <v>45640615</v>
      </c>
    </row>
    <row r="790" spans="1:6" ht="21" thickBot="1" x14ac:dyDescent="0.35">
      <c r="A790" s="950" t="s">
        <v>2677</v>
      </c>
      <c r="B790" s="938"/>
      <c r="C790" s="968">
        <f>SUM(C783,C789)</f>
        <v>42</v>
      </c>
      <c r="D790" s="1032">
        <f>SUM(D783,D789)</f>
        <v>77888165</v>
      </c>
      <c r="E790" s="1200">
        <f>SUM(E783,E789)</f>
        <v>39</v>
      </c>
      <c r="F790" s="1201">
        <f>SUM(F783,F789)</f>
        <v>77326900</v>
      </c>
    </row>
    <row r="791" spans="1:6" x14ac:dyDescent="0.2">
      <c r="A791" s="3545"/>
      <c r="B791" s="3545"/>
      <c r="C791" s="3545"/>
      <c r="D791" s="3545"/>
      <c r="E791" s="3545"/>
      <c r="F791" s="3545"/>
    </row>
    <row r="792" spans="1:6" x14ac:dyDescent="0.2">
      <c r="A792" s="3545" t="s">
        <v>183</v>
      </c>
      <c r="B792" s="3545"/>
      <c r="C792" s="3545"/>
      <c r="D792" s="3545"/>
      <c r="E792" s="3545"/>
      <c r="F792" s="3545"/>
    </row>
    <row r="793" spans="1:6" ht="21" thickBot="1" x14ac:dyDescent="0.25">
      <c r="A793" s="3546" t="s">
        <v>2676</v>
      </c>
      <c r="B793" s="3546"/>
      <c r="C793" s="3546"/>
      <c r="D793" s="3546"/>
      <c r="E793" s="3546"/>
      <c r="F793" s="3546"/>
    </row>
    <row r="794" spans="1:6" s="924" customFormat="1" ht="41.25" thickBot="1" x14ac:dyDescent="0.25">
      <c r="A794" s="920" t="s">
        <v>185</v>
      </c>
      <c r="B794" s="921" t="s">
        <v>186</v>
      </c>
      <c r="C794" s="922" t="s">
        <v>564</v>
      </c>
      <c r="D794" s="953" t="s">
        <v>1128</v>
      </c>
      <c r="E794" s="922" t="s">
        <v>1129</v>
      </c>
      <c r="F794" s="923" t="s">
        <v>3096</v>
      </c>
    </row>
    <row r="795" spans="1:6" x14ac:dyDescent="0.2">
      <c r="A795" s="925"/>
      <c r="B795" s="932">
        <v>1</v>
      </c>
      <c r="C795" s="927"/>
      <c r="E795" s="927" t="s">
        <v>179</v>
      </c>
      <c r="F795" s="934" t="s">
        <v>179</v>
      </c>
    </row>
    <row r="796" spans="1:6" x14ac:dyDescent="0.2">
      <c r="A796" s="931"/>
      <c r="B796" s="932">
        <v>2</v>
      </c>
      <c r="C796" s="933"/>
      <c r="E796" s="933" t="s">
        <v>179</v>
      </c>
      <c r="F796" s="934" t="s">
        <v>179</v>
      </c>
    </row>
    <row r="797" spans="1:6" x14ac:dyDescent="0.2">
      <c r="A797" s="931"/>
      <c r="B797" s="932">
        <v>3</v>
      </c>
      <c r="C797" s="933"/>
      <c r="E797" s="933" t="s">
        <v>179</v>
      </c>
      <c r="F797" s="934" t="s">
        <v>179</v>
      </c>
    </row>
    <row r="798" spans="1:6" x14ac:dyDescent="0.2">
      <c r="A798" s="931"/>
      <c r="B798" s="932">
        <v>4</v>
      </c>
      <c r="C798" s="933">
        <v>1</v>
      </c>
      <c r="D798" s="989">
        <v>300865</v>
      </c>
      <c r="E798" s="933">
        <v>1</v>
      </c>
      <c r="F798" s="934">
        <v>504451.8</v>
      </c>
    </row>
    <row r="799" spans="1:6" x14ac:dyDescent="0.2">
      <c r="A799" s="931"/>
      <c r="B799" s="932">
        <v>5</v>
      </c>
      <c r="C799" s="933"/>
      <c r="E799" s="933" t="s">
        <v>179</v>
      </c>
      <c r="F799" s="934"/>
    </row>
    <row r="800" spans="1:6" ht="21" thickBot="1" x14ac:dyDescent="0.25">
      <c r="A800" s="931"/>
      <c r="B800" s="932">
        <v>6</v>
      </c>
      <c r="C800" s="933"/>
      <c r="E800" s="933" t="s">
        <v>179</v>
      </c>
      <c r="F800" s="934"/>
    </row>
    <row r="801" spans="1:6" ht="21" thickBot="1" x14ac:dyDescent="0.25">
      <c r="A801" s="937" t="s">
        <v>187</v>
      </c>
      <c r="B801" s="938"/>
      <c r="C801" s="939">
        <f>SUM(C795:C800)</f>
        <v>1</v>
      </c>
      <c r="D801" s="940">
        <f>SUM(D795:D800)</f>
        <v>300865</v>
      </c>
      <c r="E801" s="968">
        <f>SUM(E795:E800)</f>
        <v>1</v>
      </c>
      <c r="F801" s="940">
        <f>SUM(F795:F800)</f>
        <v>504451.8</v>
      </c>
    </row>
    <row r="802" spans="1:6" x14ac:dyDescent="0.2">
      <c r="A802" s="931"/>
      <c r="B802" s="932">
        <v>7</v>
      </c>
      <c r="C802" s="933">
        <v>3</v>
      </c>
      <c r="D802" s="989">
        <v>1920750</v>
      </c>
      <c r="E802" s="933">
        <v>2</v>
      </c>
      <c r="F802" s="934">
        <v>1299885.8400000001</v>
      </c>
    </row>
    <row r="803" spans="1:6" x14ac:dyDescent="0.2">
      <c r="A803" s="931"/>
      <c r="B803" s="932">
        <v>8</v>
      </c>
      <c r="C803" s="933"/>
      <c r="E803" s="933" t="s">
        <v>179</v>
      </c>
      <c r="F803" s="934" t="s">
        <v>179</v>
      </c>
    </row>
    <row r="804" spans="1:6" x14ac:dyDescent="0.2">
      <c r="A804" s="931"/>
      <c r="B804" s="932">
        <v>9</v>
      </c>
      <c r="C804" s="933">
        <v>1</v>
      </c>
      <c r="D804" s="989">
        <v>792675</v>
      </c>
      <c r="E804" s="933" t="s">
        <v>179</v>
      </c>
      <c r="F804" s="934" t="s">
        <v>179</v>
      </c>
    </row>
    <row r="805" spans="1:6" x14ac:dyDescent="0.2">
      <c r="A805" s="931"/>
      <c r="B805" s="932">
        <v>10</v>
      </c>
      <c r="C805" s="933"/>
      <c r="E805" s="933">
        <v>1</v>
      </c>
      <c r="F805" s="934">
        <v>1034386.92</v>
      </c>
    </row>
    <row r="806" spans="1:6" ht="21" thickBot="1" x14ac:dyDescent="0.25">
      <c r="A806" s="931"/>
      <c r="B806" s="932">
        <v>12</v>
      </c>
      <c r="C806" s="933"/>
      <c r="E806" s="933" t="s">
        <v>179</v>
      </c>
      <c r="F806" s="934" t="s">
        <v>179</v>
      </c>
    </row>
    <row r="807" spans="1:6" ht="21" thickBot="1" x14ac:dyDescent="0.25">
      <c r="A807" s="937" t="s">
        <v>188</v>
      </c>
      <c r="B807" s="938"/>
      <c r="C807" s="939">
        <f>SUM(C802:C806)</f>
        <v>4</v>
      </c>
      <c r="D807" s="940">
        <f>SUM(D802:D806)</f>
        <v>2713425</v>
      </c>
      <c r="E807" s="939">
        <v>3</v>
      </c>
      <c r="F807" s="940">
        <f>SUM(F802:F806)</f>
        <v>2334272.7600000002</v>
      </c>
    </row>
    <row r="808" spans="1:6" x14ac:dyDescent="0.2">
      <c r="A808" s="931"/>
      <c r="B808" s="932">
        <v>13</v>
      </c>
      <c r="C808" s="933">
        <v>5</v>
      </c>
      <c r="D808" s="989">
        <v>6649100</v>
      </c>
      <c r="E808" s="933">
        <v>2</v>
      </c>
      <c r="F808" s="934">
        <v>2590649.88</v>
      </c>
    </row>
    <row r="809" spans="1:6" x14ac:dyDescent="0.2">
      <c r="A809" s="931"/>
      <c r="B809" s="932">
        <v>14</v>
      </c>
      <c r="C809" s="933">
        <v>10</v>
      </c>
      <c r="D809" s="989">
        <v>11522820</v>
      </c>
      <c r="E809" s="933">
        <v>9</v>
      </c>
      <c r="F809" s="934">
        <v>12297521.039999999</v>
      </c>
    </row>
    <row r="810" spans="1:6" x14ac:dyDescent="0.2">
      <c r="A810" s="931"/>
      <c r="B810" s="932">
        <v>15</v>
      </c>
      <c r="C810" s="933">
        <v>4</v>
      </c>
      <c r="D810" s="989">
        <v>6293965</v>
      </c>
      <c r="E810" s="933">
        <v>2</v>
      </c>
      <c r="F810" s="934">
        <v>3992218.56</v>
      </c>
    </row>
    <row r="811" spans="1:6" ht="21" thickBot="1" x14ac:dyDescent="0.25">
      <c r="A811" s="931"/>
      <c r="B811" s="932">
        <v>16</v>
      </c>
      <c r="C811" s="933">
        <v>2</v>
      </c>
      <c r="D811" s="989">
        <v>4756280</v>
      </c>
      <c r="E811" s="933">
        <v>1</v>
      </c>
      <c r="F811" s="934">
        <v>2450219.04</v>
      </c>
    </row>
    <row r="812" spans="1:6" ht="21" thickBot="1" x14ac:dyDescent="0.25">
      <c r="A812" s="937" t="s">
        <v>189</v>
      </c>
      <c r="B812" s="938"/>
      <c r="C812" s="939">
        <f>SUM(C808:C811)</f>
        <v>21</v>
      </c>
      <c r="D812" s="940">
        <f>SUM(D808:D811)</f>
        <v>29222165</v>
      </c>
      <c r="E812" s="968">
        <f>SUM(E808:E811)</f>
        <v>14</v>
      </c>
      <c r="F812" s="940">
        <f>SUM(F808:F811)</f>
        <v>21330608.519999996</v>
      </c>
    </row>
    <row r="813" spans="1:6" ht="21" thickBot="1" x14ac:dyDescent="0.25">
      <c r="A813" s="937" t="s">
        <v>190</v>
      </c>
      <c r="B813" s="938"/>
      <c r="C813" s="939">
        <f>SUM(C812,C807,C801)</f>
        <v>26</v>
      </c>
      <c r="D813" s="940">
        <f>SUM(D812,D807,D801)</f>
        <v>32236455</v>
      </c>
      <c r="E813" s="968">
        <f>SUM(E812,E807,E801)</f>
        <v>18</v>
      </c>
      <c r="F813" s="940">
        <f>SUM(F812,F807,F801)</f>
        <v>24169333.079999998</v>
      </c>
    </row>
    <row r="814" spans="1:6" ht="21" thickBot="1" x14ac:dyDescent="0.25">
      <c r="A814" s="919" t="s">
        <v>1548</v>
      </c>
      <c r="B814" s="1047"/>
      <c r="C814" s="939"/>
      <c r="D814" s="1032"/>
      <c r="E814" s="1078">
        <v>1</v>
      </c>
      <c r="F814" s="1080">
        <v>2378117.04</v>
      </c>
    </row>
    <row r="815" spans="1:6" ht="21" thickBot="1" x14ac:dyDescent="0.25">
      <c r="A815" s="950" t="s">
        <v>117</v>
      </c>
      <c r="B815" s="938"/>
      <c r="C815" s="939"/>
      <c r="D815" s="1032"/>
      <c r="E815" s="1078"/>
      <c r="F815" s="940">
        <f>SUM(F813:F814)</f>
        <v>26547450.119999997</v>
      </c>
    </row>
    <row r="816" spans="1:6" x14ac:dyDescent="0.2">
      <c r="A816" s="919" t="s">
        <v>731</v>
      </c>
      <c r="C816" s="933">
        <v>2</v>
      </c>
      <c r="D816" s="989">
        <v>2500220</v>
      </c>
      <c r="E816" s="933">
        <v>2</v>
      </c>
      <c r="F816" s="934">
        <v>2500220</v>
      </c>
    </row>
    <row r="817" spans="1:6" ht="21" thickBot="1" x14ac:dyDescent="0.25">
      <c r="A817" s="919" t="s">
        <v>422</v>
      </c>
      <c r="C817" s="933"/>
      <c r="D817" s="989">
        <v>8875780</v>
      </c>
      <c r="E817" s="933"/>
      <c r="F817" s="934">
        <v>8875780</v>
      </c>
    </row>
    <row r="818" spans="1:6" s="924" customFormat="1" ht="21" thickBot="1" x14ac:dyDescent="0.25">
      <c r="A818" s="1176" t="s">
        <v>117</v>
      </c>
      <c r="B818" s="1037"/>
      <c r="C818" s="1185">
        <f>SUM(C816:C817)</f>
        <v>2</v>
      </c>
      <c r="D818" s="1197">
        <f>SUM(D814:D817)</f>
        <v>11376000</v>
      </c>
      <c r="E818" s="968">
        <f>SUM(E814:E817)</f>
        <v>3</v>
      </c>
      <c r="F818" s="1076">
        <f>SUM(F816:F817)</f>
        <v>11376000</v>
      </c>
    </row>
    <row r="819" spans="1:6" s="924" customFormat="1" ht="21" thickBot="1" x14ac:dyDescent="0.25">
      <c r="A819" s="950" t="s">
        <v>2678</v>
      </c>
      <c r="B819" s="938"/>
      <c r="C819" s="939">
        <f>SUM(C813,C818)</f>
        <v>28</v>
      </c>
      <c r="D819" s="1032">
        <f>SUM(D813,D818)</f>
        <v>43612455</v>
      </c>
      <c r="E819" s="939">
        <f>SUM(E813,E818)</f>
        <v>21</v>
      </c>
      <c r="F819" s="940">
        <f>SUM(F815,F818)</f>
        <v>37923450.119999997</v>
      </c>
    </row>
    <row r="820" spans="1:6" s="906" customFormat="1" x14ac:dyDescent="0.3">
      <c r="A820" s="900"/>
      <c r="B820" s="1069"/>
      <c r="C820" s="1202"/>
      <c r="D820" s="1203"/>
      <c r="E820" s="1204"/>
      <c r="F820" s="1205"/>
    </row>
    <row r="821" spans="1:6" x14ac:dyDescent="0.2">
      <c r="A821" s="3545" t="s">
        <v>183</v>
      </c>
      <c r="B821" s="3545"/>
      <c r="C821" s="3545"/>
      <c r="D821" s="3545"/>
      <c r="E821" s="3545"/>
      <c r="F821" s="3545"/>
    </row>
    <row r="822" spans="1:6" ht="21" thickBot="1" x14ac:dyDescent="0.25">
      <c r="A822" s="3546" t="s">
        <v>346</v>
      </c>
      <c r="B822" s="3546"/>
      <c r="C822" s="3546"/>
      <c r="D822" s="3546"/>
      <c r="E822" s="3546"/>
      <c r="F822" s="3546"/>
    </row>
    <row r="823" spans="1:6" s="988" customFormat="1" ht="41.25" thickBot="1" x14ac:dyDescent="0.25">
      <c r="A823" s="920" t="s">
        <v>185</v>
      </c>
      <c r="B823" s="921" t="s">
        <v>186</v>
      </c>
      <c r="C823" s="922" t="s">
        <v>564</v>
      </c>
      <c r="D823" s="923" t="s">
        <v>1128</v>
      </c>
      <c r="E823" s="922" t="s">
        <v>1129</v>
      </c>
      <c r="F823" s="923" t="s">
        <v>3096</v>
      </c>
    </row>
    <row r="824" spans="1:6" x14ac:dyDescent="0.2">
      <c r="A824" s="931"/>
      <c r="B824" s="954">
        <v>1</v>
      </c>
      <c r="C824" s="927">
        <v>3</v>
      </c>
      <c r="D824" s="978">
        <v>817225</v>
      </c>
      <c r="E824" s="927">
        <v>3</v>
      </c>
      <c r="F824" s="934">
        <v>817225</v>
      </c>
    </row>
    <row r="825" spans="1:6" x14ac:dyDescent="0.2">
      <c r="A825" s="931"/>
      <c r="B825" s="954">
        <v>2</v>
      </c>
      <c r="C825" s="933">
        <v>1</v>
      </c>
      <c r="D825" s="978">
        <v>290615</v>
      </c>
      <c r="E825" s="933">
        <v>1</v>
      </c>
      <c r="F825" s="934">
        <v>290615</v>
      </c>
    </row>
    <row r="826" spans="1:6" x14ac:dyDescent="0.2">
      <c r="A826" s="931"/>
      <c r="B826" s="954">
        <v>3</v>
      </c>
      <c r="C826" s="933">
        <v>8</v>
      </c>
      <c r="D826" s="978">
        <v>2009920</v>
      </c>
      <c r="E826" s="933">
        <v>8</v>
      </c>
      <c r="F826" s="934">
        <v>2009920</v>
      </c>
    </row>
    <row r="827" spans="1:6" x14ac:dyDescent="0.2">
      <c r="A827" s="931"/>
      <c r="B827" s="954">
        <v>4</v>
      </c>
      <c r="C827" s="933">
        <v>4</v>
      </c>
      <c r="D827" s="978">
        <v>609045</v>
      </c>
      <c r="E827" s="933">
        <v>4</v>
      </c>
      <c r="F827" s="934">
        <v>609045</v>
      </c>
    </row>
    <row r="828" spans="1:6" x14ac:dyDescent="0.2">
      <c r="A828" s="931"/>
      <c r="B828" s="954">
        <v>5</v>
      </c>
      <c r="C828" s="933">
        <v>4</v>
      </c>
      <c r="D828" s="978">
        <v>1229635</v>
      </c>
      <c r="E828" s="933">
        <v>4</v>
      </c>
      <c r="F828" s="934">
        <v>1229635</v>
      </c>
    </row>
    <row r="829" spans="1:6" ht="21" thickBot="1" x14ac:dyDescent="0.25">
      <c r="A829" s="931"/>
      <c r="B829" s="954">
        <v>6</v>
      </c>
      <c r="C829" s="933">
        <v>5</v>
      </c>
      <c r="D829" s="978">
        <v>1862325</v>
      </c>
      <c r="E829" s="933">
        <v>5</v>
      </c>
      <c r="F829" s="934">
        <v>1862325</v>
      </c>
    </row>
    <row r="830" spans="1:6" ht="21" thickBot="1" x14ac:dyDescent="0.25">
      <c r="A830" s="1079" t="s">
        <v>187</v>
      </c>
      <c r="B830" s="1077"/>
      <c r="C830" s="968">
        <f>SUM(C824:C829)</f>
        <v>25</v>
      </c>
      <c r="D830" s="940">
        <f>SUM(D824:D829)</f>
        <v>6818765</v>
      </c>
      <c r="E830" s="968">
        <v>25</v>
      </c>
      <c r="F830" s="940">
        <v>6818765</v>
      </c>
    </row>
    <row r="831" spans="1:6" x14ac:dyDescent="0.2">
      <c r="A831" s="931"/>
      <c r="B831" s="954">
        <v>7</v>
      </c>
      <c r="C831" s="933">
        <v>5</v>
      </c>
      <c r="D831" s="978">
        <v>2415000</v>
      </c>
      <c r="E831" s="933">
        <v>5</v>
      </c>
      <c r="F831" s="934">
        <v>2415000</v>
      </c>
    </row>
    <row r="832" spans="1:6" x14ac:dyDescent="0.2">
      <c r="A832" s="931"/>
      <c r="B832" s="954">
        <v>8</v>
      </c>
      <c r="C832" s="933">
        <v>9</v>
      </c>
      <c r="D832" s="978">
        <v>4916970</v>
      </c>
      <c r="E832" s="933">
        <v>9</v>
      </c>
      <c r="F832" s="934">
        <v>4916970</v>
      </c>
    </row>
    <row r="833" spans="1:6" x14ac:dyDescent="0.2">
      <c r="A833" s="931"/>
      <c r="B833" s="954">
        <v>9</v>
      </c>
      <c r="C833" s="933">
        <v>5</v>
      </c>
      <c r="D833" s="978">
        <v>3963375</v>
      </c>
      <c r="E833" s="933">
        <v>5</v>
      </c>
      <c r="F833" s="934">
        <v>3963375</v>
      </c>
    </row>
    <row r="834" spans="1:6" x14ac:dyDescent="0.2">
      <c r="A834" s="931"/>
      <c r="B834" s="954">
        <v>10</v>
      </c>
      <c r="C834" s="933">
        <v>8</v>
      </c>
      <c r="D834" s="978">
        <v>5574305</v>
      </c>
      <c r="E834" s="933">
        <v>8</v>
      </c>
      <c r="F834" s="934">
        <v>5574305</v>
      </c>
    </row>
    <row r="835" spans="1:6" ht="21" thickBot="1" x14ac:dyDescent="0.25">
      <c r="A835" s="931"/>
      <c r="B835" s="954">
        <v>12</v>
      </c>
      <c r="C835" s="933">
        <v>7</v>
      </c>
      <c r="D835" s="978">
        <v>6483550</v>
      </c>
      <c r="E835" s="933">
        <v>7</v>
      </c>
      <c r="F835" s="934">
        <v>6483550</v>
      </c>
    </row>
    <row r="836" spans="1:6" ht="21" thickBot="1" x14ac:dyDescent="0.25">
      <c r="A836" s="1079" t="s">
        <v>188</v>
      </c>
      <c r="B836" s="1077"/>
      <c r="C836" s="968">
        <f>SUM(C831:C835)</f>
        <v>34</v>
      </c>
      <c r="D836" s="940">
        <f>SUM(D831:D835)</f>
        <v>23353200</v>
      </c>
      <c r="E836" s="968">
        <v>34</v>
      </c>
      <c r="F836" s="940">
        <v>23353200</v>
      </c>
    </row>
    <row r="837" spans="1:6" x14ac:dyDescent="0.2">
      <c r="A837" s="931"/>
      <c r="B837" s="954">
        <v>13</v>
      </c>
      <c r="C837" s="933">
        <v>8</v>
      </c>
      <c r="D837" s="978">
        <v>7015150</v>
      </c>
      <c r="E837" s="933">
        <v>8</v>
      </c>
      <c r="F837" s="934">
        <v>7015150</v>
      </c>
    </row>
    <row r="838" spans="1:6" x14ac:dyDescent="0.2">
      <c r="A838" s="931"/>
      <c r="B838" s="954">
        <v>14</v>
      </c>
      <c r="C838" s="933">
        <v>4</v>
      </c>
      <c r="D838" s="978">
        <v>4927150</v>
      </c>
      <c r="E838" s="933">
        <v>4</v>
      </c>
      <c r="F838" s="934">
        <v>4927150</v>
      </c>
    </row>
    <row r="839" spans="1:6" x14ac:dyDescent="0.2">
      <c r="A839" s="931"/>
      <c r="B839" s="954">
        <v>15</v>
      </c>
      <c r="C839" s="933">
        <v>2</v>
      </c>
      <c r="D839" s="978">
        <v>3156585</v>
      </c>
      <c r="E839" s="933">
        <v>2</v>
      </c>
      <c r="F839" s="934">
        <v>3156585</v>
      </c>
    </row>
    <row r="840" spans="1:6" x14ac:dyDescent="0.2">
      <c r="A840" s="931"/>
      <c r="B840" s="954">
        <v>16</v>
      </c>
      <c r="C840" s="933">
        <v>2</v>
      </c>
      <c r="D840" s="978">
        <v>4180235</v>
      </c>
      <c r="E840" s="933">
        <v>2</v>
      </c>
      <c r="F840" s="934">
        <v>4180235</v>
      </c>
    </row>
    <row r="841" spans="1:6" ht="21" thickBot="1" x14ac:dyDescent="0.25">
      <c r="A841" s="931"/>
      <c r="B841" s="954">
        <v>17</v>
      </c>
      <c r="C841" s="933">
        <v>1</v>
      </c>
      <c r="D841" s="978">
        <v>3162125</v>
      </c>
      <c r="E841" s="933">
        <v>0</v>
      </c>
      <c r="F841" s="934" t="s">
        <v>1541</v>
      </c>
    </row>
    <row r="842" spans="1:6" ht="21" thickBot="1" x14ac:dyDescent="0.25">
      <c r="A842" s="1079" t="s">
        <v>189</v>
      </c>
      <c r="B842" s="1077"/>
      <c r="C842" s="939">
        <f>SUM(C837:C841)</f>
        <v>17</v>
      </c>
      <c r="D842" s="1032">
        <f>SUM(D837:D841)</f>
        <v>22441245</v>
      </c>
      <c r="E842" s="939">
        <v>16</v>
      </c>
      <c r="F842" s="940">
        <v>19279120</v>
      </c>
    </row>
    <row r="843" spans="1:6" ht="21" thickBot="1" x14ac:dyDescent="0.25">
      <c r="A843" s="1079" t="s">
        <v>190</v>
      </c>
      <c r="B843" s="1077"/>
      <c r="C843" s="939">
        <f>SUM(C842,C836,C830)</f>
        <v>76</v>
      </c>
      <c r="D843" s="1032">
        <f>SUM(D842,D836,D830)</f>
        <v>52613210</v>
      </c>
      <c r="E843" s="939">
        <v>75</v>
      </c>
      <c r="F843" s="940">
        <v>49451085</v>
      </c>
    </row>
    <row r="844" spans="1:6" x14ac:dyDescent="0.2">
      <c r="A844" s="964" t="s">
        <v>534</v>
      </c>
      <c r="B844" s="954"/>
      <c r="C844" s="933">
        <v>1</v>
      </c>
      <c r="D844" s="978">
        <v>1337225</v>
      </c>
      <c r="E844" s="933">
        <v>1</v>
      </c>
      <c r="F844" s="934">
        <v>1337225</v>
      </c>
    </row>
    <row r="845" spans="1:6" x14ac:dyDescent="0.2">
      <c r="A845" s="964" t="s">
        <v>766</v>
      </c>
      <c r="B845" s="954"/>
      <c r="C845" s="933">
        <v>6</v>
      </c>
      <c r="D845" s="978">
        <v>7500660</v>
      </c>
      <c r="E845" s="933">
        <v>6</v>
      </c>
      <c r="F845" s="934">
        <v>7500660</v>
      </c>
    </row>
    <row r="846" spans="1:6" ht="21" thickBot="1" x14ac:dyDescent="0.25">
      <c r="A846" s="964" t="s">
        <v>764</v>
      </c>
      <c r="B846" s="954"/>
      <c r="C846" s="933"/>
      <c r="D846" s="978">
        <v>31374495</v>
      </c>
      <c r="E846" s="933"/>
      <c r="F846" s="934">
        <v>31374495</v>
      </c>
    </row>
    <row r="847" spans="1:6" s="924" customFormat="1" ht="21" thickBot="1" x14ac:dyDescent="0.25">
      <c r="A847" s="950" t="s">
        <v>117</v>
      </c>
      <c r="B847" s="938"/>
      <c r="C847" s="952">
        <f>SUM(C844:C846)</f>
        <v>7</v>
      </c>
      <c r="D847" s="940">
        <f>SUM(D844:D846)</f>
        <v>40212380</v>
      </c>
      <c r="E847" s="952">
        <f>SUM(E844:E846)</f>
        <v>7</v>
      </c>
      <c r="F847" s="940">
        <f>SUM(F844:F846)</f>
        <v>40212380</v>
      </c>
    </row>
    <row r="848" spans="1:6" ht="21" thickBot="1" x14ac:dyDescent="0.25">
      <c r="A848" s="950" t="s">
        <v>2589</v>
      </c>
      <c r="B848" s="938"/>
      <c r="C848" s="939"/>
      <c r="D848" s="1032">
        <f>SUM(D843,D847)</f>
        <v>92825590</v>
      </c>
      <c r="E848" s="968">
        <f>SUM(E843,E847)</f>
        <v>82</v>
      </c>
      <c r="F848" s="940">
        <f>SUM(F843,F847)</f>
        <v>89663465</v>
      </c>
    </row>
    <row r="849" spans="1:6" x14ac:dyDescent="0.2">
      <c r="A849" s="3545" t="s">
        <v>183</v>
      </c>
      <c r="B849" s="3545"/>
      <c r="C849" s="3545"/>
      <c r="D849" s="3545"/>
      <c r="E849" s="3545"/>
      <c r="F849" s="3545"/>
    </row>
    <row r="850" spans="1:6" ht="21" thickBot="1" x14ac:dyDescent="0.25">
      <c r="A850" s="3546" t="s">
        <v>347</v>
      </c>
      <c r="B850" s="3546"/>
      <c r="C850" s="3546"/>
      <c r="D850" s="3546"/>
      <c r="E850" s="3546"/>
      <c r="F850" s="3546"/>
    </row>
    <row r="851" spans="1:6" s="1210" customFormat="1" ht="30" customHeight="1" thickBot="1" x14ac:dyDescent="0.25">
      <c r="A851" s="1206" t="s">
        <v>185</v>
      </c>
      <c r="B851" s="1207" t="s">
        <v>186</v>
      </c>
      <c r="C851" s="1208" t="s">
        <v>564</v>
      </c>
      <c r="D851" s="1209" t="s">
        <v>1128</v>
      </c>
      <c r="E851" s="1208" t="s">
        <v>1129</v>
      </c>
      <c r="F851" s="1209" t="s">
        <v>3096</v>
      </c>
    </row>
    <row r="852" spans="1:6" s="1216" customFormat="1" ht="13.5" customHeight="1" x14ac:dyDescent="0.2">
      <c r="A852" s="1211"/>
      <c r="B852" s="1212">
        <v>1</v>
      </c>
      <c r="C852" s="1213">
        <v>0</v>
      </c>
      <c r="D852" s="1214" t="s">
        <v>179</v>
      </c>
      <c r="E852" s="1213">
        <v>0</v>
      </c>
      <c r="F852" s="1215" t="s">
        <v>179</v>
      </c>
    </row>
    <row r="853" spans="1:6" s="1216" customFormat="1" ht="18.75" x14ac:dyDescent="0.3">
      <c r="A853" s="1217"/>
      <c r="B853" s="1212">
        <v>2</v>
      </c>
      <c r="C853" s="1218">
        <v>14</v>
      </c>
      <c r="D853" s="1214">
        <v>4671865</v>
      </c>
      <c r="E853" s="1218">
        <v>14</v>
      </c>
      <c r="F853" s="1219">
        <v>5005894</v>
      </c>
    </row>
    <row r="854" spans="1:6" s="1216" customFormat="1" ht="18.75" x14ac:dyDescent="0.3">
      <c r="A854" s="1217"/>
      <c r="B854" s="1212">
        <v>3</v>
      </c>
      <c r="C854" s="1218">
        <v>29</v>
      </c>
      <c r="D854" s="1214">
        <v>12826465</v>
      </c>
      <c r="E854" s="1218">
        <v>29</v>
      </c>
      <c r="F854" s="1219">
        <v>13766620</v>
      </c>
    </row>
    <row r="855" spans="1:6" s="1216" customFormat="1" ht="18.75" x14ac:dyDescent="0.3">
      <c r="A855" s="1217"/>
      <c r="B855" s="1212">
        <v>4</v>
      </c>
      <c r="C855" s="1218">
        <v>30</v>
      </c>
      <c r="D855" s="1214">
        <v>20000225</v>
      </c>
      <c r="E855" s="1218">
        <v>30</v>
      </c>
      <c r="F855" s="1219">
        <v>22150834</v>
      </c>
    </row>
    <row r="856" spans="1:6" s="1216" customFormat="1" ht="18.75" x14ac:dyDescent="0.3">
      <c r="A856" s="1217"/>
      <c r="B856" s="1212">
        <v>5</v>
      </c>
      <c r="C856" s="1218">
        <v>12</v>
      </c>
      <c r="D856" s="1214">
        <v>7591490</v>
      </c>
      <c r="E856" s="1218">
        <v>12</v>
      </c>
      <c r="F856" s="1219">
        <v>8134578</v>
      </c>
    </row>
    <row r="857" spans="1:6" s="1216" customFormat="1" ht="19.5" thickBot="1" x14ac:dyDescent="0.35">
      <c r="A857" s="1217"/>
      <c r="B857" s="1212">
        <v>6</v>
      </c>
      <c r="C857" s="1218">
        <v>38</v>
      </c>
      <c r="D857" s="1214">
        <v>27932590</v>
      </c>
      <c r="E857" s="1218">
        <v>38</v>
      </c>
      <c r="F857" s="1219">
        <v>29878520</v>
      </c>
    </row>
    <row r="858" spans="1:6" s="1216" customFormat="1" ht="19.5" thickBot="1" x14ac:dyDescent="0.25">
      <c r="A858" s="1220" t="s">
        <v>187</v>
      </c>
      <c r="B858" s="1221"/>
      <c r="C858" s="1222">
        <f>SUM(C852:C857)</f>
        <v>123</v>
      </c>
      <c r="D858" s="1223">
        <f>SUM(D852:D857)</f>
        <v>73022635</v>
      </c>
      <c r="E858" s="1222">
        <f>SUM(E852:E857)</f>
        <v>123</v>
      </c>
      <c r="F858" s="1223">
        <f>SUM(F852:F857)</f>
        <v>78936446</v>
      </c>
    </row>
    <row r="859" spans="1:6" s="1216" customFormat="1" ht="18.75" x14ac:dyDescent="0.2">
      <c r="A859" s="1217"/>
      <c r="B859" s="1212">
        <v>7</v>
      </c>
      <c r="C859" s="1218">
        <v>103</v>
      </c>
      <c r="D859" s="1214">
        <v>94127195</v>
      </c>
      <c r="E859" s="1218">
        <v>103</v>
      </c>
      <c r="F859" s="1215">
        <v>100482895</v>
      </c>
    </row>
    <row r="860" spans="1:6" s="1216" customFormat="1" ht="18.75" x14ac:dyDescent="0.2">
      <c r="A860" s="1217"/>
      <c r="B860" s="1212">
        <v>8</v>
      </c>
      <c r="C860" s="1218">
        <v>27</v>
      </c>
      <c r="D860" s="1214">
        <v>28526170</v>
      </c>
      <c r="E860" s="1218">
        <v>27</v>
      </c>
      <c r="F860" s="1215">
        <v>30389949</v>
      </c>
    </row>
    <row r="861" spans="1:6" s="1216" customFormat="1" ht="18.75" x14ac:dyDescent="0.2">
      <c r="A861" s="1217"/>
      <c r="B861" s="1212">
        <v>9</v>
      </c>
      <c r="C861" s="1218">
        <v>17</v>
      </c>
      <c r="D861" s="1214">
        <v>22912260</v>
      </c>
      <c r="E861" s="1218">
        <v>17</v>
      </c>
      <c r="F861" s="1215">
        <v>24508022</v>
      </c>
    </row>
    <row r="862" spans="1:6" s="1216" customFormat="1" ht="18.75" x14ac:dyDescent="0.2">
      <c r="A862" s="1217"/>
      <c r="B862" s="1212">
        <v>10</v>
      </c>
      <c r="C862" s="1218">
        <v>18</v>
      </c>
      <c r="D862" s="1214">
        <v>23039250</v>
      </c>
      <c r="E862" s="1218">
        <v>18</v>
      </c>
      <c r="F862" s="1215">
        <v>24753104</v>
      </c>
    </row>
    <row r="863" spans="1:6" s="1216" customFormat="1" ht="19.5" thickBot="1" x14ac:dyDescent="0.25">
      <c r="A863" s="1217"/>
      <c r="B863" s="1212">
        <v>12</v>
      </c>
      <c r="C863" s="1218">
        <v>27</v>
      </c>
      <c r="D863" s="1214">
        <v>60768505</v>
      </c>
      <c r="E863" s="1218">
        <v>27</v>
      </c>
      <c r="F863" s="1215">
        <v>68665614</v>
      </c>
    </row>
    <row r="864" spans="1:6" s="1216" customFormat="1" ht="19.5" thickBot="1" x14ac:dyDescent="0.25">
      <c r="A864" s="1220" t="s">
        <v>188</v>
      </c>
      <c r="B864" s="1221"/>
      <c r="C864" s="1222">
        <f>SUM(C859:C863)</f>
        <v>192</v>
      </c>
      <c r="D864" s="1223">
        <f>SUM(D859:D863)</f>
        <v>229373380</v>
      </c>
      <c r="E864" s="1222">
        <f>SUM(E859:E863)</f>
        <v>192</v>
      </c>
      <c r="F864" s="1223">
        <f>SUM(F859:F863)</f>
        <v>248799584</v>
      </c>
    </row>
    <row r="865" spans="1:6" s="1216" customFormat="1" ht="18.75" x14ac:dyDescent="0.2">
      <c r="A865" s="1217"/>
      <c r="B865" s="1212">
        <v>13</v>
      </c>
      <c r="C865" s="1218">
        <v>18</v>
      </c>
      <c r="D865" s="1214">
        <v>37400960</v>
      </c>
      <c r="E865" s="1218">
        <v>18</v>
      </c>
      <c r="F865" s="1215">
        <v>40224445</v>
      </c>
    </row>
    <row r="866" spans="1:6" s="1216" customFormat="1" ht="18.75" x14ac:dyDescent="0.2">
      <c r="A866" s="1217"/>
      <c r="B866" s="1212">
        <v>14</v>
      </c>
      <c r="C866" s="1218">
        <v>41</v>
      </c>
      <c r="D866" s="1214">
        <v>86272265</v>
      </c>
      <c r="E866" s="1218">
        <v>41</v>
      </c>
      <c r="F866" s="1215">
        <v>96453540</v>
      </c>
    </row>
    <row r="867" spans="1:6" s="1216" customFormat="1" ht="18.75" x14ac:dyDescent="0.2">
      <c r="A867" s="1217"/>
      <c r="B867" s="1212">
        <v>15</v>
      </c>
      <c r="C867" s="1218">
        <v>4</v>
      </c>
      <c r="D867" s="1214">
        <v>17761190</v>
      </c>
      <c r="E867" s="1218">
        <v>4</v>
      </c>
      <c r="F867" s="1215">
        <v>19022398</v>
      </c>
    </row>
    <row r="868" spans="1:6" s="1216" customFormat="1" ht="18.75" x14ac:dyDescent="0.2">
      <c r="A868" s="1217"/>
      <c r="B868" s="1212">
        <v>16</v>
      </c>
      <c r="C868" s="1218">
        <v>5</v>
      </c>
      <c r="D868" s="1214">
        <v>23252815</v>
      </c>
      <c r="E868" s="1218">
        <v>5</v>
      </c>
      <c r="F868" s="1215">
        <v>24966897</v>
      </c>
    </row>
    <row r="869" spans="1:6" s="1216" customFormat="1" ht="19.5" thickBot="1" x14ac:dyDescent="0.25">
      <c r="A869" s="1217"/>
      <c r="B869" s="1212">
        <v>17</v>
      </c>
      <c r="C869" s="1218">
        <v>2</v>
      </c>
      <c r="D869" s="1214">
        <v>19388325</v>
      </c>
      <c r="E869" s="1218">
        <v>2</v>
      </c>
      <c r="F869" s="1215">
        <v>21202048</v>
      </c>
    </row>
    <row r="870" spans="1:6" s="1216" customFormat="1" ht="19.5" thickBot="1" x14ac:dyDescent="0.25">
      <c r="A870" s="1224" t="s">
        <v>214</v>
      </c>
      <c r="B870" s="1225"/>
      <c r="C870" s="1226">
        <f>SUM(C865:C869)</f>
        <v>70</v>
      </c>
      <c r="D870" s="1227">
        <f>SUM(D865:D869)</f>
        <v>184075555</v>
      </c>
      <c r="E870" s="1226">
        <f>SUM(E865:E869)</f>
        <v>70</v>
      </c>
      <c r="F870" s="1223">
        <f>SUM(F865:F869)</f>
        <v>201869328</v>
      </c>
    </row>
    <row r="871" spans="1:6" s="1216" customFormat="1" ht="19.5" thickBot="1" x14ac:dyDescent="0.25">
      <c r="A871" s="1220" t="s">
        <v>215</v>
      </c>
      <c r="B871" s="1221"/>
      <c r="C871" s="1226">
        <f>SUM(C870,C864,C858)</f>
        <v>385</v>
      </c>
      <c r="D871" s="1227">
        <f>SUM(D870,D864,D858)</f>
        <v>486471570</v>
      </c>
      <c r="E871" s="1228">
        <f>SUM(E870,E864,E858)</f>
        <v>385</v>
      </c>
      <c r="F871" s="1223">
        <f>SUM(F870,F864,F858)</f>
        <v>529605358</v>
      </c>
    </row>
    <row r="872" spans="1:6" s="1216" customFormat="1" ht="18.75" x14ac:dyDescent="0.2">
      <c r="A872" s="1229" t="s">
        <v>735</v>
      </c>
      <c r="B872" s="1230"/>
      <c r="C872" s="1228"/>
      <c r="D872" s="1231"/>
      <c r="E872" s="1228"/>
      <c r="F872" s="1232"/>
    </row>
    <row r="873" spans="1:6" s="1216" customFormat="1" ht="18.75" x14ac:dyDescent="0.2">
      <c r="A873" s="1229" t="s">
        <v>217</v>
      </c>
      <c r="B873" s="1233" t="s">
        <v>179</v>
      </c>
      <c r="C873" s="1234"/>
      <c r="D873" s="1235">
        <v>365712630</v>
      </c>
      <c r="E873" s="1218"/>
      <c r="F873" s="1215"/>
    </row>
    <row r="874" spans="1:6" s="1216" customFormat="1" ht="19.5" thickBot="1" x14ac:dyDescent="0.35">
      <c r="A874" s="1229" t="s">
        <v>218</v>
      </c>
      <c r="B874" s="1233" t="s">
        <v>179</v>
      </c>
      <c r="C874" s="1234"/>
      <c r="D874" s="1235">
        <v>77144135</v>
      </c>
      <c r="E874" s="1236"/>
      <c r="F874" s="1215"/>
    </row>
    <row r="875" spans="1:6" s="1216" customFormat="1" ht="19.5" thickBot="1" x14ac:dyDescent="0.25">
      <c r="A875" s="1237" t="s">
        <v>117</v>
      </c>
      <c r="B875" s="1221"/>
      <c r="C875" s="1238"/>
      <c r="D875" s="1223">
        <f>SUM(D871:D874)</f>
        <v>929328335</v>
      </c>
      <c r="E875" s="1226"/>
      <c r="F875" s="1223">
        <f>SUM(F871:F874)</f>
        <v>529605358</v>
      </c>
    </row>
    <row r="876" spans="1:6" s="1216" customFormat="1" ht="18.75" x14ac:dyDescent="0.2">
      <c r="A876" s="1229" t="s">
        <v>200</v>
      </c>
      <c r="B876" s="1212" t="s">
        <v>179</v>
      </c>
      <c r="C876" s="1239">
        <v>1</v>
      </c>
      <c r="D876" s="1215">
        <v>1250110</v>
      </c>
      <c r="E876" s="1239">
        <v>1</v>
      </c>
      <c r="F876" s="1215">
        <v>1250110</v>
      </c>
    </row>
    <row r="877" spans="1:6" s="1216" customFormat="1" ht="18.75" x14ac:dyDescent="0.2">
      <c r="A877" s="1229" t="s">
        <v>527</v>
      </c>
      <c r="B877" s="1212"/>
      <c r="C877" s="1239"/>
      <c r="D877" s="1215">
        <v>4479705</v>
      </c>
      <c r="E877" s="1239"/>
      <c r="F877" s="1215">
        <v>4479705</v>
      </c>
    </row>
    <row r="878" spans="1:6" s="1216" customFormat="1" ht="18.75" x14ac:dyDescent="0.2">
      <c r="A878" s="1229" t="s">
        <v>216</v>
      </c>
      <c r="B878" s="1212"/>
      <c r="C878" s="1239">
        <v>1</v>
      </c>
      <c r="D878" s="1215">
        <v>1247870</v>
      </c>
      <c r="E878" s="1239">
        <v>1</v>
      </c>
      <c r="F878" s="1215">
        <v>1247870</v>
      </c>
    </row>
    <row r="879" spans="1:6" s="1216" customFormat="1" ht="19.5" thickBot="1" x14ac:dyDescent="0.25">
      <c r="A879" s="1229" t="s">
        <v>530</v>
      </c>
      <c r="B879" s="1212"/>
      <c r="C879" s="1239"/>
      <c r="D879" s="1240">
        <v>4180365</v>
      </c>
      <c r="E879" s="1239"/>
      <c r="F879" s="1240">
        <v>4180365</v>
      </c>
    </row>
    <row r="880" spans="1:6" s="998" customFormat="1" thickBot="1" x14ac:dyDescent="0.25">
      <c r="A880" s="1241" t="s">
        <v>117</v>
      </c>
      <c r="B880" s="1242"/>
      <c r="C880" s="1243">
        <f>SUM(C875:C879)</f>
        <v>2</v>
      </c>
      <c r="D880" s="1244">
        <f>SUM(D876:D879)</f>
        <v>11158050</v>
      </c>
      <c r="E880" s="1243">
        <f>SUM(E875:E879)</f>
        <v>2</v>
      </c>
      <c r="F880" s="1244">
        <f>SUM(F876:F879)</f>
        <v>11158050</v>
      </c>
    </row>
    <row r="881" spans="1:7" ht="21" thickBot="1" x14ac:dyDescent="0.25">
      <c r="A881" s="950" t="s">
        <v>2915</v>
      </c>
      <c r="B881" s="938"/>
      <c r="C881" s="968">
        <f>SUM(C871,C880)</f>
        <v>387</v>
      </c>
      <c r="D881" s="940">
        <f>SUM(D875,D880)</f>
        <v>940486385</v>
      </c>
      <c r="E881" s="968">
        <f>SUM(E871,E880)</f>
        <v>387</v>
      </c>
      <c r="F881" s="940">
        <f>SUM(F875,F880)</f>
        <v>540763408</v>
      </c>
    </row>
    <row r="882" spans="1:7" x14ac:dyDescent="0.2">
      <c r="A882" s="964"/>
      <c r="B882" s="954"/>
      <c r="C882" s="1245"/>
      <c r="D882" s="1246"/>
      <c r="E882" s="1245"/>
      <c r="F882" s="1246"/>
    </row>
    <row r="883" spans="1:7" s="886" customFormat="1" ht="18.75" x14ac:dyDescent="0.3">
      <c r="A883" s="3557" t="s">
        <v>183</v>
      </c>
      <c r="B883" s="3557"/>
      <c r="C883" s="3557"/>
      <c r="D883" s="3557"/>
      <c r="E883" s="3557"/>
      <c r="F883" s="885"/>
    </row>
    <row r="884" spans="1:7" s="886" customFormat="1" ht="19.5" thickBot="1" x14ac:dyDescent="0.35">
      <c r="A884" s="3557" t="s">
        <v>2916</v>
      </c>
      <c r="B884" s="3557"/>
      <c r="C884" s="3557"/>
      <c r="D884" s="3557"/>
      <c r="E884" s="3557"/>
      <c r="F884" s="885"/>
    </row>
    <row r="885" spans="1:7" s="887" customFormat="1" ht="39.75" thickBot="1" x14ac:dyDescent="0.25">
      <c r="A885" s="1247" t="s">
        <v>185</v>
      </c>
      <c r="B885" s="1248" t="s">
        <v>186</v>
      </c>
      <c r="C885" s="1249" t="s">
        <v>564</v>
      </c>
      <c r="D885" s="1248" t="s">
        <v>1482</v>
      </c>
      <c r="E885" s="1250" t="s">
        <v>1129</v>
      </c>
      <c r="F885" s="1209" t="s">
        <v>3096</v>
      </c>
    </row>
    <row r="886" spans="1:7" s="886" customFormat="1" ht="18.75" x14ac:dyDescent="0.3">
      <c r="A886" s="1251"/>
      <c r="B886" s="1252">
        <v>1</v>
      </c>
      <c r="C886" s="1253" t="s">
        <v>179</v>
      </c>
      <c r="D886" s="1254">
        <v>0</v>
      </c>
      <c r="E886" s="1252">
        <v>0</v>
      </c>
      <c r="F886" s="1255">
        <v>0</v>
      </c>
    </row>
    <row r="887" spans="1:7" s="886" customFormat="1" ht="18.75" x14ac:dyDescent="0.3">
      <c r="A887" s="1256"/>
      <c r="B887" s="1257">
        <v>2</v>
      </c>
      <c r="C887" s="1258">
        <v>18</v>
      </c>
      <c r="D887" s="1259">
        <v>6911323</v>
      </c>
      <c r="E887" s="1257">
        <v>18</v>
      </c>
      <c r="F887" s="1260">
        <v>7011323</v>
      </c>
    </row>
    <row r="888" spans="1:7" s="886" customFormat="1" ht="18.75" x14ac:dyDescent="0.3">
      <c r="A888" s="1256"/>
      <c r="B888" s="1257">
        <v>3</v>
      </c>
      <c r="C888" s="1258">
        <v>1</v>
      </c>
      <c r="D888" s="1259">
        <v>976796</v>
      </c>
      <c r="E888" s="1257">
        <v>1</v>
      </c>
      <c r="F888" s="1260">
        <v>976796</v>
      </c>
    </row>
    <row r="889" spans="1:7" s="886" customFormat="1" ht="18.75" x14ac:dyDescent="0.3">
      <c r="A889" s="1256"/>
      <c r="B889" s="1257">
        <v>4</v>
      </c>
      <c r="C889" s="1258">
        <v>31</v>
      </c>
      <c r="D889" s="1259">
        <v>11000167</v>
      </c>
      <c r="E889" s="1257">
        <v>23</v>
      </c>
      <c r="F889" s="1260">
        <v>11500167</v>
      </c>
    </row>
    <row r="890" spans="1:7" s="886" customFormat="1" ht="18.75" x14ac:dyDescent="0.3">
      <c r="A890" s="1256"/>
      <c r="B890" s="1257">
        <v>5</v>
      </c>
      <c r="C890" s="1258">
        <v>1</v>
      </c>
      <c r="D890" s="1259">
        <v>1000003</v>
      </c>
      <c r="E890" s="1257">
        <v>1</v>
      </c>
      <c r="F890" s="1260">
        <v>1000003</v>
      </c>
    </row>
    <row r="891" spans="1:7" s="886" customFormat="1" ht="19.5" thickBot="1" x14ac:dyDescent="0.35">
      <c r="A891" s="1256"/>
      <c r="B891" s="1257">
        <v>6</v>
      </c>
      <c r="C891" s="1258">
        <v>24</v>
      </c>
      <c r="D891" s="1259">
        <v>10121211</v>
      </c>
      <c r="E891" s="1257">
        <v>22</v>
      </c>
      <c r="F891" s="1260">
        <v>10121211</v>
      </c>
    </row>
    <row r="892" spans="1:7" s="889" customFormat="1" ht="19.5" thickBot="1" x14ac:dyDescent="0.35">
      <c r="A892" s="1261" t="s">
        <v>187</v>
      </c>
      <c r="B892" s="1262"/>
      <c r="C892" s="1263">
        <f>SUM(C886:C891)</f>
        <v>75</v>
      </c>
      <c r="D892" s="1264">
        <f>SUM(D886:D891)</f>
        <v>30009500</v>
      </c>
      <c r="E892" s="1265">
        <f>SUM(E886:E891)</f>
        <v>65</v>
      </c>
      <c r="F892" s="1266">
        <f>SUM(F886:F891)</f>
        <v>30609500</v>
      </c>
      <c r="G892" s="888"/>
    </row>
    <row r="893" spans="1:7" s="886" customFormat="1" ht="18.75" x14ac:dyDescent="0.3">
      <c r="A893" s="1256"/>
      <c r="B893" s="1257">
        <v>7</v>
      </c>
      <c r="C893" s="1258">
        <v>5</v>
      </c>
      <c r="D893" s="1259">
        <v>4899857</v>
      </c>
      <c r="E893" s="1257">
        <v>6</v>
      </c>
      <c r="F893" s="1260">
        <v>4899857</v>
      </c>
    </row>
    <row r="894" spans="1:7" s="886" customFormat="1" ht="18.75" x14ac:dyDescent="0.3">
      <c r="A894" s="1256"/>
      <c r="B894" s="1257">
        <v>8</v>
      </c>
      <c r="C894" s="1258">
        <v>0</v>
      </c>
      <c r="D894" s="1259">
        <v>0</v>
      </c>
      <c r="E894" s="1257">
        <v>0</v>
      </c>
      <c r="F894" s="1260">
        <v>0</v>
      </c>
      <c r="G894" s="890"/>
    </row>
    <row r="895" spans="1:7" s="886" customFormat="1" ht="18.75" x14ac:dyDescent="0.3">
      <c r="A895" s="1256"/>
      <c r="B895" s="1257">
        <v>9</v>
      </c>
      <c r="C895" s="1258">
        <v>4</v>
      </c>
      <c r="D895" s="1259">
        <v>1822331</v>
      </c>
      <c r="E895" s="1257">
        <v>2</v>
      </c>
      <c r="F895" s="1260">
        <v>1822331</v>
      </c>
    </row>
    <row r="896" spans="1:7" s="886" customFormat="1" ht="18.75" x14ac:dyDescent="0.3">
      <c r="A896" s="1256"/>
      <c r="B896" s="1257">
        <v>10</v>
      </c>
      <c r="C896" s="1258">
        <v>9</v>
      </c>
      <c r="D896" s="1259">
        <v>7657165</v>
      </c>
      <c r="E896" s="1257">
        <v>6</v>
      </c>
      <c r="F896" s="1260">
        <v>7657165</v>
      </c>
      <c r="G896" s="891"/>
    </row>
    <row r="897" spans="1:7" s="886" customFormat="1" ht="19.5" thickBot="1" x14ac:dyDescent="0.35">
      <c r="A897" s="1256"/>
      <c r="B897" s="1257">
        <v>12</v>
      </c>
      <c r="C897" s="1258">
        <v>4</v>
      </c>
      <c r="D897" s="1259">
        <v>7306142</v>
      </c>
      <c r="E897" s="1257">
        <v>6</v>
      </c>
      <c r="F897" s="1260">
        <v>7306142</v>
      </c>
    </row>
    <row r="898" spans="1:7" s="886" customFormat="1" ht="23.25" customHeight="1" thickBot="1" x14ac:dyDescent="0.35">
      <c r="A898" s="1261" t="s">
        <v>188</v>
      </c>
      <c r="B898" s="1262"/>
      <c r="C898" s="1151">
        <f>SUM(C893:C897)</f>
        <v>22</v>
      </c>
      <c r="D898" s="1264">
        <f>SUM(D893:D897)</f>
        <v>21685495</v>
      </c>
      <c r="E898" s="1265">
        <f>SUM(E893:E897)</f>
        <v>20</v>
      </c>
      <c r="F898" s="1266">
        <f>SUM(F893:F897)</f>
        <v>21685495</v>
      </c>
    </row>
    <row r="899" spans="1:7" s="886" customFormat="1" ht="18.75" x14ac:dyDescent="0.3">
      <c r="A899" s="1256"/>
      <c r="B899" s="1257">
        <v>13</v>
      </c>
      <c r="C899" s="1258">
        <v>4</v>
      </c>
      <c r="D899" s="1259">
        <v>4180695</v>
      </c>
      <c r="E899" s="1257">
        <v>3</v>
      </c>
      <c r="F899" s="1260">
        <v>4180695</v>
      </c>
      <c r="G899" s="891"/>
    </row>
    <row r="900" spans="1:7" s="886" customFormat="1" ht="18.75" x14ac:dyDescent="0.3">
      <c r="A900" s="1256"/>
      <c r="B900" s="1257">
        <v>14</v>
      </c>
      <c r="C900" s="1258">
        <v>11</v>
      </c>
      <c r="D900" s="1259">
        <v>13638795</v>
      </c>
      <c r="E900" s="1257">
        <v>9</v>
      </c>
      <c r="F900" s="1260">
        <v>13670278</v>
      </c>
    </row>
    <row r="901" spans="1:7" s="886" customFormat="1" ht="18.75" x14ac:dyDescent="0.3">
      <c r="A901" s="1256"/>
      <c r="B901" s="1257">
        <v>15</v>
      </c>
      <c r="C901" s="1258">
        <v>1</v>
      </c>
      <c r="D901" s="1259">
        <v>1936201</v>
      </c>
      <c r="E901" s="1257">
        <v>1</v>
      </c>
      <c r="F901" s="1260">
        <v>1936201</v>
      </c>
      <c r="G901" s="891"/>
    </row>
    <row r="902" spans="1:7" s="886" customFormat="1" ht="19.5" thickBot="1" x14ac:dyDescent="0.35">
      <c r="A902" s="1256"/>
      <c r="B902" s="1257">
        <v>16</v>
      </c>
      <c r="C902" s="1258">
        <v>1</v>
      </c>
      <c r="D902" s="1259">
        <v>2601897</v>
      </c>
      <c r="E902" s="1257">
        <v>1</v>
      </c>
      <c r="F902" s="1260">
        <v>2601897</v>
      </c>
    </row>
    <row r="903" spans="1:7" s="886" customFormat="1" ht="20.25" customHeight="1" thickBot="1" x14ac:dyDescent="0.35">
      <c r="A903" s="1261" t="s">
        <v>2917</v>
      </c>
      <c r="B903" s="1262"/>
      <c r="C903" s="1151">
        <f>SUM(C899:C902)</f>
        <v>17</v>
      </c>
      <c r="D903" s="1267">
        <f>SUM(D899:D902)</f>
        <v>22357588</v>
      </c>
      <c r="E903" s="1265">
        <f>SUM(E899:E902)</f>
        <v>14</v>
      </c>
      <c r="F903" s="1267">
        <f>SUM(F899:F902)</f>
        <v>22389071</v>
      </c>
    </row>
    <row r="904" spans="1:7" s="886" customFormat="1" ht="22.5" customHeight="1" thickBot="1" x14ac:dyDescent="0.35">
      <c r="A904" s="1268" t="s">
        <v>190</v>
      </c>
      <c r="B904" s="1269"/>
      <c r="C904" s="1270">
        <v>114</v>
      </c>
      <c r="D904" s="1271">
        <f>SUM(D903,D898,D892)</f>
        <v>74052583</v>
      </c>
      <c r="E904" s="1269">
        <f>SUM(E903,E898,E892)</f>
        <v>99</v>
      </c>
      <c r="F904" s="1271">
        <f>SUM(F903,F898,F892)</f>
        <v>74684066</v>
      </c>
    </row>
    <row r="905" spans="1:7" s="886" customFormat="1" ht="18.75" x14ac:dyDescent="0.3">
      <c r="A905" s="1272" t="s">
        <v>2919</v>
      </c>
      <c r="B905" s="1257"/>
      <c r="C905" s="1258">
        <v>1</v>
      </c>
      <c r="D905" s="1259">
        <v>2378117</v>
      </c>
      <c r="E905" s="1257">
        <v>1</v>
      </c>
      <c r="F905" s="1260">
        <v>2378117</v>
      </c>
    </row>
    <row r="906" spans="1:7" s="886" customFormat="1" ht="19.5" thickBot="1" x14ac:dyDescent="0.35">
      <c r="A906" s="1273" t="s">
        <v>2918</v>
      </c>
      <c r="B906" s="1257"/>
      <c r="C906" s="1258" t="s">
        <v>179</v>
      </c>
      <c r="D906" s="1259">
        <v>713435</v>
      </c>
      <c r="E906" s="1257">
        <v>0</v>
      </c>
      <c r="F906" s="1260">
        <v>713435</v>
      </c>
    </row>
    <row r="907" spans="1:7" s="886" customFormat="1" ht="19.5" thickBot="1" x14ac:dyDescent="0.35">
      <c r="A907" s="1261" t="s">
        <v>117</v>
      </c>
      <c r="B907" s="1262"/>
      <c r="C907" s="1151">
        <v>1</v>
      </c>
      <c r="D907" s="1264">
        <f>SUM(D905:D906)</f>
        <v>3091552</v>
      </c>
      <c r="E907" s="1262">
        <f>SUM(E905:E906)</f>
        <v>1</v>
      </c>
      <c r="F907" s="1266">
        <f>SUM(F905:F906)</f>
        <v>3091552</v>
      </c>
    </row>
    <row r="908" spans="1:7" s="886" customFormat="1" ht="19.5" thickBot="1" x14ac:dyDescent="0.35">
      <c r="A908" s="1261" t="s">
        <v>2599</v>
      </c>
      <c r="B908" s="1262"/>
      <c r="C908" s="1274">
        <f>C904+C907</f>
        <v>115</v>
      </c>
      <c r="D908" s="1267">
        <f>D904+D907</f>
        <v>77144135</v>
      </c>
      <c r="E908" s="1265">
        <f>E904+E907</f>
        <v>100</v>
      </c>
      <c r="F908" s="1267">
        <f>F904+F907</f>
        <v>77775618</v>
      </c>
    </row>
    <row r="909" spans="1:7" x14ac:dyDescent="0.2">
      <c r="A909" s="3545"/>
      <c r="B909" s="3545"/>
      <c r="C909" s="3545"/>
      <c r="D909" s="3545"/>
      <c r="E909" s="3545"/>
      <c r="F909" s="3545"/>
    </row>
    <row r="910" spans="1:7" s="886" customFormat="1" ht="18.75" x14ac:dyDescent="0.3">
      <c r="A910" s="3557" t="s">
        <v>183</v>
      </c>
      <c r="B910" s="3557"/>
      <c r="C910" s="3557"/>
      <c r="D910" s="3557"/>
      <c r="E910" s="3557"/>
      <c r="F910" s="885"/>
    </row>
    <row r="911" spans="1:7" s="886" customFormat="1" ht="19.5" customHeight="1" thickBot="1" x14ac:dyDescent="0.35">
      <c r="A911" s="3558" t="s">
        <v>2920</v>
      </c>
      <c r="B911" s="3558"/>
      <c r="C911" s="3558"/>
      <c r="D911" s="3558"/>
      <c r="E911" s="3558"/>
      <c r="F911" s="3558"/>
    </row>
    <row r="912" spans="1:7" s="887" customFormat="1" ht="39.75" thickBot="1" x14ac:dyDescent="0.25">
      <c r="A912" s="1247" t="s">
        <v>185</v>
      </c>
      <c r="B912" s="1248" t="s">
        <v>186</v>
      </c>
      <c r="C912" s="1250" t="s">
        <v>564</v>
      </c>
      <c r="D912" s="1248" t="s">
        <v>1482</v>
      </c>
      <c r="E912" s="1250" t="s">
        <v>1129</v>
      </c>
      <c r="F912" s="1209" t="s">
        <v>3096</v>
      </c>
    </row>
    <row r="913" spans="1:7" s="886" customFormat="1" ht="18.75" x14ac:dyDescent="0.3">
      <c r="A913" s="1251"/>
      <c r="B913" s="1251">
        <v>1</v>
      </c>
      <c r="C913" s="1254"/>
      <c r="D913" s="1254">
        <v>0</v>
      </c>
      <c r="E913" s="1275">
        <v>0</v>
      </c>
      <c r="F913" s="1255">
        <v>0</v>
      </c>
    </row>
    <row r="914" spans="1:7" s="886" customFormat="1" ht="18.75" x14ac:dyDescent="0.3">
      <c r="A914" s="1256"/>
      <c r="B914" s="1256">
        <v>2</v>
      </c>
      <c r="C914" s="892"/>
      <c r="D914" s="892">
        <v>646691</v>
      </c>
      <c r="E914" s="1276">
        <v>1</v>
      </c>
      <c r="F914" s="1260">
        <v>443980</v>
      </c>
    </row>
    <row r="915" spans="1:7" s="886" customFormat="1" ht="18.75" x14ac:dyDescent="0.3">
      <c r="A915" s="1256"/>
      <c r="B915" s="1256">
        <v>3</v>
      </c>
      <c r="C915" s="892"/>
      <c r="D915" s="892">
        <v>3156150</v>
      </c>
      <c r="E915" s="1276">
        <v>8</v>
      </c>
      <c r="F915" s="1260">
        <v>3799220</v>
      </c>
    </row>
    <row r="916" spans="1:7" s="886" customFormat="1" ht="18.75" x14ac:dyDescent="0.3">
      <c r="A916" s="1256"/>
      <c r="B916" s="1256">
        <v>4</v>
      </c>
      <c r="C916" s="892"/>
      <c r="D916" s="892">
        <v>28237557</v>
      </c>
      <c r="E916" s="1276">
        <v>36</v>
      </c>
      <c r="F916" s="1260">
        <v>19476755</v>
      </c>
    </row>
    <row r="917" spans="1:7" s="886" customFormat="1" ht="18.75" x14ac:dyDescent="0.3">
      <c r="A917" s="1256"/>
      <c r="B917" s="1256">
        <v>5</v>
      </c>
      <c r="C917" s="892"/>
      <c r="D917" s="892">
        <v>7974991</v>
      </c>
      <c r="E917" s="1276">
        <v>16</v>
      </c>
      <c r="F917" s="1260">
        <v>8651595</v>
      </c>
    </row>
    <row r="918" spans="1:7" s="886" customFormat="1" ht="19.5" thickBot="1" x14ac:dyDescent="0.35">
      <c r="A918" s="1256"/>
      <c r="B918" s="1256">
        <v>6</v>
      </c>
      <c r="C918" s="893"/>
      <c r="D918" s="893">
        <v>32897890</v>
      </c>
      <c r="E918" s="1276">
        <v>53</v>
      </c>
      <c r="F918" s="1260">
        <v>29781935</v>
      </c>
    </row>
    <row r="919" spans="1:7" s="889" customFormat="1" ht="19.5" thickBot="1" x14ac:dyDescent="0.35">
      <c r="A919" s="1261" t="s">
        <v>187</v>
      </c>
      <c r="B919" s="1262"/>
      <c r="C919" s="1277">
        <f>SUM(C913:C918)</f>
        <v>0</v>
      </c>
      <c r="D919" s="1277">
        <f>SUM(D913:D918)</f>
        <v>72913279</v>
      </c>
      <c r="E919" s="1265">
        <f>SUM(E913:E918)</f>
        <v>114</v>
      </c>
      <c r="F919" s="1266">
        <f>SUM(F913:F918)</f>
        <v>62153485</v>
      </c>
      <c r="G919" s="888"/>
    </row>
    <row r="920" spans="1:7" s="886" customFormat="1" ht="18.75" x14ac:dyDescent="0.3">
      <c r="A920" s="1256"/>
      <c r="B920" s="1257">
        <v>7</v>
      </c>
      <c r="C920" s="1259"/>
      <c r="D920" s="1259">
        <v>9306002</v>
      </c>
      <c r="E920" s="1257">
        <v>82</v>
      </c>
      <c r="F920" s="1260">
        <v>57137521</v>
      </c>
    </row>
    <row r="921" spans="1:7" s="886" customFormat="1" ht="18.75" x14ac:dyDescent="0.3">
      <c r="A921" s="1256"/>
      <c r="B921" s="1257">
        <v>8</v>
      </c>
      <c r="C921" s="1259"/>
      <c r="D921" s="1259">
        <v>8497555</v>
      </c>
      <c r="E921" s="1257">
        <v>10</v>
      </c>
      <c r="F921" s="1260">
        <v>8620029</v>
      </c>
      <c r="G921" s="890"/>
    </row>
    <row r="922" spans="1:7" s="886" customFormat="1" ht="18.75" x14ac:dyDescent="0.3">
      <c r="A922" s="1256"/>
      <c r="B922" s="1257">
        <v>9</v>
      </c>
      <c r="C922" s="1259"/>
      <c r="D922" s="1259">
        <v>14511058</v>
      </c>
      <c r="E922" s="1257">
        <v>17</v>
      </c>
      <c r="F922" s="1260">
        <v>19548140</v>
      </c>
    </row>
    <row r="923" spans="1:7" s="886" customFormat="1" ht="18.75" x14ac:dyDescent="0.3">
      <c r="A923" s="1256"/>
      <c r="B923" s="1257">
        <v>10</v>
      </c>
      <c r="C923" s="1259"/>
      <c r="D923" s="1259">
        <v>15613980</v>
      </c>
      <c r="E923" s="1257">
        <v>12</v>
      </c>
      <c r="F923" s="1260">
        <v>14433107</v>
      </c>
      <c r="G923" s="891"/>
    </row>
    <row r="924" spans="1:7" s="886" customFormat="1" ht="19.5" thickBot="1" x14ac:dyDescent="0.35">
      <c r="A924" s="1256"/>
      <c r="B924" s="1257">
        <v>12</v>
      </c>
      <c r="C924" s="1259"/>
      <c r="D924" s="1259">
        <v>37321979</v>
      </c>
      <c r="E924" s="1257">
        <v>23</v>
      </c>
      <c r="F924" s="1260">
        <v>30164080</v>
      </c>
    </row>
    <row r="925" spans="1:7" s="886" customFormat="1" ht="23.25" customHeight="1" thickBot="1" x14ac:dyDescent="0.35">
      <c r="A925" s="1261" t="s">
        <v>188</v>
      </c>
      <c r="B925" s="1262"/>
      <c r="C925" s="1264">
        <f>SUM(C920:C924)</f>
        <v>0</v>
      </c>
      <c r="D925" s="1264">
        <f>SUM(D920:D924)</f>
        <v>85250574</v>
      </c>
      <c r="E925" s="1265">
        <f>SUM(E920:E924)</f>
        <v>144</v>
      </c>
      <c r="F925" s="1266">
        <f>SUM(F920:F924)</f>
        <v>129902877</v>
      </c>
    </row>
    <row r="926" spans="1:7" s="886" customFormat="1" ht="18.75" x14ac:dyDescent="0.3">
      <c r="A926" s="1256"/>
      <c r="B926" s="1257">
        <v>13</v>
      </c>
      <c r="C926" s="1259"/>
      <c r="D926" s="1259">
        <v>22490384</v>
      </c>
      <c r="E926" s="1257">
        <v>12</v>
      </c>
      <c r="F926" s="1260">
        <v>16774485</v>
      </c>
      <c r="G926" s="891"/>
    </row>
    <row r="927" spans="1:7" s="886" customFormat="1" ht="18.75" x14ac:dyDescent="0.3">
      <c r="A927" s="1256"/>
      <c r="B927" s="1257">
        <v>14</v>
      </c>
      <c r="C927" s="1259"/>
      <c r="D927" s="1259">
        <v>107493132</v>
      </c>
      <c r="E927" s="1257">
        <v>58</v>
      </c>
      <c r="F927" s="1260">
        <v>91096310</v>
      </c>
    </row>
    <row r="928" spans="1:7" s="886" customFormat="1" ht="18.75" x14ac:dyDescent="0.3">
      <c r="A928" s="1256"/>
      <c r="B928" s="1257">
        <v>15</v>
      </c>
      <c r="C928" s="1259"/>
      <c r="D928" s="1259">
        <v>10795852</v>
      </c>
      <c r="E928" s="1257">
        <v>9</v>
      </c>
      <c r="F928" s="1260">
        <v>15968930</v>
      </c>
      <c r="G928" s="891"/>
    </row>
    <row r="929" spans="1:6" s="886" customFormat="1" ht="19.5" thickBot="1" x14ac:dyDescent="0.35">
      <c r="A929" s="1256"/>
      <c r="B929" s="1257">
        <v>16</v>
      </c>
      <c r="C929" s="1259"/>
      <c r="D929" s="1259">
        <v>17037934</v>
      </c>
      <c r="E929" s="1257">
        <v>6</v>
      </c>
      <c r="F929" s="1260">
        <v>14701315</v>
      </c>
    </row>
    <row r="930" spans="1:6" s="886" customFormat="1" ht="20.25" customHeight="1" thickBot="1" x14ac:dyDescent="0.35">
      <c r="A930" s="1261" t="s">
        <v>2917</v>
      </c>
      <c r="B930" s="1262"/>
      <c r="C930" s="1267">
        <f>SUM(C926:C929)</f>
        <v>0</v>
      </c>
      <c r="D930" s="1267">
        <f>SUM(D926:D929)</f>
        <v>157817302</v>
      </c>
      <c r="E930" s="1265">
        <f>SUM(E926:E929)</f>
        <v>85</v>
      </c>
      <c r="F930" s="1267">
        <f>SUM(F926:F929)</f>
        <v>138541040</v>
      </c>
    </row>
    <row r="931" spans="1:6" s="886" customFormat="1" ht="22.5" customHeight="1" thickBot="1" x14ac:dyDescent="0.35">
      <c r="A931" s="1268" t="s">
        <v>190</v>
      </c>
      <c r="B931" s="1269"/>
      <c r="C931" s="1271">
        <f>SUM(C930,C925,C919)</f>
        <v>0</v>
      </c>
      <c r="D931" s="1271">
        <f>SUM(D930,D925,D919)</f>
        <v>315981155</v>
      </c>
      <c r="E931" s="1269">
        <f>SUM(E930,E925,E919)</f>
        <v>343</v>
      </c>
      <c r="F931" s="1271">
        <f>SUM(F930,F925,F919)</f>
        <v>330597402</v>
      </c>
    </row>
    <row r="932" spans="1:6" s="886" customFormat="1" ht="22.5" customHeight="1" thickBot="1" x14ac:dyDescent="0.35">
      <c r="A932" s="1268"/>
      <c r="B932" s="1269"/>
      <c r="C932" s="1271"/>
      <c r="D932" s="1271"/>
      <c r="E932" s="1269"/>
      <c r="F932" s="1271">
        <v>0</v>
      </c>
    </row>
    <row r="933" spans="1:6" s="886" customFormat="1" ht="19.5" thickBot="1" x14ac:dyDescent="0.35">
      <c r="A933" s="1278" t="s">
        <v>2598</v>
      </c>
      <c r="B933" s="1262"/>
      <c r="C933" s="1267">
        <f>SUM(C930,C925,C919)</f>
        <v>0</v>
      </c>
      <c r="D933" s="1267">
        <f>SUM(D930,D925,D919)</f>
        <v>315981155</v>
      </c>
      <c r="E933" s="1265">
        <f>SUM(E930,E925,E919)</f>
        <v>343</v>
      </c>
      <c r="F933" s="1267">
        <f>SUM(F930,F925,F919)</f>
        <v>330597402</v>
      </c>
    </row>
    <row r="934" spans="1:6" s="886" customFormat="1" ht="18.75" x14ac:dyDescent="0.3">
      <c r="A934" s="1279"/>
      <c r="B934" s="1279"/>
      <c r="C934" s="1280"/>
      <c r="D934" s="1280"/>
      <c r="E934" s="1280"/>
      <c r="F934" s="1280"/>
    </row>
    <row r="935" spans="1:6" x14ac:dyDescent="0.2">
      <c r="A935" s="3545" t="s">
        <v>183</v>
      </c>
      <c r="B935" s="3545"/>
      <c r="C935" s="3545"/>
      <c r="D935" s="3545"/>
      <c r="E935" s="3545"/>
      <c r="F935" s="3545"/>
    </row>
    <row r="936" spans="1:6" ht="21" thickBot="1" x14ac:dyDescent="0.25">
      <c r="A936" s="3546" t="s">
        <v>1201</v>
      </c>
      <c r="B936" s="3546"/>
      <c r="C936" s="3546"/>
      <c r="D936" s="3546"/>
      <c r="E936" s="3546"/>
      <c r="F936" s="3546"/>
    </row>
    <row r="937" spans="1:6" s="988" customFormat="1" ht="41.25" thickBot="1" x14ac:dyDescent="0.25">
      <c r="A937" s="920" t="s">
        <v>185</v>
      </c>
      <c r="B937" s="921" t="s">
        <v>186</v>
      </c>
      <c r="C937" s="922" t="s">
        <v>564</v>
      </c>
      <c r="D937" s="923" t="s">
        <v>1128</v>
      </c>
      <c r="E937" s="922" t="s">
        <v>1129</v>
      </c>
      <c r="F937" s="923" t="s">
        <v>3096</v>
      </c>
    </row>
    <row r="938" spans="1:6" x14ac:dyDescent="0.2">
      <c r="A938" s="925"/>
      <c r="B938" s="932">
        <v>1</v>
      </c>
      <c r="C938" s="927" t="s">
        <v>179</v>
      </c>
      <c r="D938" s="989" t="s">
        <v>179</v>
      </c>
      <c r="E938" s="927" t="s">
        <v>179</v>
      </c>
      <c r="F938" s="934" t="s">
        <v>179</v>
      </c>
    </row>
    <row r="939" spans="1:6" x14ac:dyDescent="0.2">
      <c r="A939" s="931"/>
      <c r="B939" s="932">
        <v>2</v>
      </c>
      <c r="C939" s="933" t="s">
        <v>179</v>
      </c>
      <c r="D939" s="989" t="s">
        <v>179</v>
      </c>
      <c r="E939" s="933" t="s">
        <v>179</v>
      </c>
      <c r="F939" s="934" t="s">
        <v>179</v>
      </c>
    </row>
    <row r="940" spans="1:6" x14ac:dyDescent="0.2">
      <c r="A940" s="931"/>
      <c r="B940" s="932">
        <v>3</v>
      </c>
      <c r="C940" s="933" t="s">
        <v>179</v>
      </c>
      <c r="D940" s="989" t="s">
        <v>179</v>
      </c>
      <c r="E940" s="933" t="s">
        <v>179</v>
      </c>
      <c r="F940" s="934" t="s">
        <v>179</v>
      </c>
    </row>
    <row r="941" spans="1:6" x14ac:dyDescent="0.2">
      <c r="A941" s="931"/>
      <c r="B941" s="932">
        <v>4</v>
      </c>
      <c r="C941" s="933" t="s">
        <v>179</v>
      </c>
      <c r="D941" s="989" t="s">
        <v>179</v>
      </c>
      <c r="E941" s="933" t="s">
        <v>179</v>
      </c>
      <c r="F941" s="934" t="s">
        <v>179</v>
      </c>
    </row>
    <row r="942" spans="1:6" x14ac:dyDescent="0.2">
      <c r="A942" s="931"/>
      <c r="B942" s="932">
        <v>5</v>
      </c>
      <c r="C942" s="933" t="s">
        <v>179</v>
      </c>
      <c r="D942" s="989" t="s">
        <v>179</v>
      </c>
      <c r="E942" s="933" t="s">
        <v>179</v>
      </c>
      <c r="F942" s="934" t="s">
        <v>179</v>
      </c>
    </row>
    <row r="943" spans="1:6" ht="21" thickBot="1" x14ac:dyDescent="0.25">
      <c r="A943" s="931"/>
      <c r="B943" s="932">
        <v>6</v>
      </c>
      <c r="C943" s="933" t="s">
        <v>179</v>
      </c>
      <c r="D943" s="989" t="s">
        <v>179</v>
      </c>
      <c r="E943" s="933" t="s">
        <v>179</v>
      </c>
      <c r="F943" s="934" t="s">
        <v>179</v>
      </c>
    </row>
    <row r="944" spans="1:6" ht="21" thickBot="1" x14ac:dyDescent="0.25">
      <c r="A944" s="937" t="s">
        <v>187</v>
      </c>
      <c r="B944" s="938"/>
      <c r="C944" s="968">
        <f>SUM(C938:C943)</f>
        <v>0</v>
      </c>
      <c r="D944" s="940">
        <f>SUM(D938:D943)</f>
        <v>0</v>
      </c>
      <c r="E944" s="968">
        <f>SUM(E938:E943)</f>
        <v>0</v>
      </c>
      <c r="F944" s="940">
        <f>SUM(F938:F943)</f>
        <v>0</v>
      </c>
    </row>
    <row r="945" spans="1:6" x14ac:dyDescent="0.2">
      <c r="A945" s="931"/>
      <c r="B945" s="932">
        <v>7</v>
      </c>
      <c r="C945" s="933" t="s">
        <v>179</v>
      </c>
      <c r="D945" s="989" t="s">
        <v>179</v>
      </c>
      <c r="E945" s="933" t="s">
        <v>179</v>
      </c>
      <c r="F945" s="934" t="s">
        <v>179</v>
      </c>
    </row>
    <row r="946" spans="1:6" x14ac:dyDescent="0.2">
      <c r="A946" s="931"/>
      <c r="B946" s="932">
        <v>8</v>
      </c>
      <c r="C946" s="933" t="s">
        <v>179</v>
      </c>
      <c r="D946" s="989" t="s">
        <v>179</v>
      </c>
      <c r="E946" s="933" t="s">
        <v>179</v>
      </c>
      <c r="F946" s="934" t="s">
        <v>179</v>
      </c>
    </row>
    <row r="947" spans="1:6" x14ac:dyDescent="0.2">
      <c r="A947" s="931"/>
      <c r="B947" s="932">
        <v>9</v>
      </c>
      <c r="C947" s="933" t="s">
        <v>179</v>
      </c>
      <c r="D947" s="989" t="s">
        <v>179</v>
      </c>
      <c r="E947" s="933" t="s">
        <v>179</v>
      </c>
      <c r="F947" s="934" t="s">
        <v>179</v>
      </c>
    </row>
    <row r="948" spans="1:6" x14ac:dyDescent="0.2">
      <c r="A948" s="931"/>
      <c r="B948" s="932">
        <v>10</v>
      </c>
      <c r="C948" s="933" t="s">
        <v>179</v>
      </c>
      <c r="D948" s="989" t="s">
        <v>179</v>
      </c>
      <c r="E948" s="933" t="s">
        <v>179</v>
      </c>
      <c r="F948" s="934" t="s">
        <v>179</v>
      </c>
    </row>
    <row r="949" spans="1:6" ht="21" thickBot="1" x14ac:dyDescent="0.25">
      <c r="A949" s="931"/>
      <c r="B949" s="932">
        <v>12</v>
      </c>
      <c r="C949" s="933" t="s">
        <v>179</v>
      </c>
      <c r="D949" s="989" t="s">
        <v>179</v>
      </c>
      <c r="E949" s="933" t="s">
        <v>179</v>
      </c>
      <c r="F949" s="934" t="s">
        <v>179</v>
      </c>
    </row>
    <row r="950" spans="1:6" ht="21" thickBot="1" x14ac:dyDescent="0.25">
      <c r="A950" s="937" t="s">
        <v>188</v>
      </c>
      <c r="B950" s="938"/>
      <c r="C950" s="968">
        <f>SUM(C945:C949)</f>
        <v>0</v>
      </c>
      <c r="D950" s="1032">
        <f>SUM(D945:D949)</f>
        <v>0</v>
      </c>
      <c r="E950" s="968">
        <f>SUM(E945:E949)</f>
        <v>0</v>
      </c>
      <c r="F950" s="940">
        <f>SUM(F945:F949)</f>
        <v>0</v>
      </c>
    </row>
    <row r="951" spans="1:6" x14ac:dyDescent="0.2">
      <c r="A951" s="931"/>
      <c r="B951" s="932">
        <v>13</v>
      </c>
      <c r="C951" s="933" t="s">
        <v>179</v>
      </c>
      <c r="D951" s="989" t="s">
        <v>179</v>
      </c>
      <c r="E951" s="933" t="s">
        <v>179</v>
      </c>
      <c r="F951" s="934" t="s">
        <v>179</v>
      </c>
    </row>
    <row r="952" spans="1:6" x14ac:dyDescent="0.2">
      <c r="A952" s="931"/>
      <c r="B952" s="932">
        <v>14</v>
      </c>
      <c r="C952" s="933" t="s">
        <v>179</v>
      </c>
      <c r="D952" s="989" t="s">
        <v>179</v>
      </c>
      <c r="E952" s="933" t="s">
        <v>179</v>
      </c>
      <c r="F952" s="934" t="s">
        <v>179</v>
      </c>
    </row>
    <row r="953" spans="1:6" x14ac:dyDescent="0.2">
      <c r="A953" s="931"/>
      <c r="B953" s="932">
        <v>15</v>
      </c>
      <c r="C953" s="933" t="s">
        <v>179</v>
      </c>
      <c r="D953" s="989" t="s">
        <v>179</v>
      </c>
      <c r="E953" s="933" t="s">
        <v>179</v>
      </c>
      <c r="F953" s="934" t="s">
        <v>179</v>
      </c>
    </row>
    <row r="954" spans="1:6" x14ac:dyDescent="0.2">
      <c r="A954" s="931"/>
      <c r="B954" s="932">
        <v>16</v>
      </c>
      <c r="C954" s="933" t="s">
        <v>179</v>
      </c>
      <c r="D954" s="989" t="s">
        <v>179</v>
      </c>
      <c r="E954" s="933" t="s">
        <v>179</v>
      </c>
      <c r="F954" s="934" t="s">
        <v>179</v>
      </c>
    </row>
    <row r="955" spans="1:6" ht="21" thickBot="1" x14ac:dyDescent="0.25">
      <c r="A955" s="931" t="s">
        <v>3001</v>
      </c>
      <c r="C955" s="933"/>
      <c r="E955" s="933"/>
      <c r="F955" s="934">
        <v>8400000</v>
      </c>
    </row>
    <row r="956" spans="1:6" ht="21" thickBot="1" x14ac:dyDescent="0.25">
      <c r="A956" s="937" t="s">
        <v>189</v>
      </c>
      <c r="B956" s="938"/>
      <c r="C956" s="968">
        <f>SUM(C951:C955)</f>
        <v>0</v>
      </c>
      <c r="D956" s="1032">
        <f>SUM(D951:D955)</f>
        <v>0</v>
      </c>
      <c r="E956" s="968">
        <f>SUM(E951:E955)</f>
        <v>0</v>
      </c>
      <c r="F956" s="940">
        <f>SUM(F951:F955)</f>
        <v>8400000</v>
      </c>
    </row>
    <row r="957" spans="1:6" ht="21" thickBot="1" x14ac:dyDescent="0.25">
      <c r="A957" s="990" t="s">
        <v>190</v>
      </c>
      <c r="B957" s="991"/>
      <c r="C957" s="968">
        <f>SUM(C956,C950,C944)</f>
        <v>0</v>
      </c>
      <c r="D957" s="1032">
        <f>SUM(D956,D950,D944)</f>
        <v>0</v>
      </c>
      <c r="E957" s="968">
        <f>SUM(E956,E950,E944)</f>
        <v>0</v>
      </c>
      <c r="F957" s="940">
        <f>SUM(F956,F950,F944)</f>
        <v>8400000</v>
      </c>
    </row>
    <row r="958" spans="1:6" x14ac:dyDescent="0.2">
      <c r="A958" s="919" t="s">
        <v>200</v>
      </c>
      <c r="C958" s="933">
        <v>1</v>
      </c>
      <c r="D958" s="1089">
        <v>1250110</v>
      </c>
      <c r="E958" s="933">
        <v>1</v>
      </c>
      <c r="F958" s="1149">
        <v>1250110</v>
      </c>
    </row>
    <row r="959" spans="1:6" ht="21" thickBot="1" x14ac:dyDescent="0.25">
      <c r="A959" s="919" t="s">
        <v>201</v>
      </c>
      <c r="C959" s="933"/>
      <c r="D959" s="1089">
        <v>4479705</v>
      </c>
      <c r="E959" s="933"/>
      <c r="F959" s="1149">
        <v>4479705</v>
      </c>
    </row>
    <row r="960" spans="1:6" ht="21" thickBot="1" x14ac:dyDescent="0.25">
      <c r="A960" s="1169" t="s">
        <v>117</v>
      </c>
      <c r="B960" s="1077"/>
      <c r="C960" s="952">
        <f>SUM(C958:C959)</f>
        <v>1</v>
      </c>
      <c r="D960" s="940">
        <f>SUM(D958:D959)</f>
        <v>5729815</v>
      </c>
      <c r="E960" s="952">
        <f>SUM(E958:E959)</f>
        <v>1</v>
      </c>
      <c r="F960" s="940">
        <f>SUM(F958:F959)</f>
        <v>5729815</v>
      </c>
    </row>
    <row r="961" spans="1:6" ht="21" thickBot="1" x14ac:dyDescent="0.25">
      <c r="A961" s="1169" t="s">
        <v>2679</v>
      </c>
      <c r="B961" s="938"/>
      <c r="C961" s="939">
        <f>SUM(C957,C960)</f>
        <v>1</v>
      </c>
      <c r="D961" s="1032">
        <f>SUM(D957,D960)</f>
        <v>5729815</v>
      </c>
      <c r="E961" s="939">
        <f>SUM(E957,E960)</f>
        <v>1</v>
      </c>
      <c r="F961" s="940">
        <f>SUM(F957,F960)</f>
        <v>14129815</v>
      </c>
    </row>
    <row r="962" spans="1:6" x14ac:dyDescent="0.2">
      <c r="A962" s="3545"/>
      <c r="B962" s="3545"/>
      <c r="C962" s="3545"/>
      <c r="D962" s="3545"/>
      <c r="E962" s="3545"/>
      <c r="F962" s="3545"/>
    </row>
    <row r="963" spans="1:6" x14ac:dyDescent="0.2">
      <c r="A963" s="3545" t="s">
        <v>183</v>
      </c>
      <c r="B963" s="3545"/>
      <c r="C963" s="3545"/>
      <c r="D963" s="3545"/>
      <c r="E963" s="3545"/>
      <c r="F963" s="3545"/>
    </row>
    <row r="964" spans="1:6" ht="21" thickBot="1" x14ac:dyDescent="0.25">
      <c r="A964" s="3546" t="s">
        <v>348</v>
      </c>
      <c r="B964" s="3546"/>
      <c r="C964" s="3546"/>
      <c r="D964" s="3546"/>
      <c r="E964" s="3546"/>
      <c r="F964" s="3546"/>
    </row>
    <row r="965" spans="1:6" s="988" customFormat="1" ht="41.25" thickBot="1" x14ac:dyDescent="0.25">
      <c r="A965" s="920" t="s">
        <v>185</v>
      </c>
      <c r="B965" s="921" t="s">
        <v>186</v>
      </c>
      <c r="C965" s="922" t="s">
        <v>564</v>
      </c>
      <c r="D965" s="923" t="s">
        <v>1128</v>
      </c>
      <c r="E965" s="1159" t="s">
        <v>1129</v>
      </c>
      <c r="F965" s="923" t="s">
        <v>3096</v>
      </c>
    </row>
    <row r="966" spans="1:6" x14ac:dyDescent="0.2">
      <c r="A966" s="925"/>
      <c r="B966" s="954">
        <v>1</v>
      </c>
      <c r="C966" s="927">
        <v>0</v>
      </c>
      <c r="D966" s="978">
        <v>0</v>
      </c>
      <c r="E966" s="1146">
        <v>0</v>
      </c>
      <c r="F966" s="934">
        <v>0</v>
      </c>
    </row>
    <row r="967" spans="1:6" x14ac:dyDescent="0.2">
      <c r="A967" s="931"/>
      <c r="B967" s="954">
        <v>2</v>
      </c>
      <c r="C967" s="933">
        <v>7</v>
      </c>
      <c r="D967" s="978">
        <v>1671110</v>
      </c>
      <c r="E967" s="955">
        <v>7</v>
      </c>
      <c r="F967" s="934">
        <v>1671110</v>
      </c>
    </row>
    <row r="968" spans="1:6" x14ac:dyDescent="0.2">
      <c r="A968" s="931"/>
      <c r="B968" s="954">
        <v>3</v>
      </c>
      <c r="C968" s="933">
        <v>3</v>
      </c>
      <c r="D968" s="978">
        <v>655080</v>
      </c>
      <c r="E968" s="955">
        <v>3</v>
      </c>
      <c r="F968" s="934">
        <v>655080</v>
      </c>
    </row>
    <row r="969" spans="1:6" x14ac:dyDescent="0.2">
      <c r="A969" s="931"/>
      <c r="B969" s="954">
        <v>4</v>
      </c>
      <c r="C969" s="933">
        <v>7</v>
      </c>
      <c r="D969" s="978">
        <v>2549575</v>
      </c>
      <c r="E969" s="955">
        <v>7</v>
      </c>
      <c r="F969" s="934">
        <v>2549575</v>
      </c>
    </row>
    <row r="970" spans="1:6" x14ac:dyDescent="0.2">
      <c r="A970" s="931"/>
      <c r="B970" s="954">
        <v>5</v>
      </c>
      <c r="C970" s="933">
        <v>1</v>
      </c>
      <c r="D970" s="978">
        <v>396465</v>
      </c>
      <c r="E970" s="955">
        <v>1</v>
      </c>
      <c r="F970" s="934">
        <v>396465</v>
      </c>
    </row>
    <row r="971" spans="1:6" ht="21" thickBot="1" x14ac:dyDescent="0.25">
      <c r="A971" s="931"/>
      <c r="B971" s="954">
        <v>6</v>
      </c>
      <c r="C971" s="933">
        <v>5</v>
      </c>
      <c r="D971" s="978">
        <v>1870275</v>
      </c>
      <c r="E971" s="955">
        <v>5</v>
      </c>
      <c r="F971" s="934">
        <v>1870275</v>
      </c>
    </row>
    <row r="972" spans="1:6" ht="21" thickBot="1" x14ac:dyDescent="0.25">
      <c r="A972" s="937" t="s">
        <v>187</v>
      </c>
      <c r="B972" s="938"/>
      <c r="C972" s="968">
        <f>SUM(C966:C971)</f>
        <v>23</v>
      </c>
      <c r="D972" s="940">
        <f>SUM(D966:D971)</f>
        <v>7142505</v>
      </c>
      <c r="E972" s="962">
        <f>SUM(E966:E971)</f>
        <v>23</v>
      </c>
      <c r="F972" s="940">
        <f>SUM(F966:F971)</f>
        <v>7142505</v>
      </c>
    </row>
    <row r="973" spans="1:6" x14ac:dyDescent="0.2">
      <c r="A973" s="931"/>
      <c r="B973" s="954">
        <v>7</v>
      </c>
      <c r="C973" s="933">
        <v>8</v>
      </c>
      <c r="D973" s="978">
        <v>4321010</v>
      </c>
      <c r="E973" s="955">
        <v>8</v>
      </c>
      <c r="F973" s="934">
        <v>4321010</v>
      </c>
    </row>
    <row r="974" spans="1:6" x14ac:dyDescent="0.2">
      <c r="A974" s="931"/>
      <c r="B974" s="954">
        <v>8</v>
      </c>
      <c r="C974" s="933">
        <v>3</v>
      </c>
      <c r="D974" s="978">
        <v>2187580</v>
      </c>
      <c r="E974" s="955">
        <v>3</v>
      </c>
      <c r="F974" s="934">
        <v>2187580</v>
      </c>
    </row>
    <row r="975" spans="1:6" x14ac:dyDescent="0.2">
      <c r="A975" s="931"/>
      <c r="B975" s="954">
        <v>9</v>
      </c>
      <c r="C975" s="933">
        <v>4</v>
      </c>
      <c r="D975" s="978">
        <v>3473505</v>
      </c>
      <c r="E975" s="955">
        <v>4</v>
      </c>
      <c r="F975" s="934">
        <v>3473505</v>
      </c>
    </row>
    <row r="976" spans="1:6" x14ac:dyDescent="0.2">
      <c r="A976" s="931"/>
      <c r="B976" s="954">
        <v>10</v>
      </c>
      <c r="C976" s="933">
        <v>1</v>
      </c>
      <c r="D976" s="978">
        <v>876070</v>
      </c>
      <c r="E976" s="955">
        <v>1</v>
      </c>
      <c r="F976" s="934">
        <v>876070</v>
      </c>
    </row>
    <row r="977" spans="1:6" ht="21" thickBot="1" x14ac:dyDescent="0.25">
      <c r="A977" s="931"/>
      <c r="B977" s="954">
        <v>12</v>
      </c>
      <c r="C977" s="933">
        <v>3</v>
      </c>
      <c r="D977" s="978">
        <v>3540055</v>
      </c>
      <c r="E977" s="955">
        <v>3</v>
      </c>
      <c r="F977" s="934">
        <v>3540055</v>
      </c>
    </row>
    <row r="978" spans="1:6" ht="21" thickBot="1" x14ac:dyDescent="0.25">
      <c r="A978" s="937" t="s">
        <v>188</v>
      </c>
      <c r="B978" s="938"/>
      <c r="C978" s="968">
        <f>SUM(C973:C977)</f>
        <v>19</v>
      </c>
      <c r="D978" s="940">
        <f>SUM(D973:D977)</f>
        <v>14398220</v>
      </c>
      <c r="E978" s="962">
        <f>SUM(E973:E977)</f>
        <v>19</v>
      </c>
      <c r="F978" s="940">
        <f>SUM(F973:F977)</f>
        <v>14398220</v>
      </c>
    </row>
    <row r="979" spans="1:6" x14ac:dyDescent="0.2">
      <c r="A979" s="931"/>
      <c r="B979" s="954">
        <v>13</v>
      </c>
      <c r="C979" s="933">
        <v>2</v>
      </c>
      <c r="D979" s="978">
        <v>1745650</v>
      </c>
      <c r="E979" s="955">
        <v>2</v>
      </c>
      <c r="F979" s="934">
        <v>1745650</v>
      </c>
    </row>
    <row r="980" spans="1:6" x14ac:dyDescent="0.2">
      <c r="A980" s="931"/>
      <c r="B980" s="954">
        <v>14</v>
      </c>
      <c r="C980" s="933">
        <v>7</v>
      </c>
      <c r="D980" s="978">
        <v>6758650</v>
      </c>
      <c r="E980" s="955">
        <v>7</v>
      </c>
      <c r="F980" s="934">
        <v>6758650</v>
      </c>
    </row>
    <row r="981" spans="1:6" x14ac:dyDescent="0.2">
      <c r="A981" s="931"/>
      <c r="B981" s="954">
        <v>15</v>
      </c>
      <c r="C981" s="933">
        <v>0</v>
      </c>
      <c r="D981" s="978" t="s">
        <v>765</v>
      </c>
      <c r="E981" s="955">
        <v>0</v>
      </c>
      <c r="F981" s="934" t="s">
        <v>765</v>
      </c>
    </row>
    <row r="982" spans="1:6" ht="21" thickBot="1" x14ac:dyDescent="0.25">
      <c r="A982" s="931"/>
      <c r="B982" s="954">
        <v>16</v>
      </c>
      <c r="C982" s="933">
        <v>3</v>
      </c>
      <c r="D982" s="978">
        <v>5801090</v>
      </c>
      <c r="E982" s="955">
        <v>3</v>
      </c>
      <c r="F982" s="934">
        <v>5801090</v>
      </c>
    </row>
    <row r="983" spans="1:6" ht="21" thickBot="1" x14ac:dyDescent="0.25">
      <c r="A983" s="937" t="s">
        <v>189</v>
      </c>
      <c r="B983" s="938"/>
      <c r="C983" s="939">
        <f>SUM(C979:C982)</f>
        <v>12</v>
      </c>
      <c r="D983" s="1032">
        <f>SUM(D979:D982)</f>
        <v>14305390</v>
      </c>
      <c r="E983" s="959">
        <f>SUM(E979:E982)</f>
        <v>12</v>
      </c>
      <c r="F983" s="940">
        <f>SUM(F979:F982)</f>
        <v>14305390</v>
      </c>
    </row>
    <row r="984" spans="1:6" ht="21" thickBot="1" x14ac:dyDescent="0.25">
      <c r="A984" s="990" t="s">
        <v>190</v>
      </c>
      <c r="B984" s="991"/>
      <c r="C984" s="992">
        <f>SUM(C983,C978,C972)</f>
        <v>54</v>
      </c>
      <c r="D984" s="1107">
        <f>SUM(D983,D978,D972)</f>
        <v>35846115</v>
      </c>
      <c r="E984" s="1147">
        <f>SUM(E983,E978,E972)</f>
        <v>54</v>
      </c>
      <c r="F984" s="969">
        <f>SUM(F983,F978,F972)</f>
        <v>35846115</v>
      </c>
    </row>
    <row r="985" spans="1:6" x14ac:dyDescent="0.2">
      <c r="A985" s="964" t="s">
        <v>528</v>
      </c>
      <c r="B985" s="954" t="s">
        <v>179</v>
      </c>
      <c r="C985" s="933">
        <v>1</v>
      </c>
      <c r="D985" s="934">
        <v>1337225</v>
      </c>
      <c r="E985" s="955">
        <v>1</v>
      </c>
      <c r="F985" s="934">
        <v>1337225</v>
      </c>
    </row>
    <row r="986" spans="1:6" x14ac:dyDescent="0.2">
      <c r="A986" s="964" t="s">
        <v>529</v>
      </c>
      <c r="B986" s="954"/>
      <c r="C986" s="933"/>
      <c r="D986" s="934">
        <v>4479705</v>
      </c>
      <c r="E986" s="955"/>
      <c r="F986" s="934">
        <v>4479705</v>
      </c>
    </row>
    <row r="987" spans="1:6" x14ac:dyDescent="0.2">
      <c r="A987" s="964" t="s">
        <v>216</v>
      </c>
      <c r="B987" s="954" t="s">
        <v>179</v>
      </c>
      <c r="C987" s="933">
        <v>1</v>
      </c>
      <c r="D987" s="934">
        <v>1247870</v>
      </c>
      <c r="E987" s="955">
        <v>1</v>
      </c>
      <c r="F987" s="934">
        <v>1247870</v>
      </c>
    </row>
    <row r="988" spans="1:6" ht="21" thickBot="1" x14ac:dyDescent="0.25">
      <c r="A988" s="964" t="s">
        <v>530</v>
      </c>
      <c r="B988" s="954"/>
      <c r="C988" s="933"/>
      <c r="D988" s="934">
        <v>4180365</v>
      </c>
      <c r="E988" s="955"/>
      <c r="F988" s="934">
        <v>4180365</v>
      </c>
    </row>
    <row r="989" spans="1:6" ht="21" thickBot="1" x14ac:dyDescent="0.25">
      <c r="A989" s="950" t="s">
        <v>117</v>
      </c>
      <c r="B989" s="1077"/>
      <c r="C989" s="959">
        <f>SUM(C985:C988)</f>
        <v>2</v>
      </c>
      <c r="D989" s="940">
        <f>SUM(D985:D988)</f>
        <v>11245165</v>
      </c>
      <c r="E989" s="952">
        <f>SUM(E985:E988)</f>
        <v>2</v>
      </c>
      <c r="F989" s="940">
        <f>SUM(F985:F988)</f>
        <v>11245165</v>
      </c>
    </row>
    <row r="990" spans="1:6" ht="21" thickBot="1" x14ac:dyDescent="0.25">
      <c r="A990" s="950" t="s">
        <v>2602</v>
      </c>
      <c r="B990" s="938"/>
      <c r="C990" s="939">
        <f>SUM(C984,C989)</f>
        <v>56</v>
      </c>
      <c r="D990" s="1032">
        <f>SUM(D984,D989)</f>
        <v>47091280</v>
      </c>
      <c r="E990" s="939">
        <f>SUM(E984,E989)</f>
        <v>56</v>
      </c>
      <c r="F990" s="940">
        <f>SUM(F984,F989)</f>
        <v>47091280</v>
      </c>
    </row>
    <row r="991" spans="1:6" x14ac:dyDescent="0.2">
      <c r="A991" s="3545"/>
      <c r="B991" s="3545"/>
      <c r="C991" s="3545"/>
      <c r="D991" s="3545"/>
      <c r="E991" s="3545"/>
      <c r="F991" s="3545"/>
    </row>
    <row r="992" spans="1:6" x14ac:dyDescent="0.2">
      <c r="A992" s="3545" t="s">
        <v>183</v>
      </c>
      <c r="B992" s="3545"/>
      <c r="C992" s="3545"/>
      <c r="D992" s="3545"/>
      <c r="E992" s="3545"/>
      <c r="F992" s="3545"/>
    </row>
    <row r="993" spans="1:6" ht="21" thickBot="1" x14ac:dyDescent="0.25">
      <c r="A993" s="3546" t="s">
        <v>767</v>
      </c>
      <c r="B993" s="3546"/>
      <c r="C993" s="3546"/>
      <c r="D993" s="3546"/>
      <c r="E993" s="3546"/>
      <c r="F993" s="3546"/>
    </row>
    <row r="994" spans="1:6" s="988" customFormat="1" ht="41.25" thickBot="1" x14ac:dyDescent="0.25">
      <c r="A994" s="920" t="s">
        <v>185</v>
      </c>
      <c r="B994" s="921" t="s">
        <v>186</v>
      </c>
      <c r="C994" s="922" t="s">
        <v>564</v>
      </c>
      <c r="D994" s="923" t="s">
        <v>1128</v>
      </c>
      <c r="E994" s="922" t="s">
        <v>1129</v>
      </c>
      <c r="F994" s="923" t="s">
        <v>3096</v>
      </c>
    </row>
    <row r="995" spans="1:6" x14ac:dyDescent="0.2">
      <c r="A995" s="925"/>
      <c r="B995" s="954">
        <v>1</v>
      </c>
      <c r="C995" s="927" t="s">
        <v>179</v>
      </c>
      <c r="D995" s="978" t="s">
        <v>765</v>
      </c>
      <c r="E995" s="927" t="s">
        <v>179</v>
      </c>
      <c r="F995" s="934" t="s">
        <v>765</v>
      </c>
    </row>
    <row r="996" spans="1:6" x14ac:dyDescent="0.2">
      <c r="A996" s="931"/>
      <c r="B996" s="954">
        <v>2</v>
      </c>
      <c r="C996" s="933" t="s">
        <v>179</v>
      </c>
      <c r="D996" s="978" t="s">
        <v>765</v>
      </c>
      <c r="E996" s="933" t="s">
        <v>179</v>
      </c>
      <c r="F996" s="934" t="s">
        <v>765</v>
      </c>
    </row>
    <row r="997" spans="1:6" x14ac:dyDescent="0.2">
      <c r="A997" s="931"/>
      <c r="B997" s="954">
        <v>3</v>
      </c>
      <c r="C997" s="933" t="s">
        <v>179</v>
      </c>
      <c r="D997" s="978" t="s">
        <v>765</v>
      </c>
      <c r="E997" s="933" t="s">
        <v>179</v>
      </c>
      <c r="F997" s="934" t="s">
        <v>765</v>
      </c>
    </row>
    <row r="998" spans="1:6" x14ac:dyDescent="0.2">
      <c r="A998" s="931"/>
      <c r="B998" s="954">
        <v>4</v>
      </c>
      <c r="C998" s="933">
        <v>2</v>
      </c>
      <c r="D998" s="978">
        <v>995545</v>
      </c>
      <c r="E998" s="933">
        <v>2</v>
      </c>
      <c r="F998" s="934">
        <v>609044</v>
      </c>
    </row>
    <row r="999" spans="1:6" x14ac:dyDescent="0.2">
      <c r="A999" s="931"/>
      <c r="B999" s="954">
        <v>5</v>
      </c>
      <c r="C999" s="933">
        <v>1</v>
      </c>
      <c r="D999" s="978">
        <v>543410</v>
      </c>
      <c r="E999" s="933">
        <v>1</v>
      </c>
      <c r="F999" s="934">
        <v>346988</v>
      </c>
    </row>
    <row r="1000" spans="1:6" ht="21" thickBot="1" x14ac:dyDescent="0.25">
      <c r="A1000" s="1281"/>
      <c r="B1000" s="954">
        <v>6</v>
      </c>
      <c r="C1000" s="933" t="s">
        <v>179</v>
      </c>
      <c r="D1000" s="978">
        <v>372465</v>
      </c>
      <c r="E1000" s="933">
        <v>0</v>
      </c>
      <c r="F1000" s="934">
        <v>0</v>
      </c>
    </row>
    <row r="1001" spans="1:6" ht="21" thickBot="1" x14ac:dyDescent="0.25">
      <c r="A1001" s="937" t="s">
        <v>187</v>
      </c>
      <c r="B1001" s="938"/>
      <c r="C1001" s="968">
        <f>SUM(C995:C1000)</f>
        <v>3</v>
      </c>
      <c r="D1001" s="940">
        <f>SUM(D998:D1000)</f>
        <v>1911420</v>
      </c>
      <c r="E1001" s="968">
        <f>SUM(E995:E1000)</f>
        <v>3</v>
      </c>
      <c r="F1001" s="940">
        <f>SUM(F998:F1000)</f>
        <v>956032</v>
      </c>
    </row>
    <row r="1002" spans="1:6" x14ac:dyDescent="0.2">
      <c r="A1002" s="931"/>
      <c r="B1002" s="954">
        <v>7</v>
      </c>
      <c r="C1002" s="933">
        <v>3</v>
      </c>
      <c r="D1002" s="978">
        <v>1064495</v>
      </c>
      <c r="E1002" s="933">
        <v>3</v>
      </c>
      <c r="F1002" s="934">
        <v>1449000</v>
      </c>
    </row>
    <row r="1003" spans="1:6" x14ac:dyDescent="0.2">
      <c r="A1003" s="931"/>
      <c r="B1003" s="954">
        <v>8</v>
      </c>
      <c r="C1003" s="933">
        <v>2</v>
      </c>
      <c r="D1003" s="978">
        <v>1358390</v>
      </c>
      <c r="E1003" s="933">
        <v>0</v>
      </c>
      <c r="F1003" s="934">
        <v>0</v>
      </c>
    </row>
    <row r="1004" spans="1:6" x14ac:dyDescent="0.2">
      <c r="A1004" s="931"/>
      <c r="B1004" s="954">
        <v>9</v>
      </c>
      <c r="C1004" s="933">
        <v>2</v>
      </c>
      <c r="D1004" s="978">
        <v>692675</v>
      </c>
      <c r="E1004" s="933">
        <v>3</v>
      </c>
      <c r="F1004" s="934">
        <v>1821798</v>
      </c>
    </row>
    <row r="1005" spans="1:6" x14ac:dyDescent="0.2">
      <c r="A1005" s="931"/>
      <c r="B1005" s="954">
        <v>10</v>
      </c>
      <c r="C1005" s="933">
        <v>1</v>
      </c>
      <c r="D1005" s="978">
        <v>4053740</v>
      </c>
      <c r="E1005" s="933">
        <v>1</v>
      </c>
      <c r="F1005" s="934">
        <v>872351</v>
      </c>
    </row>
    <row r="1006" spans="1:6" ht="21" thickBot="1" x14ac:dyDescent="0.25">
      <c r="A1006" s="931"/>
      <c r="B1006" s="954">
        <v>12</v>
      </c>
      <c r="C1006" s="933">
        <v>3</v>
      </c>
      <c r="D1006" s="978">
        <v>2108710</v>
      </c>
      <c r="E1006" s="933">
        <v>3</v>
      </c>
      <c r="F1006" s="934">
        <v>3036708</v>
      </c>
    </row>
    <row r="1007" spans="1:6" ht="21" thickBot="1" x14ac:dyDescent="0.25">
      <c r="A1007" s="937" t="s">
        <v>188</v>
      </c>
      <c r="B1007" s="938"/>
      <c r="C1007" s="968">
        <f>SUM(C1002:C1006)</f>
        <v>11</v>
      </c>
      <c r="D1007" s="982">
        <f>SUM(D1002:D1006)</f>
        <v>9278010</v>
      </c>
      <c r="E1007" s="968">
        <f>SUM(E1002:E1006)</f>
        <v>10</v>
      </c>
      <c r="F1007" s="940">
        <f>SUM(F1002:F1006)</f>
        <v>7179857</v>
      </c>
    </row>
    <row r="1008" spans="1:6" x14ac:dyDescent="0.2">
      <c r="A1008" s="931"/>
      <c r="B1008" s="954">
        <v>13</v>
      </c>
      <c r="C1008" s="933">
        <v>3</v>
      </c>
      <c r="D1008" s="978">
        <v>1554440</v>
      </c>
      <c r="E1008" s="933">
        <v>4</v>
      </c>
      <c r="F1008" s="934">
        <v>4794588</v>
      </c>
    </row>
    <row r="1009" spans="1:6" x14ac:dyDescent="0.2">
      <c r="A1009" s="931"/>
      <c r="B1009" s="954">
        <v>14</v>
      </c>
      <c r="C1009" s="933">
        <v>7</v>
      </c>
      <c r="D1009" s="978">
        <v>8778690</v>
      </c>
      <c r="E1009" s="933">
        <v>7</v>
      </c>
      <c r="F1009" s="934">
        <v>8710772</v>
      </c>
    </row>
    <row r="1010" spans="1:6" x14ac:dyDescent="0.2">
      <c r="A1010" s="931"/>
      <c r="B1010" s="954">
        <v>15</v>
      </c>
      <c r="C1010" s="933">
        <v>7</v>
      </c>
      <c r="D1010" s="978">
        <v>3032680</v>
      </c>
      <c r="E1010" s="933">
        <v>3</v>
      </c>
      <c r="F1010" s="934">
        <v>4519137</v>
      </c>
    </row>
    <row r="1011" spans="1:6" ht="21" thickBot="1" x14ac:dyDescent="0.25">
      <c r="A1011" s="931"/>
      <c r="B1011" s="954">
        <v>16</v>
      </c>
      <c r="C1011" s="933">
        <v>1</v>
      </c>
      <c r="D1011" s="978">
        <v>1378100</v>
      </c>
      <c r="E1011" s="933">
        <v>3</v>
      </c>
      <c r="F1011" s="934">
        <v>5970330</v>
      </c>
    </row>
    <row r="1012" spans="1:6" ht="21" thickBot="1" x14ac:dyDescent="0.25">
      <c r="A1012" s="937" t="s">
        <v>189</v>
      </c>
      <c r="B1012" s="938"/>
      <c r="C1012" s="939">
        <f>SUM(C1008:C1011)</f>
        <v>18</v>
      </c>
      <c r="D1012" s="940">
        <f>SUM(D1008:D1011)</f>
        <v>14743910</v>
      </c>
      <c r="E1012" s="939">
        <f>SUM(E1008:E1011)</f>
        <v>17</v>
      </c>
      <c r="F1012" s="940">
        <f>SUM(F1008:F1011)</f>
        <v>23994827</v>
      </c>
    </row>
    <row r="1013" spans="1:6" ht="21" thickBot="1" x14ac:dyDescent="0.25">
      <c r="A1013" s="990" t="s">
        <v>190</v>
      </c>
      <c r="B1013" s="991"/>
      <c r="C1013" s="992">
        <f>SUM(C1012,C1007,C1001)</f>
        <v>32</v>
      </c>
      <c r="D1013" s="1282">
        <f>SUM(D1012,D1007,D1001)</f>
        <v>25933340</v>
      </c>
      <c r="E1013" s="992">
        <f>SUM(E1012,E1007,E1001)</f>
        <v>30</v>
      </c>
      <c r="F1013" s="1282">
        <f>SUM(F1012,F1007,F1001)</f>
        <v>32130716</v>
      </c>
    </row>
    <row r="1014" spans="1:6" x14ac:dyDescent="0.2">
      <c r="A1014" s="964" t="s">
        <v>528</v>
      </c>
      <c r="B1014" s="954" t="s">
        <v>179</v>
      </c>
      <c r="C1014" s="933">
        <v>1</v>
      </c>
      <c r="D1014" s="934">
        <v>1337225</v>
      </c>
      <c r="E1014" s="933">
        <v>1</v>
      </c>
      <c r="F1014" s="934">
        <v>1337225</v>
      </c>
    </row>
    <row r="1015" spans="1:6" x14ac:dyDescent="0.2">
      <c r="A1015" s="964" t="s">
        <v>529</v>
      </c>
      <c r="B1015" s="954"/>
      <c r="C1015" s="933"/>
      <c r="D1015" s="934">
        <v>4479705</v>
      </c>
      <c r="E1015" s="933"/>
      <c r="F1015" s="934">
        <v>4479705</v>
      </c>
    </row>
    <row r="1016" spans="1:6" x14ac:dyDescent="0.2">
      <c r="A1016" s="964" t="s">
        <v>216</v>
      </c>
      <c r="B1016" s="954" t="s">
        <v>179</v>
      </c>
      <c r="C1016" s="933">
        <v>1</v>
      </c>
      <c r="D1016" s="934">
        <v>1247870</v>
      </c>
      <c r="E1016" s="933">
        <v>1</v>
      </c>
      <c r="F1016" s="934">
        <v>1247870</v>
      </c>
    </row>
    <row r="1017" spans="1:6" ht="21" thickBot="1" x14ac:dyDescent="0.25">
      <c r="A1017" s="964" t="s">
        <v>530</v>
      </c>
      <c r="B1017" s="954"/>
      <c r="C1017" s="933"/>
      <c r="D1017" s="934">
        <v>4180365</v>
      </c>
      <c r="E1017" s="933"/>
      <c r="F1017" s="934">
        <v>4180365</v>
      </c>
    </row>
    <row r="1018" spans="1:6" ht="21" thickBot="1" x14ac:dyDescent="0.25">
      <c r="A1018" s="1169" t="s">
        <v>117</v>
      </c>
      <c r="B1018" s="1077"/>
      <c r="C1018" s="968">
        <f>SUM(C1014:C1017)</f>
        <v>2</v>
      </c>
      <c r="D1018" s="1032">
        <f>SUM(D1014:D1017)</f>
        <v>11245165</v>
      </c>
      <c r="E1018" s="968">
        <f>SUM(E1014:E1017)</f>
        <v>2</v>
      </c>
      <c r="F1018" s="940">
        <f>SUM(F1014:F1017)</f>
        <v>11245165</v>
      </c>
    </row>
    <row r="1019" spans="1:6" ht="21" thickBot="1" x14ac:dyDescent="0.25">
      <c r="A1019" s="1241" t="s">
        <v>2680</v>
      </c>
      <c r="B1019" s="938"/>
      <c r="C1019" s="968">
        <f>SUM(C1013,C1018)</f>
        <v>34</v>
      </c>
      <c r="D1019" s="1032">
        <f>SUM(D1013,D1018)</f>
        <v>37178505</v>
      </c>
      <c r="E1019" s="968">
        <f>SUM(E1013,E1018)</f>
        <v>32</v>
      </c>
      <c r="F1019" s="940">
        <f>SUM(F1013,F1018)</f>
        <v>43375881</v>
      </c>
    </row>
    <row r="1020" spans="1:6" x14ac:dyDescent="0.2">
      <c r="A1020" s="3545"/>
      <c r="B1020" s="3545"/>
      <c r="C1020" s="3545"/>
      <c r="D1020" s="3545"/>
      <c r="E1020" s="3545"/>
      <c r="F1020" s="3545"/>
    </row>
    <row r="1021" spans="1:6" x14ac:dyDescent="0.2">
      <c r="A1021" s="3545" t="s">
        <v>183</v>
      </c>
      <c r="B1021" s="3545"/>
      <c r="C1021" s="3545"/>
      <c r="D1021" s="3545"/>
      <c r="E1021" s="3545"/>
      <c r="F1021" s="3545"/>
    </row>
    <row r="1022" spans="1:6" ht="21" thickBot="1" x14ac:dyDescent="0.25">
      <c r="A1022" s="3546" t="s">
        <v>2684</v>
      </c>
      <c r="B1022" s="3546"/>
      <c r="C1022" s="3546"/>
      <c r="D1022" s="3546"/>
      <c r="E1022" s="3546"/>
      <c r="F1022" s="3546"/>
    </row>
    <row r="1023" spans="1:6" s="988" customFormat="1" ht="41.25" thickBot="1" x14ac:dyDescent="0.25">
      <c r="A1023" s="920" t="s">
        <v>185</v>
      </c>
      <c r="B1023" s="921" t="s">
        <v>186</v>
      </c>
      <c r="C1023" s="922" t="s">
        <v>564</v>
      </c>
      <c r="D1023" s="923" t="s">
        <v>1128</v>
      </c>
      <c r="E1023" s="922" t="s">
        <v>1129</v>
      </c>
      <c r="F1023" s="923" t="s">
        <v>3096</v>
      </c>
    </row>
    <row r="1024" spans="1:6" x14ac:dyDescent="0.3">
      <c r="A1024" s="925"/>
      <c r="B1024" s="954">
        <v>1</v>
      </c>
      <c r="C1024" s="1283">
        <v>3</v>
      </c>
      <c r="D1024" s="978">
        <v>824000</v>
      </c>
      <c r="E1024" s="1283">
        <v>3</v>
      </c>
      <c r="F1024" s="1160">
        <v>526930</v>
      </c>
    </row>
    <row r="1025" spans="1:6" x14ac:dyDescent="0.3">
      <c r="A1025" s="931"/>
      <c r="B1025" s="954">
        <v>2</v>
      </c>
      <c r="C1025" s="933">
        <v>6</v>
      </c>
      <c r="D1025" s="978">
        <v>1839925</v>
      </c>
      <c r="E1025" s="933">
        <v>6</v>
      </c>
      <c r="F1025" s="1160">
        <v>1839925</v>
      </c>
    </row>
    <row r="1026" spans="1:6" x14ac:dyDescent="0.3">
      <c r="A1026" s="931"/>
      <c r="B1026" s="954">
        <v>3</v>
      </c>
      <c r="C1026" s="933">
        <v>8</v>
      </c>
      <c r="D1026" s="978">
        <v>2287114</v>
      </c>
      <c r="E1026" s="933">
        <v>8</v>
      </c>
      <c r="F1026" s="1160">
        <v>2287114</v>
      </c>
    </row>
    <row r="1027" spans="1:6" x14ac:dyDescent="0.3">
      <c r="A1027" s="931"/>
      <c r="B1027" s="954">
        <v>4</v>
      </c>
      <c r="C1027" s="933">
        <v>9</v>
      </c>
      <c r="D1027" s="978">
        <v>3468911</v>
      </c>
      <c r="E1027" s="933">
        <v>9</v>
      </c>
      <c r="F1027" s="1160">
        <v>3468910</v>
      </c>
    </row>
    <row r="1028" spans="1:6" x14ac:dyDescent="0.3">
      <c r="A1028" s="931"/>
      <c r="B1028" s="954">
        <v>5</v>
      </c>
      <c r="C1028" s="933">
        <v>3</v>
      </c>
      <c r="D1028" s="978">
        <v>1008775</v>
      </c>
      <c r="E1028" s="933">
        <v>3</v>
      </c>
      <c r="F1028" s="1160">
        <v>1008775</v>
      </c>
    </row>
    <row r="1029" spans="1:6" ht="21" thickBot="1" x14ac:dyDescent="0.35">
      <c r="A1029" s="931"/>
      <c r="B1029" s="954">
        <v>6</v>
      </c>
      <c r="C1029" s="1086">
        <v>18</v>
      </c>
      <c r="D1029" s="978">
        <v>7230085</v>
      </c>
      <c r="E1029" s="1086">
        <v>18</v>
      </c>
      <c r="F1029" s="1160">
        <v>6857680</v>
      </c>
    </row>
    <row r="1030" spans="1:6" ht="21" thickBot="1" x14ac:dyDescent="0.35">
      <c r="A1030" s="937" t="s">
        <v>187</v>
      </c>
      <c r="B1030" s="938"/>
      <c r="C1030" s="1284">
        <v>47</v>
      </c>
      <c r="D1030" s="940">
        <f>SUM(D1024:D1029)</f>
        <v>16658810</v>
      </c>
      <c r="E1030" s="1284">
        <v>47</v>
      </c>
      <c r="F1030" s="1162">
        <f>SUM(F1024:F1029)</f>
        <v>15989334</v>
      </c>
    </row>
    <row r="1031" spans="1:6" x14ac:dyDescent="0.3">
      <c r="A1031" s="931"/>
      <c r="B1031" s="954">
        <v>7</v>
      </c>
      <c r="C1031" s="933">
        <v>11</v>
      </c>
      <c r="D1031" s="978">
        <v>7497295</v>
      </c>
      <c r="E1031" s="933">
        <v>11</v>
      </c>
      <c r="F1031" s="1160">
        <v>7497295</v>
      </c>
    </row>
    <row r="1032" spans="1:6" x14ac:dyDescent="0.3">
      <c r="A1032" s="931"/>
      <c r="B1032" s="954">
        <v>8</v>
      </c>
      <c r="C1032" s="933">
        <v>16</v>
      </c>
      <c r="D1032" s="978">
        <v>14950935</v>
      </c>
      <c r="E1032" s="933">
        <v>16</v>
      </c>
      <c r="F1032" s="1160">
        <v>14950934</v>
      </c>
    </row>
    <row r="1033" spans="1:6" x14ac:dyDescent="0.3">
      <c r="A1033" s="931"/>
      <c r="B1033" s="954">
        <v>9</v>
      </c>
      <c r="C1033" s="933">
        <v>15</v>
      </c>
      <c r="D1033" s="978">
        <v>12956670</v>
      </c>
      <c r="E1033" s="933">
        <v>15</v>
      </c>
      <c r="F1033" s="1160">
        <v>13156670</v>
      </c>
    </row>
    <row r="1034" spans="1:6" x14ac:dyDescent="0.3">
      <c r="A1034" s="931"/>
      <c r="B1034" s="954">
        <v>10</v>
      </c>
      <c r="C1034" s="933">
        <v>14</v>
      </c>
      <c r="D1034" s="978">
        <v>16647820</v>
      </c>
      <c r="E1034" s="933">
        <v>14</v>
      </c>
      <c r="F1034" s="1160">
        <v>16647820</v>
      </c>
    </row>
    <row r="1035" spans="1:6" ht="21" thickBot="1" x14ac:dyDescent="0.35">
      <c r="A1035" s="931"/>
      <c r="B1035" s="954">
        <v>12</v>
      </c>
      <c r="C1035" s="933">
        <v>15</v>
      </c>
      <c r="D1035" s="978">
        <v>16239610</v>
      </c>
      <c r="E1035" s="933">
        <v>15</v>
      </c>
      <c r="F1035" s="1160">
        <v>16039610</v>
      </c>
    </row>
    <row r="1036" spans="1:6" ht="21" thickBot="1" x14ac:dyDescent="0.35">
      <c r="A1036" s="937" t="s">
        <v>188</v>
      </c>
      <c r="B1036" s="938"/>
      <c r="C1036" s="968">
        <v>71</v>
      </c>
      <c r="D1036" s="940">
        <f>SUM(D1031:D1035)</f>
        <v>68292330</v>
      </c>
      <c r="E1036" s="968">
        <v>71</v>
      </c>
      <c r="F1036" s="1162">
        <f>SUM(F1031:F1035)</f>
        <v>68292329</v>
      </c>
    </row>
    <row r="1037" spans="1:6" x14ac:dyDescent="0.3">
      <c r="A1037" s="931"/>
      <c r="B1037" s="954">
        <v>13</v>
      </c>
      <c r="C1037" s="933">
        <v>14</v>
      </c>
      <c r="D1037" s="978">
        <v>16390685</v>
      </c>
      <c r="E1037" s="933">
        <v>14</v>
      </c>
      <c r="F1037" s="1160">
        <v>16390685</v>
      </c>
    </row>
    <row r="1038" spans="1:6" x14ac:dyDescent="0.3">
      <c r="A1038" s="931"/>
      <c r="B1038" s="954">
        <v>14</v>
      </c>
      <c r="C1038" s="933">
        <v>12</v>
      </c>
      <c r="D1038" s="978">
        <v>17696060</v>
      </c>
      <c r="E1038" s="933">
        <v>12</v>
      </c>
      <c r="F1038" s="1160">
        <v>16953225</v>
      </c>
    </row>
    <row r="1039" spans="1:6" x14ac:dyDescent="0.3">
      <c r="A1039" s="931"/>
      <c r="B1039" s="954">
        <v>15</v>
      </c>
      <c r="C1039" s="933">
        <v>7</v>
      </c>
      <c r="D1039" s="978">
        <v>15760075</v>
      </c>
      <c r="E1039" s="933">
        <v>7</v>
      </c>
      <c r="F1039" s="1160">
        <v>15760075</v>
      </c>
    </row>
    <row r="1040" spans="1:6" ht="21" thickBot="1" x14ac:dyDescent="0.35">
      <c r="A1040" s="931"/>
      <c r="B1040" s="954">
        <v>16</v>
      </c>
      <c r="C1040" s="933">
        <v>8</v>
      </c>
      <c r="D1040" s="978">
        <v>26842985</v>
      </c>
      <c r="E1040" s="933">
        <v>8</v>
      </c>
      <c r="F1040" s="1160">
        <v>26842986</v>
      </c>
    </row>
    <row r="1041" spans="1:6" ht="21" thickBot="1" x14ac:dyDescent="0.25">
      <c r="A1041" s="937" t="s">
        <v>189</v>
      </c>
      <c r="B1041" s="938"/>
      <c r="C1041" s="939">
        <v>41</v>
      </c>
      <c r="D1041" s="940">
        <f>SUM(D1037:D1040)</f>
        <v>76689805</v>
      </c>
      <c r="E1041" s="939">
        <v>41</v>
      </c>
      <c r="F1041" s="940">
        <f>SUM(F1037:F1040)</f>
        <v>75946971</v>
      </c>
    </row>
    <row r="1042" spans="1:6" ht="21" thickBot="1" x14ac:dyDescent="0.25">
      <c r="A1042" s="990" t="s">
        <v>190</v>
      </c>
      <c r="B1042" s="991"/>
      <c r="C1042" s="939">
        <v>159</v>
      </c>
      <c r="D1042" s="940">
        <f>SUM(D1041,D1036,D1030)</f>
        <v>161640945</v>
      </c>
      <c r="E1042" s="939">
        <v>159</v>
      </c>
      <c r="F1042" s="940">
        <f>SUM(F1041,F1036,F1030)</f>
        <v>160228634</v>
      </c>
    </row>
    <row r="1043" spans="1:6" x14ac:dyDescent="0.2">
      <c r="A1043" s="964" t="s">
        <v>531</v>
      </c>
      <c r="B1043" s="948"/>
      <c r="C1043" s="1285">
        <v>1</v>
      </c>
      <c r="D1043" s="1188">
        <v>1247870</v>
      </c>
      <c r="E1043" s="1285">
        <v>1</v>
      </c>
      <c r="F1043" s="934">
        <v>1247870</v>
      </c>
    </row>
    <row r="1044" spans="1:6" ht="21" thickBot="1" x14ac:dyDescent="0.25">
      <c r="A1044" s="964" t="s">
        <v>532</v>
      </c>
      <c r="B1044" s="948"/>
      <c r="C1044" s="1285"/>
      <c r="D1044" s="1188">
        <v>4180365</v>
      </c>
      <c r="E1044" s="1285"/>
      <c r="F1044" s="934">
        <v>4180365</v>
      </c>
    </row>
    <row r="1045" spans="1:6" s="924" customFormat="1" ht="21" thickBot="1" x14ac:dyDescent="0.25">
      <c r="A1045" s="1286" t="s">
        <v>117</v>
      </c>
      <c r="B1045" s="951"/>
      <c r="C1045" s="1097">
        <v>1</v>
      </c>
      <c r="D1045" s="1032">
        <f>SUM(D1043:D1044)</f>
        <v>5428235</v>
      </c>
      <c r="E1045" s="1097">
        <v>1</v>
      </c>
      <c r="F1045" s="940">
        <f>SUM(F1043:F1044)</f>
        <v>5428235</v>
      </c>
    </row>
    <row r="1046" spans="1:6" ht="21" thickBot="1" x14ac:dyDescent="0.25">
      <c r="A1046" s="950" t="s">
        <v>2683</v>
      </c>
      <c r="B1046" s="951"/>
      <c r="C1046" s="1097">
        <v>1</v>
      </c>
      <c r="D1046" s="1032">
        <f>SUM(D1042,D1045)</f>
        <v>167069180</v>
      </c>
      <c r="E1046" s="939">
        <v>1</v>
      </c>
      <c r="F1046" s="940">
        <f>SUM(F1042,F1045)</f>
        <v>165656869</v>
      </c>
    </row>
    <row r="1047" spans="1:6" x14ac:dyDescent="0.2">
      <c r="A1047" s="3545" t="s">
        <v>183</v>
      </c>
      <c r="B1047" s="3545"/>
      <c r="C1047" s="3545"/>
      <c r="D1047" s="3545"/>
      <c r="E1047" s="3545"/>
      <c r="F1047" s="3545"/>
    </row>
    <row r="1048" spans="1:6" ht="21" thickBot="1" x14ac:dyDescent="0.25">
      <c r="A1048" s="3546" t="s">
        <v>349</v>
      </c>
      <c r="B1048" s="3546"/>
      <c r="C1048" s="3546"/>
      <c r="D1048" s="3546"/>
      <c r="E1048" s="3546"/>
      <c r="F1048" s="3546"/>
    </row>
    <row r="1049" spans="1:6" s="988" customFormat="1" ht="36" customHeight="1" thickBot="1" x14ac:dyDescent="0.25">
      <c r="A1049" s="920" t="s">
        <v>185</v>
      </c>
      <c r="B1049" s="921" t="s">
        <v>186</v>
      </c>
      <c r="C1049" s="922" t="s">
        <v>564</v>
      </c>
      <c r="D1049" s="923" t="s">
        <v>1128</v>
      </c>
      <c r="E1049" s="922" t="s">
        <v>1129</v>
      </c>
      <c r="F1049" s="923" t="s">
        <v>3096</v>
      </c>
    </row>
    <row r="1050" spans="1:6" ht="8.25" customHeight="1" x14ac:dyDescent="0.3">
      <c r="A1050" s="925"/>
      <c r="B1050" s="954">
        <v>1</v>
      </c>
      <c r="C1050" s="927" t="s">
        <v>179</v>
      </c>
      <c r="D1050" s="978" t="s">
        <v>765</v>
      </c>
      <c r="E1050" s="929" t="s">
        <v>179</v>
      </c>
      <c r="F1050" s="936" t="s">
        <v>765</v>
      </c>
    </row>
    <row r="1051" spans="1:6" x14ac:dyDescent="0.3">
      <c r="A1051" s="931"/>
      <c r="B1051" s="954">
        <v>2</v>
      </c>
      <c r="C1051" s="933" t="s">
        <v>179</v>
      </c>
      <c r="D1051" s="978" t="s">
        <v>765</v>
      </c>
      <c r="E1051" s="935">
        <v>2</v>
      </c>
      <c r="F1051" s="936">
        <v>821120</v>
      </c>
    </row>
    <row r="1052" spans="1:6" x14ac:dyDescent="0.3">
      <c r="A1052" s="931"/>
      <c r="B1052" s="954">
        <v>3</v>
      </c>
      <c r="C1052" s="933">
        <v>2</v>
      </c>
      <c r="D1052" s="978">
        <v>596825</v>
      </c>
      <c r="E1052" s="935">
        <v>4</v>
      </c>
      <c r="F1052" s="936">
        <v>1696120</v>
      </c>
    </row>
    <row r="1053" spans="1:6" x14ac:dyDescent="0.3">
      <c r="A1053" s="931"/>
      <c r="B1053" s="954">
        <v>4</v>
      </c>
      <c r="C1053" s="933">
        <v>18</v>
      </c>
      <c r="D1053" s="978">
        <v>6465925</v>
      </c>
      <c r="E1053" s="935">
        <v>18</v>
      </c>
      <c r="F1053" s="936">
        <v>7566257</v>
      </c>
    </row>
    <row r="1054" spans="1:6" x14ac:dyDescent="0.3">
      <c r="A1054" s="931"/>
      <c r="B1054" s="954">
        <v>5</v>
      </c>
      <c r="C1054" s="933" t="s">
        <v>179</v>
      </c>
      <c r="D1054" s="978">
        <v>3289225</v>
      </c>
      <c r="E1054" s="935"/>
      <c r="F1054" s="936"/>
    </row>
    <row r="1055" spans="1:6" ht="21" thickBot="1" x14ac:dyDescent="0.35">
      <c r="A1055" s="931"/>
      <c r="B1055" s="954">
        <v>6</v>
      </c>
      <c r="C1055" s="933">
        <v>7</v>
      </c>
      <c r="D1055" s="978" t="s">
        <v>765</v>
      </c>
      <c r="E1055" s="935">
        <v>10</v>
      </c>
      <c r="F1055" s="936">
        <v>5394443</v>
      </c>
    </row>
    <row r="1056" spans="1:6" ht="21" thickBot="1" x14ac:dyDescent="0.35">
      <c r="A1056" s="937" t="s">
        <v>187</v>
      </c>
      <c r="B1056" s="938"/>
      <c r="C1056" s="968">
        <f>SUM(C1052:C1055)</f>
        <v>27</v>
      </c>
      <c r="D1056" s="940">
        <f>SUM(D1052:D1055)</f>
        <v>10351975</v>
      </c>
      <c r="E1056" s="1058">
        <f>SUM(E1050:E1055)</f>
        <v>34</v>
      </c>
      <c r="F1056" s="961">
        <f>SUM(F1050:F1055)</f>
        <v>15477940</v>
      </c>
    </row>
    <row r="1057" spans="1:6" x14ac:dyDescent="0.3">
      <c r="A1057" s="931"/>
      <c r="B1057" s="954">
        <v>7</v>
      </c>
      <c r="C1057" s="933">
        <v>7</v>
      </c>
      <c r="D1057" s="978">
        <v>4295545</v>
      </c>
      <c r="E1057" s="935">
        <v>7</v>
      </c>
      <c r="F1057" s="936">
        <v>4872518</v>
      </c>
    </row>
    <row r="1058" spans="1:6" x14ac:dyDescent="0.3">
      <c r="A1058" s="931"/>
      <c r="B1058" s="954">
        <v>8</v>
      </c>
      <c r="C1058" s="933">
        <v>1</v>
      </c>
      <c r="D1058" s="978">
        <v>674380</v>
      </c>
      <c r="E1058" s="935">
        <v>10</v>
      </c>
      <c r="F1058" s="936">
        <v>6814302</v>
      </c>
    </row>
    <row r="1059" spans="1:6" x14ac:dyDescent="0.3">
      <c r="A1059" s="931"/>
      <c r="B1059" s="954">
        <v>9</v>
      </c>
      <c r="C1059" s="933">
        <v>3</v>
      </c>
      <c r="D1059" s="978">
        <v>2487165</v>
      </c>
      <c r="E1059" s="935">
        <v>8</v>
      </c>
      <c r="F1059" s="936">
        <v>6766340</v>
      </c>
    </row>
    <row r="1060" spans="1:6" x14ac:dyDescent="0.3">
      <c r="A1060" s="931"/>
      <c r="B1060" s="954">
        <v>10</v>
      </c>
      <c r="C1060" s="933">
        <v>1</v>
      </c>
      <c r="D1060" s="978">
        <v>821785</v>
      </c>
      <c r="E1060" s="935">
        <v>1</v>
      </c>
      <c r="F1060" s="936">
        <v>1202758</v>
      </c>
    </row>
    <row r="1061" spans="1:6" ht="21" thickBot="1" x14ac:dyDescent="0.35">
      <c r="A1061" s="931"/>
      <c r="B1061" s="954">
        <v>12</v>
      </c>
      <c r="C1061" s="933">
        <v>4</v>
      </c>
      <c r="D1061" s="978">
        <v>4681810</v>
      </c>
      <c r="E1061" s="935">
        <v>3</v>
      </c>
      <c r="F1061" s="936">
        <v>3913261</v>
      </c>
    </row>
    <row r="1062" spans="1:6" ht="21" thickBot="1" x14ac:dyDescent="0.35">
      <c r="A1062" s="937" t="s">
        <v>188</v>
      </c>
      <c r="B1062" s="938"/>
      <c r="C1062" s="968">
        <v>16</v>
      </c>
      <c r="D1062" s="940">
        <v>12960685</v>
      </c>
      <c r="E1062" s="1058">
        <v>29</v>
      </c>
      <c r="F1062" s="961">
        <f>SUM(F1057:F1061)</f>
        <v>23569179</v>
      </c>
    </row>
    <row r="1063" spans="1:6" x14ac:dyDescent="0.3">
      <c r="A1063" s="931"/>
      <c r="B1063" s="954">
        <v>13</v>
      </c>
      <c r="C1063" s="933">
        <v>4</v>
      </c>
      <c r="D1063" s="978">
        <v>4322035</v>
      </c>
      <c r="E1063" s="935">
        <v>4</v>
      </c>
      <c r="F1063" s="936">
        <v>5731444</v>
      </c>
    </row>
    <row r="1064" spans="1:6" x14ac:dyDescent="0.3">
      <c r="A1064" s="931"/>
      <c r="B1064" s="954">
        <v>14</v>
      </c>
      <c r="C1064" s="933">
        <v>9</v>
      </c>
      <c r="D1064" s="978">
        <v>14826925</v>
      </c>
      <c r="E1064" s="935">
        <v>9</v>
      </c>
      <c r="F1064" s="936">
        <v>14135634</v>
      </c>
    </row>
    <row r="1065" spans="1:6" x14ac:dyDescent="0.3">
      <c r="A1065" s="931"/>
      <c r="B1065" s="954">
        <v>15</v>
      </c>
      <c r="C1065" s="933">
        <v>6</v>
      </c>
      <c r="D1065" s="978">
        <v>12667545</v>
      </c>
      <c r="E1065" s="935">
        <v>6</v>
      </c>
      <c r="F1065" s="936">
        <v>11976690</v>
      </c>
    </row>
    <row r="1066" spans="1:6" ht="21" thickBot="1" x14ac:dyDescent="0.35">
      <c r="A1066" s="931"/>
      <c r="B1066" s="954">
        <v>16</v>
      </c>
      <c r="C1066" s="933">
        <v>7</v>
      </c>
      <c r="D1066" s="978">
        <v>17938965</v>
      </c>
      <c r="E1066" s="935">
        <v>7</v>
      </c>
      <c r="F1066" s="936">
        <v>17151533</v>
      </c>
    </row>
    <row r="1067" spans="1:6" ht="21" thickBot="1" x14ac:dyDescent="0.35">
      <c r="A1067" s="937" t="s">
        <v>189</v>
      </c>
      <c r="B1067" s="938"/>
      <c r="C1067" s="939">
        <v>26</v>
      </c>
      <c r="D1067" s="940">
        <v>49755470</v>
      </c>
      <c r="E1067" s="1058">
        <f t="shared" ref="E1067" si="1">SUM(E1063:E1066)</f>
        <v>26</v>
      </c>
      <c r="F1067" s="961">
        <f>SUM(F1063:F1066)</f>
        <v>48995301</v>
      </c>
    </row>
    <row r="1068" spans="1:6" ht="21" thickBot="1" x14ac:dyDescent="0.35">
      <c r="A1068" s="990" t="s">
        <v>190</v>
      </c>
      <c r="B1068" s="991"/>
      <c r="C1068" s="992">
        <v>69</v>
      </c>
      <c r="D1068" s="1107">
        <v>73068130</v>
      </c>
      <c r="E1068" s="1143">
        <f t="shared" ref="E1068:F1068" si="2">E1067+E1062+E1056</f>
        <v>89</v>
      </c>
      <c r="F1068" s="1123">
        <f t="shared" si="2"/>
        <v>88042420</v>
      </c>
    </row>
    <row r="1069" spans="1:6" x14ac:dyDescent="0.2">
      <c r="A1069" s="964" t="s">
        <v>2681</v>
      </c>
      <c r="B1069" s="954"/>
      <c r="C1069" s="955">
        <v>1</v>
      </c>
      <c r="D1069" s="1053">
        <v>1247870</v>
      </c>
      <c r="E1069" s="955">
        <v>1</v>
      </c>
      <c r="F1069" s="1149">
        <v>1247870</v>
      </c>
    </row>
    <row r="1070" spans="1:6" ht="21" thickBot="1" x14ac:dyDescent="0.25">
      <c r="A1070" s="964" t="s">
        <v>2682</v>
      </c>
      <c r="B1070" s="954"/>
      <c r="C1070" s="955"/>
      <c r="D1070" s="1053">
        <v>4180365</v>
      </c>
      <c r="E1070" s="955"/>
      <c r="F1070" s="1149">
        <v>4180365</v>
      </c>
    </row>
    <row r="1071" spans="1:6" ht="21" thickBot="1" x14ac:dyDescent="0.25">
      <c r="A1071" s="950" t="s">
        <v>117</v>
      </c>
      <c r="B1071" s="1077"/>
      <c r="C1071" s="1287"/>
      <c r="D1071" s="1061">
        <f>SUM(D1068:D1070)</f>
        <v>78496365</v>
      </c>
      <c r="E1071" s="941">
        <f>SUM(E1068:E1070)</f>
        <v>90</v>
      </c>
      <c r="F1071" s="1288">
        <f>SUM(F1068:F1070)</f>
        <v>93470655</v>
      </c>
    </row>
    <row r="1072" spans="1:6" x14ac:dyDescent="0.2">
      <c r="A1072" s="964" t="s">
        <v>528</v>
      </c>
      <c r="B1072" s="954"/>
      <c r="C1072" s="955">
        <v>1</v>
      </c>
      <c r="D1072" s="1053">
        <v>1337225</v>
      </c>
      <c r="E1072" s="955"/>
      <c r="F1072" s="1149">
        <v>1337225</v>
      </c>
    </row>
    <row r="1073" spans="1:6" x14ac:dyDescent="0.2">
      <c r="A1073" s="964" t="s">
        <v>529</v>
      </c>
      <c r="B1073" s="954"/>
      <c r="C1073" s="955"/>
      <c r="D1073" s="1053">
        <v>4479705</v>
      </c>
      <c r="E1073" s="955">
        <v>1</v>
      </c>
      <c r="F1073" s="1149">
        <v>4479705</v>
      </c>
    </row>
    <row r="1074" spans="1:6" x14ac:dyDescent="0.2">
      <c r="A1074" s="964" t="s">
        <v>216</v>
      </c>
      <c r="B1074" s="954"/>
      <c r="C1074" s="955">
        <v>1</v>
      </c>
      <c r="D1074" s="1053">
        <v>1247870</v>
      </c>
      <c r="E1074" s="955">
        <v>1</v>
      </c>
      <c r="F1074" s="1149">
        <v>1247870</v>
      </c>
    </row>
    <row r="1075" spans="1:6" ht="21" thickBot="1" x14ac:dyDescent="0.25">
      <c r="A1075" s="964" t="s">
        <v>530</v>
      </c>
      <c r="B1075" s="954"/>
      <c r="C1075" s="955"/>
      <c r="D1075" s="1053">
        <v>4180365</v>
      </c>
      <c r="E1075" s="955"/>
      <c r="F1075" s="1149">
        <v>4180365</v>
      </c>
    </row>
    <row r="1076" spans="1:6" ht="21" thickBot="1" x14ac:dyDescent="0.25">
      <c r="A1076" s="950" t="s">
        <v>117</v>
      </c>
      <c r="B1076" s="938"/>
      <c r="C1076" s="968">
        <f>SUM(C1072:C1075)</f>
        <v>2</v>
      </c>
      <c r="D1076" s="940">
        <f>SUM(D1072:D1075)</f>
        <v>11245165</v>
      </c>
      <c r="E1076" s="968">
        <f>SUM(E1072:E1075)</f>
        <v>2</v>
      </c>
      <c r="F1076" s="940">
        <f>SUM(F1072:F1075)</f>
        <v>11245165</v>
      </c>
    </row>
    <row r="1077" spans="1:6" ht="21" thickBot="1" x14ac:dyDescent="0.25">
      <c r="A1077" s="950" t="s">
        <v>2685</v>
      </c>
      <c r="B1077" s="938"/>
      <c r="C1077" s="968">
        <f>SUM(C1068,C1076)</f>
        <v>71</v>
      </c>
      <c r="D1077" s="1032">
        <f>SUM(D1068,D1076)</f>
        <v>84313295</v>
      </c>
      <c r="E1077" s="968">
        <f>SUM(E1071,E1076)</f>
        <v>92</v>
      </c>
      <c r="F1077" s="982">
        <f>SUM(F1071,F1076)</f>
        <v>104715820</v>
      </c>
    </row>
    <row r="1078" spans="1:6" x14ac:dyDescent="0.2">
      <c r="A1078" s="924"/>
      <c r="B1078" s="983"/>
      <c r="C1078" s="1289"/>
      <c r="D1078" s="985"/>
      <c r="E1078" s="1290"/>
      <c r="F1078" s="985"/>
    </row>
    <row r="1079" spans="1:6" x14ac:dyDescent="0.2">
      <c r="A1079" s="3545" t="s">
        <v>183</v>
      </c>
      <c r="B1079" s="3545"/>
      <c r="C1079" s="3545"/>
      <c r="D1079" s="3545"/>
      <c r="E1079" s="3545"/>
      <c r="F1079" s="3545"/>
    </row>
    <row r="1080" spans="1:6" ht="21" thickBot="1" x14ac:dyDescent="0.25">
      <c r="A1080" s="3546" t="s">
        <v>3142</v>
      </c>
      <c r="B1080" s="3546"/>
      <c r="C1080" s="3546"/>
      <c r="D1080" s="3546"/>
      <c r="E1080" s="3546"/>
      <c r="F1080" s="3546"/>
    </row>
    <row r="1081" spans="1:6" s="988" customFormat="1" ht="36" customHeight="1" thickBot="1" x14ac:dyDescent="0.25">
      <c r="A1081" s="920" t="s">
        <v>185</v>
      </c>
      <c r="B1081" s="921" t="s">
        <v>186</v>
      </c>
      <c r="C1081" s="922" t="s">
        <v>564</v>
      </c>
      <c r="D1081" s="923" t="s">
        <v>1128</v>
      </c>
      <c r="E1081" s="922" t="s">
        <v>1129</v>
      </c>
      <c r="F1081" s="923" t="s">
        <v>3096</v>
      </c>
    </row>
    <row r="1082" spans="1:6" ht="8.25" customHeight="1" x14ac:dyDescent="0.3">
      <c r="A1082" s="925"/>
      <c r="B1082" s="954">
        <v>1</v>
      </c>
      <c r="C1082" s="927" t="s">
        <v>179</v>
      </c>
      <c r="D1082" s="978" t="s">
        <v>765</v>
      </c>
      <c r="E1082" s="929" t="s">
        <v>179</v>
      </c>
      <c r="F1082" s="936" t="s">
        <v>765</v>
      </c>
    </row>
    <row r="1083" spans="1:6" x14ac:dyDescent="0.3">
      <c r="A1083" s="931"/>
      <c r="B1083" s="954">
        <v>2</v>
      </c>
      <c r="C1083" s="933"/>
      <c r="D1083" s="978"/>
      <c r="E1083" s="935"/>
      <c r="F1083" s="936"/>
    </row>
    <row r="1084" spans="1:6" x14ac:dyDescent="0.3">
      <c r="A1084" s="931"/>
      <c r="B1084" s="954">
        <v>3</v>
      </c>
      <c r="C1084" s="933"/>
      <c r="D1084" s="978"/>
      <c r="E1084" s="935"/>
      <c r="F1084" s="936"/>
    </row>
    <row r="1085" spans="1:6" x14ac:dyDescent="0.3">
      <c r="A1085" s="931"/>
      <c r="B1085" s="954">
        <v>4</v>
      </c>
      <c r="C1085" s="933"/>
      <c r="D1085" s="978"/>
      <c r="E1085" s="935"/>
      <c r="F1085" s="936"/>
    </row>
    <row r="1086" spans="1:6" x14ac:dyDescent="0.3">
      <c r="A1086" s="931"/>
      <c r="B1086" s="954">
        <v>5</v>
      </c>
      <c r="C1086" s="933"/>
      <c r="D1086" s="978"/>
      <c r="E1086" s="935"/>
      <c r="F1086" s="936"/>
    </row>
    <row r="1087" spans="1:6" ht="21" thickBot="1" x14ac:dyDescent="0.35">
      <c r="A1087" s="931"/>
      <c r="B1087" s="954">
        <v>6</v>
      </c>
      <c r="C1087" s="933"/>
      <c r="D1087" s="978"/>
      <c r="E1087" s="935"/>
      <c r="F1087" s="936"/>
    </row>
    <row r="1088" spans="1:6" ht="21" thickBot="1" x14ac:dyDescent="0.35">
      <c r="A1088" s="937" t="s">
        <v>187</v>
      </c>
      <c r="B1088" s="938"/>
      <c r="C1088" s="968">
        <f>SUM(C1084:C1087)</f>
        <v>0</v>
      </c>
      <c r="D1088" s="940">
        <f>SUM(D1084:D1087)</f>
        <v>0</v>
      </c>
      <c r="E1088" s="1058">
        <f>SUM(E1082:E1087)</f>
        <v>0</v>
      </c>
      <c r="F1088" s="961">
        <f>SUM(F1082:F1087)</f>
        <v>0</v>
      </c>
    </row>
    <row r="1089" spans="1:6" x14ac:dyDescent="0.3">
      <c r="A1089" s="931"/>
      <c r="B1089" s="954">
        <v>7</v>
      </c>
      <c r="C1089" s="933"/>
      <c r="D1089" s="978"/>
      <c r="E1089" s="935"/>
      <c r="F1089" s="936"/>
    </row>
    <row r="1090" spans="1:6" x14ac:dyDescent="0.3">
      <c r="A1090" s="931"/>
      <c r="B1090" s="954">
        <v>8</v>
      </c>
      <c r="C1090" s="933"/>
      <c r="D1090" s="978"/>
      <c r="E1090" s="935"/>
      <c r="F1090" s="936"/>
    </row>
    <row r="1091" spans="1:6" x14ac:dyDescent="0.3">
      <c r="A1091" s="931"/>
      <c r="B1091" s="954">
        <v>9</v>
      </c>
      <c r="C1091" s="933"/>
      <c r="D1091" s="978"/>
      <c r="E1091" s="935"/>
      <c r="F1091" s="936"/>
    </row>
    <row r="1092" spans="1:6" x14ac:dyDescent="0.3">
      <c r="A1092" s="931"/>
      <c r="B1092" s="954">
        <v>10</v>
      </c>
      <c r="C1092" s="933"/>
      <c r="D1092" s="978"/>
      <c r="E1092" s="935"/>
      <c r="F1092" s="936"/>
    </row>
    <row r="1093" spans="1:6" ht="21" thickBot="1" x14ac:dyDescent="0.35">
      <c r="A1093" s="931"/>
      <c r="B1093" s="954">
        <v>12</v>
      </c>
      <c r="C1093" s="933"/>
      <c r="D1093" s="978"/>
      <c r="E1093" s="935"/>
      <c r="F1093" s="936"/>
    </row>
    <row r="1094" spans="1:6" ht="21" thickBot="1" x14ac:dyDescent="0.35">
      <c r="A1094" s="937" t="s">
        <v>188</v>
      </c>
      <c r="B1094" s="938"/>
      <c r="C1094" s="961">
        <f>SUM(C1089:C1093)</f>
        <v>0</v>
      </c>
      <c r="D1094" s="961">
        <f>SUM(D1089:D1093)</f>
        <v>0</v>
      </c>
      <c r="E1094" s="961">
        <f>SUM(E1089:E1093)</f>
        <v>0</v>
      </c>
      <c r="F1094" s="961">
        <f>SUM(F1089:F1093)</f>
        <v>0</v>
      </c>
    </row>
    <row r="1095" spans="1:6" x14ac:dyDescent="0.3">
      <c r="A1095" s="931"/>
      <c r="B1095" s="954">
        <v>13</v>
      </c>
      <c r="C1095" s="933"/>
      <c r="D1095" s="978"/>
      <c r="E1095" s="935"/>
      <c r="F1095" s="936"/>
    </row>
    <row r="1096" spans="1:6" x14ac:dyDescent="0.3">
      <c r="A1096" s="931"/>
      <c r="B1096" s="954">
        <v>14</v>
      </c>
      <c r="C1096" s="933"/>
      <c r="D1096" s="978"/>
      <c r="E1096" s="935"/>
      <c r="F1096" s="936"/>
    </row>
    <row r="1097" spans="1:6" x14ac:dyDescent="0.3">
      <c r="A1097" s="931"/>
      <c r="B1097" s="954">
        <v>15</v>
      </c>
      <c r="C1097" s="933"/>
      <c r="D1097" s="978"/>
      <c r="E1097" s="935"/>
      <c r="F1097" s="936"/>
    </row>
    <row r="1098" spans="1:6" ht="21" thickBot="1" x14ac:dyDescent="0.35">
      <c r="A1098" s="931"/>
      <c r="B1098" s="954">
        <v>16</v>
      </c>
      <c r="C1098" s="933"/>
      <c r="D1098" s="978"/>
      <c r="E1098" s="935"/>
      <c r="F1098" s="936"/>
    </row>
    <row r="1099" spans="1:6" ht="21" thickBot="1" x14ac:dyDescent="0.35">
      <c r="A1099" s="937" t="s">
        <v>189</v>
      </c>
      <c r="B1099" s="938"/>
      <c r="C1099" s="1058">
        <f>SUM(C1095:C1098)</f>
        <v>0</v>
      </c>
      <c r="D1099" s="961">
        <v>0</v>
      </c>
      <c r="E1099" s="1058">
        <f t="shared" ref="E1099" si="3">SUM(E1095:E1098)</f>
        <v>0</v>
      </c>
      <c r="F1099" s="961">
        <f>SUM(F1095:F1098)</f>
        <v>0</v>
      </c>
    </row>
    <row r="1100" spans="1:6" ht="21" thickBot="1" x14ac:dyDescent="0.35">
      <c r="A1100" s="990" t="s">
        <v>190</v>
      </c>
      <c r="B1100" s="991"/>
      <c r="C1100" s="1143">
        <f t="shared" ref="C1100" si="4">C1099+C1094+C1088</f>
        <v>0</v>
      </c>
      <c r="D1100" s="1123">
        <v>0</v>
      </c>
      <c r="E1100" s="1143">
        <f t="shared" ref="E1100:F1100" si="5">E1099+E1094+E1088</f>
        <v>0</v>
      </c>
      <c r="F1100" s="1123">
        <f t="shared" si="5"/>
        <v>0</v>
      </c>
    </row>
    <row r="1101" spans="1:6" x14ac:dyDescent="0.2">
      <c r="A1101" s="964" t="s">
        <v>2681</v>
      </c>
      <c r="B1101" s="954"/>
      <c r="C1101" s="955">
        <v>1</v>
      </c>
      <c r="D1101" s="1053">
        <v>1247870</v>
      </c>
      <c r="E1101" s="955">
        <v>1</v>
      </c>
      <c r="F1101" s="1149">
        <v>1247870</v>
      </c>
    </row>
    <row r="1102" spans="1:6" ht="21" thickBot="1" x14ac:dyDescent="0.25">
      <c r="A1102" s="964" t="s">
        <v>2682</v>
      </c>
      <c r="B1102" s="954"/>
      <c r="C1102" s="955"/>
      <c r="D1102" s="1053">
        <v>4180365</v>
      </c>
      <c r="E1102" s="955"/>
      <c r="F1102" s="1149">
        <v>4180365</v>
      </c>
    </row>
    <row r="1103" spans="1:6" ht="21" thickBot="1" x14ac:dyDescent="0.25">
      <c r="A1103" s="950" t="s">
        <v>117</v>
      </c>
      <c r="B1103" s="1077"/>
      <c r="C1103" s="941">
        <f>SUM(C1100:C1102)</f>
        <v>1</v>
      </c>
      <c r="D1103" s="1061">
        <f>SUM(D1100:D1102)</f>
        <v>5428235</v>
      </c>
      <c r="E1103" s="941">
        <f>SUM(E1100:E1102)</f>
        <v>1</v>
      </c>
      <c r="F1103" s="1288">
        <f>SUM(F1100:F1102)</f>
        <v>5428235</v>
      </c>
    </row>
    <row r="1104" spans="1:6" ht="21" thickBot="1" x14ac:dyDescent="0.25">
      <c r="A1104" s="950"/>
      <c r="B1104" s="938"/>
      <c r="C1104" s="968"/>
      <c r="D1104" s="940"/>
      <c r="E1104" s="968"/>
      <c r="F1104" s="940"/>
    </row>
    <row r="1105" spans="1:6" ht="21" thickBot="1" x14ac:dyDescent="0.25">
      <c r="A1105" s="950" t="s">
        <v>3143</v>
      </c>
      <c r="B1105" s="938"/>
      <c r="C1105" s="968">
        <f>SUM(C1100,C1103)</f>
        <v>1</v>
      </c>
      <c r="D1105" s="1032">
        <f>SUM(D1100,D1103)</f>
        <v>5428235</v>
      </c>
      <c r="E1105" s="968">
        <f>SUM(E1100,E1103)</f>
        <v>1</v>
      </c>
      <c r="F1105" s="982">
        <f>SUM(F1100,F1103)</f>
        <v>5428235</v>
      </c>
    </row>
    <row r="1106" spans="1:6" x14ac:dyDescent="0.2">
      <c r="A1106" s="924"/>
      <c r="B1106" s="983"/>
      <c r="C1106" s="1289"/>
      <c r="D1106" s="985"/>
      <c r="E1106" s="1290"/>
      <c r="F1106" s="985"/>
    </row>
    <row r="1107" spans="1:6" x14ac:dyDescent="0.2">
      <c r="A1107" s="3545" t="s">
        <v>183</v>
      </c>
      <c r="B1107" s="3545"/>
      <c r="C1107" s="3545"/>
      <c r="D1107" s="3545"/>
      <c r="E1107" s="3545"/>
      <c r="F1107" s="3545"/>
    </row>
    <row r="1108" spans="1:6" ht="21" thickBot="1" x14ac:dyDescent="0.25">
      <c r="A1108" s="3546" t="s">
        <v>768</v>
      </c>
      <c r="B1108" s="3546"/>
      <c r="C1108" s="3546"/>
      <c r="D1108" s="3546"/>
      <c r="E1108" s="3546"/>
      <c r="F1108" s="3546"/>
    </row>
    <row r="1109" spans="1:6" s="988" customFormat="1" ht="41.25" thickBot="1" x14ac:dyDescent="0.25">
      <c r="A1109" s="920" t="s">
        <v>185</v>
      </c>
      <c r="B1109" s="921" t="s">
        <v>186</v>
      </c>
      <c r="C1109" s="922" t="s">
        <v>564</v>
      </c>
      <c r="D1109" s="923" t="s">
        <v>1128</v>
      </c>
      <c r="E1109" s="922" t="s">
        <v>1129</v>
      </c>
      <c r="F1109" s="923" t="s">
        <v>3096</v>
      </c>
    </row>
    <row r="1110" spans="1:6" x14ac:dyDescent="0.2">
      <c r="A1110" s="931"/>
      <c r="B1110" s="954">
        <v>1</v>
      </c>
      <c r="C1110" s="933">
        <v>0</v>
      </c>
      <c r="D1110" s="978" t="s">
        <v>130</v>
      </c>
      <c r="E1110" s="933">
        <v>0</v>
      </c>
      <c r="F1110" s="934" t="s">
        <v>130</v>
      </c>
    </row>
    <row r="1111" spans="1:6" x14ac:dyDescent="0.2">
      <c r="A1111" s="931"/>
      <c r="B1111" s="954">
        <v>2</v>
      </c>
      <c r="C1111" s="933">
        <v>0</v>
      </c>
      <c r="D1111" s="978" t="s">
        <v>130</v>
      </c>
      <c r="E1111" s="933">
        <v>0</v>
      </c>
      <c r="F1111" s="934" t="s">
        <v>130</v>
      </c>
    </row>
    <row r="1112" spans="1:6" x14ac:dyDescent="0.2">
      <c r="A1112" s="931"/>
      <c r="B1112" s="954">
        <v>3</v>
      </c>
      <c r="C1112" s="933">
        <v>0</v>
      </c>
      <c r="D1112" s="978" t="s">
        <v>130</v>
      </c>
      <c r="E1112" s="933">
        <v>0</v>
      </c>
      <c r="F1112" s="934" t="s">
        <v>130</v>
      </c>
    </row>
    <row r="1113" spans="1:6" x14ac:dyDescent="0.2">
      <c r="A1113" s="931"/>
      <c r="B1113" s="954">
        <v>4</v>
      </c>
      <c r="C1113" s="933">
        <v>0</v>
      </c>
      <c r="D1113" s="978" t="s">
        <v>130</v>
      </c>
      <c r="E1113" s="933">
        <v>0</v>
      </c>
      <c r="F1113" s="934" t="s">
        <v>130</v>
      </c>
    </row>
    <row r="1114" spans="1:6" x14ac:dyDescent="0.2">
      <c r="A1114" s="931"/>
      <c r="B1114" s="954">
        <v>5</v>
      </c>
      <c r="C1114" s="933">
        <v>0</v>
      </c>
      <c r="D1114" s="978" t="s">
        <v>130</v>
      </c>
      <c r="E1114" s="933">
        <v>0</v>
      </c>
      <c r="F1114" s="934" t="s">
        <v>130</v>
      </c>
    </row>
    <row r="1115" spans="1:6" ht="21" thickBot="1" x14ac:dyDescent="0.25">
      <c r="A1115" s="931"/>
      <c r="B1115" s="954">
        <v>6</v>
      </c>
      <c r="C1115" s="933">
        <v>0</v>
      </c>
      <c r="D1115" s="978" t="s">
        <v>130</v>
      </c>
      <c r="E1115" s="933">
        <v>0</v>
      </c>
      <c r="F1115" s="934" t="s">
        <v>130</v>
      </c>
    </row>
    <row r="1116" spans="1:6" ht="21" thickBot="1" x14ac:dyDescent="0.25">
      <c r="A1116" s="937" t="s">
        <v>187</v>
      </c>
      <c r="B1116" s="938"/>
      <c r="C1116" s="968">
        <f>SUM(C1112:C1115)</f>
        <v>0</v>
      </c>
      <c r="D1116" s="1032" t="s">
        <v>130</v>
      </c>
      <c r="E1116" s="968">
        <f>SUM(E1112:E1115)</f>
        <v>0</v>
      </c>
      <c r="F1116" s="940" t="s">
        <v>130</v>
      </c>
    </row>
    <row r="1117" spans="1:6" x14ac:dyDescent="0.2">
      <c r="A1117" s="931"/>
      <c r="B1117" s="954">
        <v>7</v>
      </c>
      <c r="C1117" s="933">
        <v>0</v>
      </c>
      <c r="D1117" s="978" t="s">
        <v>130</v>
      </c>
      <c r="E1117" s="933">
        <v>0</v>
      </c>
      <c r="F1117" s="934" t="s">
        <v>130</v>
      </c>
    </row>
    <row r="1118" spans="1:6" x14ac:dyDescent="0.2">
      <c r="A1118" s="931"/>
      <c r="B1118" s="954">
        <v>8</v>
      </c>
      <c r="C1118" s="933">
        <v>0</v>
      </c>
      <c r="D1118" s="978" t="s">
        <v>130</v>
      </c>
      <c r="E1118" s="933">
        <v>0</v>
      </c>
      <c r="F1118" s="934" t="s">
        <v>130</v>
      </c>
    </row>
    <row r="1119" spans="1:6" x14ac:dyDescent="0.2">
      <c r="A1119" s="931"/>
      <c r="B1119" s="954">
        <v>9</v>
      </c>
      <c r="C1119" s="933">
        <v>0</v>
      </c>
      <c r="D1119" s="978" t="s">
        <v>130</v>
      </c>
      <c r="E1119" s="933">
        <v>0</v>
      </c>
      <c r="F1119" s="934" t="s">
        <v>130</v>
      </c>
    </row>
    <row r="1120" spans="1:6" x14ac:dyDescent="0.2">
      <c r="A1120" s="931"/>
      <c r="B1120" s="954">
        <v>10</v>
      </c>
      <c r="C1120" s="933">
        <v>0</v>
      </c>
      <c r="D1120" s="978" t="s">
        <v>130</v>
      </c>
      <c r="E1120" s="933">
        <v>0</v>
      </c>
      <c r="F1120" s="934" t="s">
        <v>130</v>
      </c>
    </row>
    <row r="1121" spans="1:6" ht="21" thickBot="1" x14ac:dyDescent="0.25">
      <c r="A1121" s="931"/>
      <c r="B1121" s="954">
        <v>12</v>
      </c>
      <c r="C1121" s="933">
        <v>0</v>
      </c>
      <c r="D1121" s="978" t="s">
        <v>130</v>
      </c>
      <c r="E1121" s="933">
        <v>0</v>
      </c>
      <c r="F1121" s="934" t="s">
        <v>130</v>
      </c>
    </row>
    <row r="1122" spans="1:6" ht="21" thickBot="1" x14ac:dyDescent="0.25">
      <c r="A1122" s="937" t="s">
        <v>188</v>
      </c>
      <c r="B1122" s="938"/>
      <c r="C1122" s="968">
        <f>SUM(C1117:C1121)</f>
        <v>0</v>
      </c>
      <c r="D1122" s="1032" t="s">
        <v>130</v>
      </c>
      <c r="E1122" s="968">
        <f>SUM(E1117:E1121)</f>
        <v>0</v>
      </c>
      <c r="F1122" s="940" t="s">
        <v>130</v>
      </c>
    </row>
    <row r="1123" spans="1:6" x14ac:dyDescent="0.2">
      <c r="A1123" s="931"/>
      <c r="B1123" s="954">
        <v>13</v>
      </c>
      <c r="C1123" s="933">
        <v>0</v>
      </c>
      <c r="D1123" s="978" t="s">
        <v>130</v>
      </c>
      <c r="E1123" s="933">
        <v>0</v>
      </c>
      <c r="F1123" s="934" t="s">
        <v>130</v>
      </c>
    </row>
    <row r="1124" spans="1:6" x14ac:dyDescent="0.2">
      <c r="A1124" s="931"/>
      <c r="B1124" s="954">
        <v>14</v>
      </c>
      <c r="C1124" s="933">
        <v>0</v>
      </c>
      <c r="D1124" s="978" t="s">
        <v>130</v>
      </c>
      <c r="E1124" s="933">
        <v>0</v>
      </c>
      <c r="F1124" s="934" t="s">
        <v>130</v>
      </c>
    </row>
    <row r="1125" spans="1:6" x14ac:dyDescent="0.2">
      <c r="A1125" s="931"/>
      <c r="B1125" s="954">
        <v>15</v>
      </c>
      <c r="C1125" s="933">
        <v>0</v>
      </c>
      <c r="D1125" s="978" t="s">
        <v>130</v>
      </c>
      <c r="E1125" s="933">
        <v>0</v>
      </c>
      <c r="F1125" s="934" t="s">
        <v>130</v>
      </c>
    </row>
    <row r="1126" spans="1:6" ht="21" thickBot="1" x14ac:dyDescent="0.25">
      <c r="A1126" s="931"/>
      <c r="B1126" s="954">
        <v>16</v>
      </c>
      <c r="C1126" s="933">
        <v>0</v>
      </c>
      <c r="D1126" s="978" t="s">
        <v>130</v>
      </c>
      <c r="E1126" s="933">
        <v>0</v>
      </c>
      <c r="F1126" s="934" t="s">
        <v>130</v>
      </c>
    </row>
    <row r="1127" spans="1:6" ht="21" thickBot="1" x14ac:dyDescent="0.25">
      <c r="A1127" s="937" t="s">
        <v>189</v>
      </c>
      <c r="B1127" s="938"/>
      <c r="C1127" s="939">
        <f>SUM(C1123:C1126)</f>
        <v>0</v>
      </c>
      <c r="D1127" s="1032">
        <f>SUM(D1123:D1126)</f>
        <v>0</v>
      </c>
      <c r="E1127" s="939">
        <f>SUM(E1123:E1126)</f>
        <v>0</v>
      </c>
      <c r="F1127" s="940">
        <f>SUM(F1123:F1126)</f>
        <v>0</v>
      </c>
    </row>
    <row r="1128" spans="1:6" ht="21" thickBot="1" x14ac:dyDescent="0.25">
      <c r="A1128" s="937" t="s">
        <v>190</v>
      </c>
      <c r="B1128" s="938"/>
      <c r="C1128" s="992">
        <f>SUM(C1127,C1122,C1116)</f>
        <v>0</v>
      </c>
      <c r="D1128" s="1107">
        <f>SUM(D1127,D1122,D1116)</f>
        <v>0</v>
      </c>
      <c r="E1128" s="992">
        <f>SUM(E1127,E1122,E1116)</f>
        <v>0</v>
      </c>
      <c r="F1128" s="969">
        <f>SUM(F1127,F1122,F1116)</f>
        <v>0</v>
      </c>
    </row>
    <row r="1129" spans="1:6" x14ac:dyDescent="0.2">
      <c r="A1129" s="964" t="s">
        <v>200</v>
      </c>
      <c r="B1129" s="1291" t="s">
        <v>179</v>
      </c>
      <c r="C1129" s="927"/>
      <c r="D1129" s="928">
        <v>1250110</v>
      </c>
      <c r="E1129" s="927"/>
      <c r="F1129" s="928">
        <v>1250110</v>
      </c>
    </row>
    <row r="1130" spans="1:6" ht="21" thickBot="1" x14ac:dyDescent="0.25">
      <c r="A1130" s="964" t="s">
        <v>527</v>
      </c>
      <c r="B1130" s="1292"/>
      <c r="C1130" s="933"/>
      <c r="D1130" s="934">
        <v>4479705</v>
      </c>
      <c r="E1130" s="933"/>
      <c r="F1130" s="934">
        <v>4479705</v>
      </c>
    </row>
    <row r="1131" spans="1:6" s="924" customFormat="1" ht="21" thickBot="1" x14ac:dyDescent="0.25">
      <c r="A1131" s="937" t="s">
        <v>117</v>
      </c>
      <c r="B1131" s="1047"/>
      <c r="C1131" s="939">
        <v>1</v>
      </c>
      <c r="D1131" s="1032">
        <f>SUM(D1129:D1130)</f>
        <v>5729815</v>
      </c>
      <c r="E1131" s="939">
        <v>1</v>
      </c>
      <c r="F1131" s="940">
        <f>SUM(F1129:F1130)</f>
        <v>5729815</v>
      </c>
    </row>
    <row r="1132" spans="1:6" ht="21" thickBot="1" x14ac:dyDescent="0.25">
      <c r="A1132" s="950" t="s">
        <v>1345</v>
      </c>
      <c r="B1132" s="938"/>
      <c r="C1132" s="939">
        <v>1</v>
      </c>
      <c r="D1132" s="940">
        <f>SUM(D1128,D1131)</f>
        <v>5729815</v>
      </c>
      <c r="E1132" s="939">
        <v>1</v>
      </c>
      <c r="F1132" s="940">
        <f>SUM(F1128,F1131)</f>
        <v>5729815</v>
      </c>
    </row>
    <row r="1133" spans="1:6" ht="9" customHeight="1" x14ac:dyDescent="0.2">
      <c r="A1133" s="924"/>
      <c r="B1133" s="983"/>
      <c r="C1133" s="1289"/>
      <c r="D1133" s="985"/>
      <c r="E1133" s="1290"/>
      <c r="F1133" s="985"/>
    </row>
    <row r="1134" spans="1:6" x14ac:dyDescent="0.2">
      <c r="A1134" s="3545" t="s">
        <v>183</v>
      </c>
      <c r="B1134" s="3545"/>
      <c r="C1134" s="3545"/>
      <c r="D1134" s="3545"/>
      <c r="E1134" s="3545"/>
      <c r="F1134" s="3545"/>
    </row>
    <row r="1135" spans="1:6" ht="21" thickBot="1" x14ac:dyDescent="0.25">
      <c r="A1135" s="3546" t="s">
        <v>359</v>
      </c>
      <c r="B1135" s="3546"/>
      <c r="C1135" s="3546"/>
      <c r="D1135" s="3546"/>
      <c r="E1135" s="3546"/>
      <c r="F1135" s="3546"/>
    </row>
    <row r="1136" spans="1:6" s="988" customFormat="1" ht="41.25" thickBot="1" x14ac:dyDescent="0.25">
      <c r="A1136" s="920" t="s">
        <v>185</v>
      </c>
      <c r="B1136" s="921" t="s">
        <v>186</v>
      </c>
      <c r="C1136" s="922" t="s">
        <v>564</v>
      </c>
      <c r="D1136" s="923" t="s">
        <v>1128</v>
      </c>
      <c r="E1136" s="1159" t="s">
        <v>1129</v>
      </c>
      <c r="F1136" s="923" t="s">
        <v>3096</v>
      </c>
    </row>
    <row r="1137" spans="1:6" ht="12" customHeight="1" x14ac:dyDescent="0.2">
      <c r="A1137" s="931"/>
      <c r="B1137" s="932">
        <v>1</v>
      </c>
      <c r="C1137" s="933" t="s">
        <v>179</v>
      </c>
      <c r="D1137" s="933" t="s">
        <v>179</v>
      </c>
      <c r="E1137" s="933" t="s">
        <v>179</v>
      </c>
      <c r="F1137" s="933" t="s">
        <v>179</v>
      </c>
    </row>
    <row r="1138" spans="1:6" x14ac:dyDescent="0.2">
      <c r="A1138" s="931"/>
      <c r="B1138" s="932">
        <v>2</v>
      </c>
      <c r="C1138" s="933" t="s">
        <v>179</v>
      </c>
      <c r="D1138" s="933" t="s">
        <v>179</v>
      </c>
      <c r="E1138" s="933" t="s">
        <v>179</v>
      </c>
      <c r="F1138" s="933" t="s">
        <v>179</v>
      </c>
    </row>
    <row r="1139" spans="1:6" x14ac:dyDescent="0.2">
      <c r="A1139" s="931"/>
      <c r="B1139" s="932">
        <v>3</v>
      </c>
      <c r="C1139" s="933" t="s">
        <v>179</v>
      </c>
      <c r="D1139" s="933" t="s">
        <v>179</v>
      </c>
      <c r="E1139" s="933" t="s">
        <v>179</v>
      </c>
      <c r="F1139" s="933" t="s">
        <v>179</v>
      </c>
    </row>
    <row r="1140" spans="1:6" x14ac:dyDescent="0.2">
      <c r="A1140" s="931"/>
      <c r="B1140" s="932">
        <v>4</v>
      </c>
      <c r="C1140" s="933">
        <v>5</v>
      </c>
      <c r="D1140" s="989">
        <v>1530000</v>
      </c>
      <c r="E1140" s="955">
        <v>5</v>
      </c>
      <c r="F1140" s="934">
        <v>1350000</v>
      </c>
    </row>
    <row r="1141" spans="1:6" x14ac:dyDescent="0.2">
      <c r="A1141" s="931"/>
      <c r="B1141" s="932">
        <v>5</v>
      </c>
      <c r="C1141" s="933">
        <v>2</v>
      </c>
      <c r="D1141" s="989">
        <v>723140</v>
      </c>
      <c r="E1141" s="955">
        <v>2</v>
      </c>
      <c r="F1141" s="934">
        <v>723140</v>
      </c>
    </row>
    <row r="1142" spans="1:6" ht="21" thickBot="1" x14ac:dyDescent="0.25">
      <c r="A1142" s="931"/>
      <c r="B1142" s="932">
        <v>6</v>
      </c>
      <c r="C1142" s="933">
        <v>3</v>
      </c>
      <c r="D1142" s="989">
        <v>1651945</v>
      </c>
      <c r="E1142" s="955">
        <v>9</v>
      </c>
      <c r="F1142" s="934">
        <v>4955834</v>
      </c>
    </row>
    <row r="1143" spans="1:6" ht="21" thickBot="1" x14ac:dyDescent="0.25">
      <c r="A1143" s="937" t="s">
        <v>187</v>
      </c>
      <c r="B1143" s="938"/>
      <c r="C1143" s="968">
        <f>SUM(C1137:C1142)</f>
        <v>10</v>
      </c>
      <c r="D1143" s="940">
        <f>SUM(D1137:D1142)</f>
        <v>3905085</v>
      </c>
      <c r="E1143" s="962">
        <f>SUM(E1137:E1142)</f>
        <v>16</v>
      </c>
      <c r="F1143" s="940">
        <f>SUM(F1137:F1142)</f>
        <v>7028974</v>
      </c>
    </row>
    <row r="1144" spans="1:6" x14ac:dyDescent="0.2">
      <c r="A1144" s="931"/>
      <c r="B1144" s="932">
        <v>7</v>
      </c>
      <c r="C1144" s="933">
        <v>5</v>
      </c>
      <c r="D1144" s="989">
        <v>5276680</v>
      </c>
      <c r="E1144" s="955">
        <v>5</v>
      </c>
      <c r="F1144" s="934">
        <v>5902804</v>
      </c>
    </row>
    <row r="1145" spans="1:6" x14ac:dyDescent="0.2">
      <c r="A1145" s="931"/>
      <c r="B1145" s="932">
        <v>8</v>
      </c>
      <c r="C1145" s="933">
        <v>3</v>
      </c>
      <c r="D1145" s="989">
        <v>1493680</v>
      </c>
      <c r="E1145" s="955">
        <v>13</v>
      </c>
      <c r="F1145" s="934">
        <v>6472613</v>
      </c>
    </row>
    <row r="1146" spans="1:6" x14ac:dyDescent="0.2">
      <c r="A1146" s="931"/>
      <c r="B1146" s="932">
        <v>9</v>
      </c>
      <c r="C1146" s="933">
        <v>13</v>
      </c>
      <c r="D1146" s="989">
        <v>10917495</v>
      </c>
      <c r="E1146" s="955">
        <v>13</v>
      </c>
      <c r="F1146" s="934">
        <v>10917495</v>
      </c>
    </row>
    <row r="1147" spans="1:6" x14ac:dyDescent="0.2">
      <c r="A1147" s="931"/>
      <c r="B1147" s="932">
        <v>10</v>
      </c>
      <c r="C1147" s="933">
        <v>2</v>
      </c>
      <c r="D1147" s="989">
        <v>2016460</v>
      </c>
      <c r="E1147" s="955">
        <v>2</v>
      </c>
      <c r="F1147" s="934">
        <v>2016460</v>
      </c>
    </row>
    <row r="1148" spans="1:6" ht="21" thickBot="1" x14ac:dyDescent="0.25">
      <c r="A1148" s="931"/>
      <c r="B1148" s="932">
        <v>12</v>
      </c>
      <c r="C1148" s="933">
        <v>2</v>
      </c>
      <c r="D1148" s="989">
        <v>2164875</v>
      </c>
      <c r="E1148" s="955">
        <v>2</v>
      </c>
      <c r="F1148" s="934">
        <v>2164875</v>
      </c>
    </row>
    <row r="1149" spans="1:6" ht="21" thickBot="1" x14ac:dyDescent="0.25">
      <c r="A1149" s="937" t="s">
        <v>188</v>
      </c>
      <c r="B1149" s="938"/>
      <c r="C1149" s="968">
        <v>25</v>
      </c>
      <c r="D1149" s="940">
        <f>SUM(D1144:D1148)</f>
        <v>21869190</v>
      </c>
      <c r="E1149" s="962">
        <f>SUM(E1144:E1148)</f>
        <v>35</v>
      </c>
      <c r="F1149" s="940">
        <f>SUM(F1144:F1148)</f>
        <v>27474247</v>
      </c>
    </row>
    <row r="1150" spans="1:6" x14ac:dyDescent="0.2">
      <c r="A1150" s="931"/>
      <c r="B1150" s="932">
        <v>13</v>
      </c>
      <c r="C1150" s="933">
        <v>4</v>
      </c>
      <c r="D1150" s="989">
        <v>3668195</v>
      </c>
      <c r="E1150" s="955">
        <v>4</v>
      </c>
      <c r="F1150" s="934">
        <v>3668195</v>
      </c>
    </row>
    <row r="1151" spans="1:6" x14ac:dyDescent="0.2">
      <c r="A1151" s="931"/>
      <c r="B1151" s="932">
        <v>14</v>
      </c>
      <c r="C1151" s="933">
        <v>7</v>
      </c>
      <c r="D1151" s="989">
        <v>15091775</v>
      </c>
      <c r="E1151" s="955">
        <v>7</v>
      </c>
      <c r="F1151" s="934">
        <v>15091775</v>
      </c>
    </row>
    <row r="1152" spans="1:6" x14ac:dyDescent="0.2">
      <c r="A1152" s="931"/>
      <c r="B1152" s="932">
        <v>15</v>
      </c>
      <c r="C1152" s="933">
        <v>0</v>
      </c>
      <c r="D1152" s="989" t="s">
        <v>130</v>
      </c>
      <c r="E1152" s="955">
        <v>0</v>
      </c>
      <c r="F1152" s="934">
        <v>0</v>
      </c>
    </row>
    <row r="1153" spans="1:6" ht="21" thickBot="1" x14ac:dyDescent="0.25">
      <c r="A1153" s="931"/>
      <c r="B1153" s="932">
        <v>16</v>
      </c>
      <c r="C1153" s="933">
        <v>6</v>
      </c>
      <c r="D1153" s="989">
        <v>7347615</v>
      </c>
      <c r="E1153" s="955">
        <v>6</v>
      </c>
      <c r="F1153" s="934">
        <v>7347615</v>
      </c>
    </row>
    <row r="1154" spans="1:6" ht="21" thickBot="1" x14ac:dyDescent="0.25">
      <c r="A1154" s="937" t="s">
        <v>189</v>
      </c>
      <c r="B1154" s="938"/>
      <c r="C1154" s="968">
        <f>SUM(C1150:C1153)</f>
        <v>17</v>
      </c>
      <c r="D1154" s="940">
        <f>SUM(D1150:D1153)</f>
        <v>26107585</v>
      </c>
      <c r="E1154" s="962">
        <f>SUM(E1150:E1153)</f>
        <v>17</v>
      </c>
      <c r="F1154" s="940">
        <f>SUM(F1150:F1153)</f>
        <v>26107585</v>
      </c>
    </row>
    <row r="1155" spans="1:6" ht="21" thickBot="1" x14ac:dyDescent="0.25">
      <c r="A1155" s="937" t="s">
        <v>190</v>
      </c>
      <c r="B1155" s="938"/>
      <c r="C1155" s="939">
        <f>SUM(C1154,C1149,C1143)</f>
        <v>52</v>
      </c>
      <c r="D1155" s="940">
        <f>SUM(D1154,D1149,D1143)</f>
        <v>51881860</v>
      </c>
      <c r="E1155" s="962">
        <f>SUM(E1154,E1149,E1143)</f>
        <v>68</v>
      </c>
      <c r="F1155" s="940">
        <f>SUM(F1154,F1149,F1143)</f>
        <v>60610806</v>
      </c>
    </row>
    <row r="1156" spans="1:6" ht="21" thickBot="1" x14ac:dyDescent="0.25">
      <c r="A1156" s="924" t="s">
        <v>775</v>
      </c>
      <c r="C1156" s="933"/>
      <c r="D1156" s="989">
        <v>52223085</v>
      </c>
      <c r="E1156" s="955"/>
      <c r="F1156" s="934"/>
    </row>
    <row r="1157" spans="1:6" ht="21" thickBot="1" x14ac:dyDescent="0.25">
      <c r="A1157" s="1293" t="s">
        <v>117</v>
      </c>
      <c r="B1157" s="1294"/>
      <c r="C1157" s="1295"/>
      <c r="D1157" s="1296">
        <f>SUM(D1155:D1156)</f>
        <v>104104945</v>
      </c>
      <c r="E1157" s="1297">
        <v>52</v>
      </c>
      <c r="F1157" s="940">
        <f>SUM(F1155:F1156)</f>
        <v>60610806</v>
      </c>
    </row>
    <row r="1158" spans="1:6" x14ac:dyDescent="0.2">
      <c r="A1158" s="919" t="s">
        <v>528</v>
      </c>
      <c r="C1158" s="933">
        <v>1</v>
      </c>
      <c r="D1158" s="989">
        <v>1337225</v>
      </c>
      <c r="E1158" s="955">
        <v>1</v>
      </c>
      <c r="F1158" s="934">
        <v>1337225</v>
      </c>
    </row>
    <row r="1159" spans="1:6" x14ac:dyDescent="0.2">
      <c r="A1159" s="919" t="s">
        <v>529</v>
      </c>
      <c r="C1159" s="933"/>
      <c r="D1159" s="989">
        <v>4479705</v>
      </c>
      <c r="E1159" s="955"/>
      <c r="F1159" s="934">
        <v>4479705</v>
      </c>
    </row>
    <row r="1160" spans="1:6" x14ac:dyDescent="0.2">
      <c r="A1160" s="919" t="s">
        <v>216</v>
      </c>
      <c r="C1160" s="933">
        <v>1</v>
      </c>
      <c r="D1160" s="989">
        <v>1247870</v>
      </c>
      <c r="E1160" s="955">
        <v>1</v>
      </c>
      <c r="F1160" s="934">
        <v>1247870</v>
      </c>
    </row>
    <row r="1161" spans="1:6" ht="21" thickBot="1" x14ac:dyDescent="0.25">
      <c r="A1161" s="919" t="s">
        <v>530</v>
      </c>
      <c r="C1161" s="933"/>
      <c r="D1161" s="989">
        <v>4180365</v>
      </c>
      <c r="E1161" s="955"/>
      <c r="F1161" s="934">
        <v>4180365</v>
      </c>
    </row>
    <row r="1162" spans="1:6" s="924" customFormat="1" ht="21" thickBot="1" x14ac:dyDescent="0.25">
      <c r="A1162" s="950" t="s">
        <v>117</v>
      </c>
      <c r="B1162" s="938"/>
      <c r="C1162" s="968">
        <f>SUM(C1158:C1161)</f>
        <v>2</v>
      </c>
      <c r="D1162" s="940">
        <f>SUM(D1158:D1161)</f>
        <v>11245165</v>
      </c>
      <c r="E1162" s="962">
        <f>SUM(E1158:E1161)</f>
        <v>2</v>
      </c>
      <c r="F1162" s="940">
        <f>SUM(F1158:F1161)</f>
        <v>11245165</v>
      </c>
    </row>
    <row r="1163" spans="1:6" ht="21" thickBot="1" x14ac:dyDescent="0.25">
      <c r="A1163" s="950" t="s">
        <v>205</v>
      </c>
      <c r="B1163" s="938"/>
      <c r="C1163" s="939">
        <f>SUM(C1155,C1162)</f>
        <v>54</v>
      </c>
      <c r="D1163" s="940">
        <f>SUM(D1157,D1162)</f>
        <v>115350110</v>
      </c>
      <c r="E1163" s="962">
        <f>SUM(E1157,E1162)</f>
        <v>54</v>
      </c>
      <c r="F1163" s="940">
        <f>SUM(F1157,F1162)</f>
        <v>71855971</v>
      </c>
    </row>
    <row r="1164" spans="1:6" x14ac:dyDescent="0.2">
      <c r="A1164" s="924"/>
      <c r="B1164" s="983"/>
      <c r="C1164" s="984"/>
      <c r="D1164" s="985"/>
      <c r="E1164" s="1290"/>
      <c r="F1164" s="985"/>
    </row>
    <row r="1165" spans="1:6" x14ac:dyDescent="0.2">
      <c r="A1165" s="3545"/>
      <c r="B1165" s="3545"/>
      <c r="C1165" s="3545"/>
      <c r="D1165" s="3545"/>
      <c r="E1165" s="3545"/>
      <c r="F1165" s="3545"/>
    </row>
    <row r="1166" spans="1:6" x14ac:dyDescent="0.2">
      <c r="A1166" s="3545" t="s">
        <v>183</v>
      </c>
      <c r="B1166" s="3545"/>
      <c r="C1166" s="3545"/>
      <c r="D1166" s="3545"/>
      <c r="E1166" s="3545"/>
      <c r="F1166" s="3545"/>
    </row>
    <row r="1167" spans="1:6" ht="21" thickBot="1" x14ac:dyDescent="0.25">
      <c r="A1167" s="3546" t="s">
        <v>388</v>
      </c>
      <c r="B1167" s="3546"/>
      <c r="C1167" s="3546"/>
      <c r="D1167" s="3546"/>
      <c r="E1167" s="3546"/>
      <c r="F1167" s="3546"/>
    </row>
    <row r="1168" spans="1:6" s="988" customFormat="1" ht="41.25" thickBot="1" x14ac:dyDescent="0.25">
      <c r="A1168" s="920" t="s">
        <v>185</v>
      </c>
      <c r="B1168" s="921" t="s">
        <v>186</v>
      </c>
      <c r="C1168" s="922" t="s">
        <v>564</v>
      </c>
      <c r="D1168" s="923" t="s">
        <v>1128</v>
      </c>
      <c r="E1168" s="922" t="s">
        <v>1129</v>
      </c>
      <c r="F1168" s="923" t="s">
        <v>3096</v>
      </c>
    </row>
    <row r="1169" spans="1:6" x14ac:dyDescent="0.2">
      <c r="A1169" s="925"/>
      <c r="B1169" s="954">
        <v>1</v>
      </c>
      <c r="C1169" s="927" t="s">
        <v>179</v>
      </c>
      <c r="D1169" s="978"/>
      <c r="E1169" s="927" t="s">
        <v>179</v>
      </c>
      <c r="F1169" s="934"/>
    </row>
    <row r="1170" spans="1:6" x14ac:dyDescent="0.2">
      <c r="A1170" s="931"/>
      <c r="B1170" s="954">
        <v>2</v>
      </c>
      <c r="C1170" s="933" t="s">
        <v>179</v>
      </c>
      <c r="D1170" s="978"/>
      <c r="E1170" s="933" t="s">
        <v>179</v>
      </c>
      <c r="F1170" s="934"/>
    </row>
    <row r="1171" spans="1:6" x14ac:dyDescent="0.2">
      <c r="A1171" s="931"/>
      <c r="B1171" s="954">
        <v>3</v>
      </c>
      <c r="C1171" s="933" t="s">
        <v>179</v>
      </c>
      <c r="D1171" s="978"/>
      <c r="E1171" s="933" t="s">
        <v>179</v>
      </c>
      <c r="F1171" s="934"/>
    </row>
    <row r="1172" spans="1:6" x14ac:dyDescent="0.2">
      <c r="A1172" s="931"/>
      <c r="B1172" s="954">
        <v>4</v>
      </c>
      <c r="C1172" s="933">
        <v>9</v>
      </c>
      <c r="D1172" s="978" t="s">
        <v>130</v>
      </c>
      <c r="E1172" s="933">
        <v>9</v>
      </c>
      <c r="F1172" s="934" t="s">
        <v>130</v>
      </c>
    </row>
    <row r="1173" spans="1:6" x14ac:dyDescent="0.2">
      <c r="A1173" s="931"/>
      <c r="B1173" s="954">
        <v>5</v>
      </c>
      <c r="C1173" s="933">
        <v>2</v>
      </c>
      <c r="D1173" s="978">
        <v>555445</v>
      </c>
      <c r="E1173" s="933">
        <v>2</v>
      </c>
      <c r="F1173" s="934">
        <v>555445</v>
      </c>
    </row>
    <row r="1174" spans="1:6" ht="21" thickBot="1" x14ac:dyDescent="0.25">
      <c r="A1174" s="931"/>
      <c r="B1174" s="954">
        <v>6</v>
      </c>
      <c r="C1174" s="933">
        <v>0</v>
      </c>
      <c r="D1174" s="978">
        <v>0</v>
      </c>
      <c r="E1174" s="933">
        <v>0</v>
      </c>
      <c r="F1174" s="934">
        <v>0</v>
      </c>
    </row>
    <row r="1175" spans="1:6" ht="21" thickBot="1" x14ac:dyDescent="0.25">
      <c r="A1175" s="937" t="s">
        <v>187</v>
      </c>
      <c r="B1175" s="938"/>
      <c r="C1175" s="968">
        <f>SUM(C1169:C1174)</f>
        <v>11</v>
      </c>
      <c r="D1175" s="940">
        <f>SUM(D1169:D1174)</f>
        <v>555445</v>
      </c>
      <c r="E1175" s="968">
        <f>SUM(E1169:E1174)</f>
        <v>11</v>
      </c>
      <c r="F1175" s="940">
        <f>SUM(F1169:F1174)</f>
        <v>555445</v>
      </c>
    </row>
    <row r="1176" spans="1:6" x14ac:dyDescent="0.2">
      <c r="A1176" s="931"/>
      <c r="B1176" s="954">
        <v>7</v>
      </c>
      <c r="C1176" s="933">
        <v>6</v>
      </c>
      <c r="D1176" s="978">
        <v>1258210</v>
      </c>
      <c r="E1176" s="933">
        <v>6</v>
      </c>
      <c r="F1176" s="934">
        <v>1258210</v>
      </c>
    </row>
    <row r="1177" spans="1:6" x14ac:dyDescent="0.2">
      <c r="A1177" s="931"/>
      <c r="B1177" s="954">
        <v>8</v>
      </c>
      <c r="C1177" s="933">
        <v>3</v>
      </c>
      <c r="D1177" s="978">
        <v>1254550</v>
      </c>
      <c r="E1177" s="933">
        <v>3</v>
      </c>
      <c r="F1177" s="934">
        <v>1254550</v>
      </c>
    </row>
    <row r="1178" spans="1:6" x14ac:dyDescent="0.2">
      <c r="A1178" s="931"/>
      <c r="B1178" s="954">
        <v>9</v>
      </c>
      <c r="C1178" s="933">
        <v>5</v>
      </c>
      <c r="D1178" s="978">
        <v>2093540</v>
      </c>
      <c r="E1178" s="933">
        <v>5</v>
      </c>
      <c r="F1178" s="934">
        <v>2093540</v>
      </c>
    </row>
    <row r="1179" spans="1:6" x14ac:dyDescent="0.2">
      <c r="A1179" s="931"/>
      <c r="B1179" s="954">
        <v>10</v>
      </c>
      <c r="C1179" s="933">
        <v>3</v>
      </c>
      <c r="D1179" s="978">
        <v>1545140</v>
      </c>
      <c r="E1179" s="933">
        <v>3</v>
      </c>
      <c r="F1179" s="934">
        <v>1545140</v>
      </c>
    </row>
    <row r="1180" spans="1:6" ht="21" thickBot="1" x14ac:dyDescent="0.25">
      <c r="A1180" s="931"/>
      <c r="B1180" s="954">
        <v>12</v>
      </c>
      <c r="C1180" s="933">
        <v>1</v>
      </c>
      <c r="D1180" s="978">
        <v>937920</v>
      </c>
      <c r="E1180" s="933">
        <v>1</v>
      </c>
      <c r="F1180" s="934">
        <v>937920</v>
      </c>
    </row>
    <row r="1181" spans="1:6" ht="21" thickBot="1" x14ac:dyDescent="0.25">
      <c r="A1181" s="937" t="s">
        <v>188</v>
      </c>
      <c r="B1181" s="938"/>
      <c r="C1181" s="968">
        <f>SUM(C1176:C1180)</f>
        <v>18</v>
      </c>
      <c r="D1181" s="940">
        <f>SUM(D1176:D1180)</f>
        <v>7089360</v>
      </c>
      <c r="E1181" s="968">
        <f>SUM(E1176:E1180)</f>
        <v>18</v>
      </c>
      <c r="F1181" s="940">
        <f>SUM(F1176:F1180)</f>
        <v>7089360</v>
      </c>
    </row>
    <row r="1182" spans="1:6" x14ac:dyDescent="0.2">
      <c r="A1182" s="931"/>
      <c r="B1182" s="954">
        <v>13</v>
      </c>
      <c r="C1182" s="933">
        <v>2</v>
      </c>
      <c r="D1182" s="978">
        <v>1161520</v>
      </c>
      <c r="E1182" s="933">
        <v>2</v>
      </c>
      <c r="F1182" s="934">
        <v>1161520</v>
      </c>
    </row>
    <row r="1183" spans="1:6" x14ac:dyDescent="0.2">
      <c r="A1183" s="931"/>
      <c r="B1183" s="954">
        <v>14</v>
      </c>
      <c r="C1183" s="933">
        <v>8</v>
      </c>
      <c r="D1183" s="978">
        <v>6424285</v>
      </c>
      <c r="E1183" s="933">
        <v>8</v>
      </c>
      <c r="F1183" s="934">
        <v>6424285</v>
      </c>
    </row>
    <row r="1184" spans="1:6" x14ac:dyDescent="0.2">
      <c r="A1184" s="931"/>
      <c r="B1184" s="954">
        <v>15</v>
      </c>
      <c r="C1184" s="933">
        <v>1</v>
      </c>
      <c r="D1184" s="978">
        <v>1546030</v>
      </c>
      <c r="E1184" s="933">
        <v>1</v>
      </c>
      <c r="F1184" s="934">
        <v>1546030</v>
      </c>
    </row>
    <row r="1185" spans="1:6" ht="21" thickBot="1" x14ac:dyDescent="0.25">
      <c r="A1185" s="931"/>
      <c r="B1185" s="954">
        <v>16</v>
      </c>
      <c r="C1185" s="933">
        <v>1</v>
      </c>
      <c r="D1185" s="978">
        <v>1242115</v>
      </c>
      <c r="E1185" s="933">
        <v>1</v>
      </c>
      <c r="F1185" s="934">
        <v>1242115</v>
      </c>
    </row>
    <row r="1186" spans="1:6" ht="21" thickBot="1" x14ac:dyDescent="0.25">
      <c r="A1186" s="937" t="s">
        <v>189</v>
      </c>
      <c r="B1186" s="938"/>
      <c r="C1186" s="968">
        <f>SUM(C1182:C1185)</f>
        <v>12</v>
      </c>
      <c r="D1186" s="940">
        <f>SUM(D1182:D1185)</f>
        <v>10373950</v>
      </c>
      <c r="E1186" s="968">
        <f>SUM(E1182:E1185)</f>
        <v>12</v>
      </c>
      <c r="F1186" s="940">
        <f>SUM(F1182:F1185)</f>
        <v>10373950</v>
      </c>
    </row>
    <row r="1187" spans="1:6" ht="21" thickBot="1" x14ac:dyDescent="0.25">
      <c r="A1187" s="937" t="s">
        <v>190</v>
      </c>
      <c r="B1187" s="938"/>
      <c r="C1187" s="939">
        <f>SUM(C1186,C1181,C1175)</f>
        <v>41</v>
      </c>
      <c r="D1187" s="940">
        <f>SUM(D1186,D1181,D1175)</f>
        <v>18018755</v>
      </c>
      <c r="E1187" s="939">
        <f>SUM(E1186,E1181,E1175)</f>
        <v>41</v>
      </c>
      <c r="F1187" s="940">
        <f>SUM(F1186,F1181,F1175)</f>
        <v>18018755</v>
      </c>
    </row>
    <row r="1188" spans="1:6" x14ac:dyDescent="0.2">
      <c r="A1188" s="964" t="s">
        <v>773</v>
      </c>
      <c r="B1188" s="954"/>
      <c r="C1188" s="933">
        <v>1</v>
      </c>
      <c r="D1188" s="978">
        <v>1047870</v>
      </c>
      <c r="E1188" s="933">
        <v>1</v>
      </c>
      <c r="F1188" s="934">
        <v>1047870</v>
      </c>
    </row>
    <row r="1189" spans="1:6" ht="21" thickBot="1" x14ac:dyDescent="0.25">
      <c r="A1189" s="964" t="s">
        <v>774</v>
      </c>
      <c r="B1189" s="954"/>
      <c r="C1189" s="933"/>
      <c r="D1189" s="978">
        <v>3180365</v>
      </c>
      <c r="E1189" s="933"/>
      <c r="F1189" s="934">
        <v>3180365</v>
      </c>
    </row>
    <row r="1190" spans="1:6" ht="21" thickBot="1" x14ac:dyDescent="0.25">
      <c r="A1190" s="950" t="s">
        <v>117</v>
      </c>
      <c r="B1190" s="938"/>
      <c r="C1190" s="939">
        <v>1</v>
      </c>
      <c r="D1190" s="1032">
        <f>SUM(D1188:D1189)</f>
        <v>4228235</v>
      </c>
      <c r="E1190" s="939">
        <v>1</v>
      </c>
      <c r="F1190" s="940">
        <f>SUM(F1188:F1189)</f>
        <v>4228235</v>
      </c>
    </row>
    <row r="1191" spans="1:6" ht="21" thickBot="1" x14ac:dyDescent="0.25">
      <c r="A1191" s="950" t="s">
        <v>206</v>
      </c>
      <c r="B1191" s="938"/>
      <c r="C1191" s="939">
        <f>C1187+C1188</f>
        <v>42</v>
      </c>
      <c r="D1191" s="1032">
        <f>D1190+D1187</f>
        <v>22246990</v>
      </c>
      <c r="E1191" s="939">
        <f>E1187+E1188</f>
        <v>42</v>
      </c>
      <c r="F1191" s="940">
        <f>F1190+F1187</f>
        <v>22246990</v>
      </c>
    </row>
    <row r="1193" spans="1:6" x14ac:dyDescent="0.2">
      <c r="A1193" s="3545" t="s">
        <v>183</v>
      </c>
      <c r="B1193" s="3545"/>
      <c r="C1193" s="3545"/>
      <c r="D1193" s="3545"/>
      <c r="E1193" s="3545"/>
      <c r="F1193" s="3545"/>
    </row>
    <row r="1194" spans="1:6" ht="21" thickBot="1" x14ac:dyDescent="0.25">
      <c r="A1194" s="3546" t="s">
        <v>1781</v>
      </c>
      <c r="B1194" s="3546"/>
      <c r="C1194" s="3546"/>
      <c r="D1194" s="3546"/>
      <c r="E1194" s="3546"/>
      <c r="F1194" s="3546"/>
    </row>
    <row r="1195" spans="1:6" s="988" customFormat="1" ht="41.25" thickBot="1" x14ac:dyDescent="0.25">
      <c r="A1195" s="920" t="s">
        <v>185</v>
      </c>
      <c r="B1195" s="921" t="s">
        <v>186</v>
      </c>
      <c r="C1195" s="1298" t="s">
        <v>564</v>
      </c>
      <c r="D1195" s="923" t="s">
        <v>1128</v>
      </c>
      <c r="E1195" s="922" t="s">
        <v>1129</v>
      </c>
      <c r="F1195" s="923" t="s">
        <v>3096</v>
      </c>
    </row>
    <row r="1196" spans="1:6" x14ac:dyDescent="0.2">
      <c r="A1196" s="925"/>
      <c r="B1196" s="954">
        <v>1</v>
      </c>
      <c r="C1196" s="927"/>
      <c r="D1196" s="978"/>
      <c r="E1196" s="927"/>
      <c r="F1196" s="934" t="s">
        <v>179</v>
      </c>
    </row>
    <row r="1197" spans="1:6" x14ac:dyDescent="0.2">
      <c r="A1197" s="931"/>
      <c r="B1197" s="954">
        <v>2</v>
      </c>
      <c r="C1197" s="933">
        <v>1</v>
      </c>
      <c r="D1197" s="978">
        <v>307118</v>
      </c>
      <c r="E1197" s="933">
        <v>1</v>
      </c>
      <c r="F1197" s="934">
        <v>443980</v>
      </c>
    </row>
    <row r="1198" spans="1:6" x14ac:dyDescent="0.2">
      <c r="A1198" s="931"/>
      <c r="B1198" s="954">
        <v>3</v>
      </c>
      <c r="C1198" s="933"/>
      <c r="D1198" s="978" t="s">
        <v>1575</v>
      </c>
      <c r="E1198" s="933"/>
      <c r="F1198" s="934" t="s">
        <v>1483</v>
      </c>
    </row>
    <row r="1199" spans="1:6" x14ac:dyDescent="0.2">
      <c r="A1199" s="931"/>
      <c r="B1199" s="954">
        <v>4</v>
      </c>
      <c r="C1199" s="933">
        <v>3</v>
      </c>
      <c r="D1199" s="978">
        <v>1043262</v>
      </c>
      <c r="E1199" s="933">
        <v>3</v>
      </c>
      <c r="F1199" s="934">
        <v>1555584</v>
      </c>
    </row>
    <row r="1200" spans="1:6" x14ac:dyDescent="0.2">
      <c r="A1200" s="931"/>
      <c r="B1200" s="954">
        <v>5</v>
      </c>
      <c r="C1200" s="933">
        <v>3</v>
      </c>
      <c r="D1200" s="978">
        <v>1169604</v>
      </c>
      <c r="E1200" s="933">
        <v>1</v>
      </c>
      <c r="F1200" s="934">
        <v>570806</v>
      </c>
    </row>
    <row r="1201" spans="1:6" ht="21" thickBot="1" x14ac:dyDescent="0.25">
      <c r="A1201" s="931"/>
      <c r="B1201" s="954">
        <v>6</v>
      </c>
      <c r="C1201" s="1086">
        <v>1</v>
      </c>
      <c r="D1201" s="978">
        <v>324795</v>
      </c>
      <c r="E1201" s="1086">
        <v>1</v>
      </c>
      <c r="F1201" s="934">
        <v>770806</v>
      </c>
    </row>
    <row r="1202" spans="1:6" ht="21" thickBot="1" x14ac:dyDescent="0.25">
      <c r="A1202" s="937" t="s">
        <v>351</v>
      </c>
      <c r="B1202" s="938"/>
      <c r="C1202" s="1284">
        <f>SUM(C1196:C1201)</f>
        <v>8</v>
      </c>
      <c r="D1202" s="940">
        <f>SUM(D1196:D1201)</f>
        <v>2844779</v>
      </c>
      <c r="E1202" s="1284">
        <f>SUM(E1196:E1201)</f>
        <v>6</v>
      </c>
      <c r="F1202" s="940">
        <f>SUM(F1196:F1201)</f>
        <v>3341176</v>
      </c>
    </row>
    <row r="1203" spans="1:6" x14ac:dyDescent="0.2">
      <c r="A1203" s="931"/>
      <c r="B1203" s="954">
        <v>7</v>
      </c>
      <c r="C1203" s="933">
        <v>3</v>
      </c>
      <c r="D1203" s="978">
        <v>1735507</v>
      </c>
      <c r="E1203" s="933">
        <v>4</v>
      </c>
      <c r="F1203" s="934">
        <v>2722788</v>
      </c>
    </row>
    <row r="1204" spans="1:6" x14ac:dyDescent="0.2">
      <c r="A1204" s="931"/>
      <c r="B1204" s="954">
        <v>8</v>
      </c>
      <c r="C1204" s="933">
        <v>4</v>
      </c>
      <c r="D1204" s="978">
        <v>2682836</v>
      </c>
      <c r="E1204" s="933">
        <v>8</v>
      </c>
      <c r="F1204" s="934">
        <v>5264751</v>
      </c>
    </row>
    <row r="1205" spans="1:6" x14ac:dyDescent="0.2">
      <c r="A1205" s="931"/>
      <c r="B1205" s="954">
        <v>9</v>
      </c>
      <c r="C1205" s="933">
        <v>1</v>
      </c>
      <c r="D1205" s="978">
        <v>640137</v>
      </c>
      <c r="E1205" s="933">
        <v>5</v>
      </c>
      <c r="F1205" s="934">
        <v>4261649</v>
      </c>
    </row>
    <row r="1206" spans="1:6" x14ac:dyDescent="0.2">
      <c r="A1206" s="931"/>
      <c r="B1206" s="954">
        <v>10</v>
      </c>
      <c r="C1206" s="933">
        <v>11</v>
      </c>
      <c r="D1206" s="978">
        <v>9133747</v>
      </c>
      <c r="E1206" s="933">
        <v>12</v>
      </c>
      <c r="F1206" s="934">
        <v>10818945</v>
      </c>
    </row>
    <row r="1207" spans="1:6" ht="21" thickBot="1" x14ac:dyDescent="0.25">
      <c r="A1207" s="931"/>
      <c r="B1207" s="954">
        <v>12</v>
      </c>
      <c r="C1207" s="933">
        <v>1</v>
      </c>
      <c r="D1207" s="978">
        <v>913968</v>
      </c>
      <c r="E1207" s="933">
        <v>1</v>
      </c>
      <c r="F1207" s="934">
        <v>1044230</v>
      </c>
    </row>
    <row r="1208" spans="1:6" ht="21" thickBot="1" x14ac:dyDescent="0.25">
      <c r="A1208" s="937" t="s">
        <v>352</v>
      </c>
      <c r="B1208" s="938"/>
      <c r="C1208" s="968">
        <f>SUM(C1203:C1207)</f>
        <v>20</v>
      </c>
      <c r="D1208" s="940">
        <f>SUM(D1203:D1207)</f>
        <v>15106195</v>
      </c>
      <c r="E1208" s="968">
        <f>SUM(E1203:E1207)</f>
        <v>30</v>
      </c>
      <c r="F1208" s="940">
        <f>SUM(F1203:F1207)</f>
        <v>24112363</v>
      </c>
    </row>
    <row r="1209" spans="1:6" x14ac:dyDescent="0.2">
      <c r="A1209" s="931"/>
      <c r="B1209" s="954">
        <v>13</v>
      </c>
      <c r="C1209" s="933">
        <v>5</v>
      </c>
      <c r="D1209" s="978">
        <v>5364403</v>
      </c>
      <c r="E1209" s="933">
        <v>5</v>
      </c>
      <c r="F1209" s="934">
        <v>6142605</v>
      </c>
    </row>
    <row r="1210" spans="1:6" x14ac:dyDescent="0.2">
      <c r="A1210" s="931"/>
      <c r="B1210" s="954">
        <v>14</v>
      </c>
      <c r="C1210" s="933">
        <v>9</v>
      </c>
      <c r="D1210" s="978">
        <v>13156997</v>
      </c>
      <c r="E1210" s="933">
        <v>5</v>
      </c>
      <c r="F1210" s="934">
        <v>7852003</v>
      </c>
    </row>
    <row r="1211" spans="1:6" x14ac:dyDescent="0.2">
      <c r="A1211" s="931"/>
      <c r="B1211" s="954">
        <v>15</v>
      </c>
      <c r="C1211" s="933">
        <v>3</v>
      </c>
      <c r="D1211" s="978">
        <v>4674963</v>
      </c>
      <c r="E1211" s="933">
        <v>2</v>
      </c>
      <c r="F1211" s="934">
        <v>3572832</v>
      </c>
    </row>
    <row r="1212" spans="1:6" ht="21" thickBot="1" x14ac:dyDescent="0.25">
      <c r="A1212" s="931"/>
      <c r="B1212" s="954">
        <v>16</v>
      </c>
      <c r="C1212" s="933">
        <v>3</v>
      </c>
      <c r="D1212" s="978">
        <v>7134423</v>
      </c>
      <c r="E1212" s="933">
        <v>2</v>
      </c>
      <c r="F1212" s="934">
        <v>4900438</v>
      </c>
    </row>
    <row r="1213" spans="1:6" ht="21" thickBot="1" x14ac:dyDescent="0.25">
      <c r="A1213" s="937" t="s">
        <v>353</v>
      </c>
      <c r="B1213" s="938"/>
      <c r="C1213" s="968">
        <f>SUM(C1209:C1212)</f>
        <v>20</v>
      </c>
      <c r="D1213" s="940">
        <f>SUM(D1209:D1212)</f>
        <v>30330786</v>
      </c>
      <c r="E1213" s="968">
        <f>SUM(E1209:E1212)</f>
        <v>14</v>
      </c>
      <c r="F1213" s="940">
        <f>SUM(F1209:F1212)</f>
        <v>22467878</v>
      </c>
    </row>
    <row r="1214" spans="1:6" ht="21" thickBot="1" x14ac:dyDescent="0.25">
      <c r="A1214" s="990" t="s">
        <v>354</v>
      </c>
      <c r="B1214" s="991"/>
      <c r="C1214" s="939">
        <f>SUM(C1213,C1208,C1202)</f>
        <v>48</v>
      </c>
      <c r="D1214" s="940">
        <f>SUM(D1213,D1208,D1202)</f>
        <v>48281760</v>
      </c>
      <c r="E1214" s="939">
        <f>SUM(E1213,E1208,E1202)</f>
        <v>50</v>
      </c>
      <c r="F1214" s="940">
        <f>SUM(F1213,F1208,F1202)</f>
        <v>49921417</v>
      </c>
    </row>
    <row r="1215" spans="1:6" ht="21" thickBot="1" x14ac:dyDescent="0.25">
      <c r="A1215" s="964" t="s">
        <v>1783</v>
      </c>
      <c r="B1215" s="954"/>
      <c r="C1215" s="933">
        <v>1</v>
      </c>
      <c r="D1215" s="978">
        <v>2972646</v>
      </c>
      <c r="E1215" s="933">
        <v>1</v>
      </c>
      <c r="F1215" s="1080">
        <v>2972646</v>
      </c>
    </row>
    <row r="1216" spans="1:6" ht="21" thickBot="1" x14ac:dyDescent="0.25">
      <c r="A1216" s="950" t="s">
        <v>737</v>
      </c>
      <c r="B1216" s="1299"/>
      <c r="C1216" s="1300">
        <f>SUM(C1215)</f>
        <v>1</v>
      </c>
      <c r="D1216" s="1301">
        <f>SUM(D1215)</f>
        <v>2972646</v>
      </c>
      <c r="E1216" s="1300">
        <f>SUM(E1215)</f>
        <v>1</v>
      </c>
      <c r="F1216" s="1301">
        <f>SUM(F1215)</f>
        <v>2972646</v>
      </c>
    </row>
    <row r="1217" spans="1:6" ht="21" thickBot="1" x14ac:dyDescent="0.25">
      <c r="A1217" s="950" t="s">
        <v>1782</v>
      </c>
      <c r="B1217" s="938"/>
      <c r="C1217" s="939">
        <f>SUM(C1214,C1216)</f>
        <v>49</v>
      </c>
      <c r="D1217" s="982">
        <f>SUM(D1214,D1216)</f>
        <v>51254406</v>
      </c>
      <c r="E1217" s="939">
        <f>SUM(E1214,E1216)</f>
        <v>51</v>
      </c>
      <c r="F1217" s="982">
        <f>SUM(F1214,F1216)</f>
        <v>52894063</v>
      </c>
    </row>
    <row r="1218" spans="1:6" x14ac:dyDescent="0.2">
      <c r="A1218" s="924"/>
      <c r="B1218" s="983"/>
      <c r="C1218" s="984"/>
      <c r="D1218" s="985"/>
      <c r="E1218" s="984"/>
      <c r="F1218" s="985"/>
    </row>
    <row r="1219" spans="1:6" x14ac:dyDescent="0.2">
      <c r="A1219" s="3545" t="s">
        <v>183</v>
      </c>
      <c r="B1219" s="3545"/>
      <c r="C1219" s="3545"/>
      <c r="D1219" s="3545"/>
      <c r="E1219" s="3545"/>
      <c r="F1219" s="3545"/>
    </row>
    <row r="1220" spans="1:6" ht="21" thickBot="1" x14ac:dyDescent="0.25">
      <c r="A1220" s="3546" t="s">
        <v>387</v>
      </c>
      <c r="B1220" s="3546"/>
      <c r="C1220" s="3546"/>
      <c r="D1220" s="3546"/>
      <c r="E1220" s="3546"/>
      <c r="F1220" s="3546"/>
    </row>
    <row r="1221" spans="1:6" s="988" customFormat="1" ht="41.25" thickBot="1" x14ac:dyDescent="0.25">
      <c r="A1221" s="920" t="s">
        <v>185</v>
      </c>
      <c r="B1221" s="921" t="s">
        <v>186</v>
      </c>
      <c r="C1221" s="922" t="s">
        <v>564</v>
      </c>
      <c r="D1221" s="923" t="s">
        <v>1128</v>
      </c>
      <c r="E1221" s="922" t="s">
        <v>1129</v>
      </c>
      <c r="F1221" s="923" t="s">
        <v>3096</v>
      </c>
    </row>
    <row r="1222" spans="1:6" x14ac:dyDescent="0.2">
      <c r="A1222" s="931"/>
      <c r="B1222" s="954">
        <v>1</v>
      </c>
      <c r="C1222" s="933">
        <v>0</v>
      </c>
      <c r="D1222" s="978" t="s">
        <v>130</v>
      </c>
      <c r="E1222" s="933">
        <v>0</v>
      </c>
      <c r="F1222" s="934" t="s">
        <v>130</v>
      </c>
    </row>
    <row r="1223" spans="1:6" x14ac:dyDescent="0.2">
      <c r="A1223" s="931"/>
      <c r="B1223" s="954">
        <v>2</v>
      </c>
      <c r="C1223" s="933">
        <v>1</v>
      </c>
      <c r="D1223" s="978" t="s">
        <v>130</v>
      </c>
      <c r="E1223" s="933">
        <v>0</v>
      </c>
      <c r="F1223" s="934" t="s">
        <v>130</v>
      </c>
    </row>
    <row r="1224" spans="1:6" x14ac:dyDescent="0.2">
      <c r="A1224" s="931"/>
      <c r="B1224" s="954">
        <v>3</v>
      </c>
      <c r="C1224" s="933">
        <v>1</v>
      </c>
      <c r="D1224" s="978" t="s">
        <v>130</v>
      </c>
      <c r="E1224" s="933">
        <v>0</v>
      </c>
      <c r="F1224" s="934" t="s">
        <v>130</v>
      </c>
    </row>
    <row r="1225" spans="1:6" x14ac:dyDescent="0.2">
      <c r="A1225" s="931"/>
      <c r="B1225" s="954">
        <v>4</v>
      </c>
      <c r="C1225" s="933">
        <v>1</v>
      </c>
      <c r="D1225" s="978" t="s">
        <v>130</v>
      </c>
      <c r="E1225" s="933">
        <v>0</v>
      </c>
      <c r="F1225" s="934" t="s">
        <v>130</v>
      </c>
    </row>
    <row r="1226" spans="1:6" x14ac:dyDescent="0.2">
      <c r="A1226" s="931"/>
      <c r="B1226" s="954">
        <v>5</v>
      </c>
      <c r="C1226" s="933">
        <v>0</v>
      </c>
      <c r="D1226" s="978" t="s">
        <v>130</v>
      </c>
      <c r="E1226" s="933">
        <v>0</v>
      </c>
      <c r="F1226" s="934" t="s">
        <v>130</v>
      </c>
    </row>
    <row r="1227" spans="1:6" ht="21" thickBot="1" x14ac:dyDescent="0.25">
      <c r="A1227" s="931"/>
      <c r="B1227" s="954">
        <v>6</v>
      </c>
      <c r="C1227" s="933">
        <v>0</v>
      </c>
      <c r="D1227" s="978" t="s">
        <v>130</v>
      </c>
      <c r="E1227" s="933">
        <v>0</v>
      </c>
      <c r="F1227" s="934" t="s">
        <v>130</v>
      </c>
    </row>
    <row r="1228" spans="1:6" ht="21" thickBot="1" x14ac:dyDescent="0.25">
      <c r="A1228" s="937" t="s">
        <v>187</v>
      </c>
      <c r="B1228" s="938"/>
      <c r="C1228" s="968">
        <f>SUM(C1224:C1227)</f>
        <v>2</v>
      </c>
      <c r="D1228" s="1032" t="s">
        <v>130</v>
      </c>
      <c r="E1228" s="968">
        <f>SUM(E1224:E1227)</f>
        <v>0</v>
      </c>
      <c r="F1228" s="940" t="s">
        <v>130</v>
      </c>
    </row>
    <row r="1229" spans="1:6" x14ac:dyDescent="0.2">
      <c r="A1229" s="931"/>
      <c r="B1229" s="954">
        <v>7</v>
      </c>
      <c r="C1229" s="933">
        <v>0</v>
      </c>
      <c r="D1229" s="978" t="s">
        <v>130</v>
      </c>
      <c r="E1229" s="933">
        <v>0</v>
      </c>
      <c r="F1229" s="934" t="s">
        <v>130</v>
      </c>
    </row>
    <row r="1230" spans="1:6" x14ac:dyDescent="0.2">
      <c r="A1230" s="931"/>
      <c r="B1230" s="954">
        <v>8</v>
      </c>
      <c r="C1230" s="933">
        <v>0</v>
      </c>
      <c r="D1230" s="978" t="s">
        <v>130</v>
      </c>
      <c r="E1230" s="933">
        <v>0</v>
      </c>
      <c r="F1230" s="934" t="s">
        <v>130</v>
      </c>
    </row>
    <row r="1231" spans="1:6" x14ac:dyDescent="0.2">
      <c r="A1231" s="931"/>
      <c r="B1231" s="954">
        <v>9</v>
      </c>
      <c r="C1231" s="933">
        <v>1</v>
      </c>
      <c r="D1231" s="978" t="s">
        <v>130</v>
      </c>
      <c r="E1231" s="933">
        <v>0</v>
      </c>
      <c r="F1231" s="934" t="s">
        <v>130</v>
      </c>
    </row>
    <row r="1232" spans="1:6" x14ac:dyDescent="0.2">
      <c r="A1232" s="931"/>
      <c r="B1232" s="954">
        <v>10</v>
      </c>
      <c r="C1232" s="933">
        <v>1</v>
      </c>
      <c r="D1232" s="978" t="s">
        <v>130</v>
      </c>
      <c r="E1232" s="933">
        <v>0</v>
      </c>
      <c r="F1232" s="934" t="s">
        <v>130</v>
      </c>
    </row>
    <row r="1233" spans="1:6" ht="21" thickBot="1" x14ac:dyDescent="0.25">
      <c r="A1233" s="931"/>
      <c r="B1233" s="954">
        <v>12</v>
      </c>
      <c r="C1233" s="933">
        <v>1</v>
      </c>
      <c r="D1233" s="978" t="s">
        <v>130</v>
      </c>
      <c r="E1233" s="933">
        <v>0</v>
      </c>
      <c r="F1233" s="934" t="s">
        <v>130</v>
      </c>
    </row>
    <row r="1234" spans="1:6" ht="21" thickBot="1" x14ac:dyDescent="0.25">
      <c r="A1234" s="937" t="s">
        <v>188</v>
      </c>
      <c r="B1234" s="938"/>
      <c r="C1234" s="968">
        <f>SUM(C1229:C1233)</f>
        <v>3</v>
      </c>
      <c r="D1234" s="1032" t="s">
        <v>130</v>
      </c>
      <c r="E1234" s="968">
        <f>SUM(E1229:E1233)</f>
        <v>0</v>
      </c>
      <c r="F1234" s="940" t="s">
        <v>130</v>
      </c>
    </row>
    <row r="1235" spans="1:6" x14ac:dyDescent="0.2">
      <c r="A1235" s="931"/>
      <c r="B1235" s="954">
        <v>13</v>
      </c>
      <c r="C1235" s="933">
        <v>1</v>
      </c>
      <c r="D1235" s="978" t="s">
        <v>130</v>
      </c>
      <c r="E1235" s="933">
        <v>0</v>
      </c>
      <c r="F1235" s="934" t="s">
        <v>130</v>
      </c>
    </row>
    <row r="1236" spans="1:6" x14ac:dyDescent="0.2">
      <c r="A1236" s="931"/>
      <c r="B1236" s="954">
        <v>14</v>
      </c>
      <c r="C1236" s="933">
        <v>1</v>
      </c>
      <c r="D1236" s="978" t="s">
        <v>130</v>
      </c>
      <c r="E1236" s="933">
        <v>0</v>
      </c>
      <c r="F1236" s="934" t="s">
        <v>130</v>
      </c>
    </row>
    <row r="1237" spans="1:6" x14ac:dyDescent="0.2">
      <c r="A1237" s="931"/>
      <c r="B1237" s="954">
        <v>15</v>
      </c>
      <c r="C1237" s="933">
        <v>0</v>
      </c>
      <c r="D1237" s="978" t="s">
        <v>130</v>
      </c>
      <c r="E1237" s="933">
        <v>0</v>
      </c>
      <c r="F1237" s="934" t="s">
        <v>130</v>
      </c>
    </row>
    <row r="1238" spans="1:6" ht="21" thickBot="1" x14ac:dyDescent="0.25">
      <c r="A1238" s="931"/>
      <c r="B1238" s="954">
        <v>16</v>
      </c>
      <c r="C1238" s="933">
        <v>0</v>
      </c>
      <c r="D1238" s="978" t="s">
        <v>130</v>
      </c>
      <c r="E1238" s="933">
        <v>0</v>
      </c>
      <c r="F1238" s="934" t="s">
        <v>130</v>
      </c>
    </row>
    <row r="1239" spans="1:6" ht="21" thickBot="1" x14ac:dyDescent="0.25">
      <c r="A1239" s="937" t="s">
        <v>189</v>
      </c>
      <c r="B1239" s="938"/>
      <c r="C1239" s="939">
        <f>SUM(C1235:C1238)</f>
        <v>2</v>
      </c>
      <c r="D1239" s="1032">
        <f>SUM(D1235:D1238)</f>
        <v>0</v>
      </c>
      <c r="E1239" s="939">
        <f>SUM(E1235:E1238)</f>
        <v>0</v>
      </c>
      <c r="F1239" s="940">
        <f>SUM(F1235:F1238)</f>
        <v>0</v>
      </c>
    </row>
    <row r="1240" spans="1:6" ht="21" thickBot="1" x14ac:dyDescent="0.25">
      <c r="A1240" s="937" t="s">
        <v>190</v>
      </c>
      <c r="B1240" s="938"/>
      <c r="C1240" s="992">
        <f>SUM(C1239,C1234,C1228)</f>
        <v>7</v>
      </c>
      <c r="D1240" s="1107">
        <f>SUM(D1239,D1234,D1228)</f>
        <v>0</v>
      </c>
      <c r="E1240" s="992">
        <f>SUM(E1239,E1234,E1228)</f>
        <v>0</v>
      </c>
      <c r="F1240" s="969">
        <f>SUM(F1239,F1234,F1228)</f>
        <v>0</v>
      </c>
    </row>
    <row r="1241" spans="1:6" x14ac:dyDescent="0.2">
      <c r="A1241" s="964" t="s">
        <v>200</v>
      </c>
      <c r="B1241" s="954" t="s">
        <v>179</v>
      </c>
      <c r="C1241" s="933"/>
      <c r="D1241" s="934">
        <v>1250110</v>
      </c>
      <c r="E1241" s="933"/>
      <c r="F1241" s="934">
        <v>1250110</v>
      </c>
    </row>
    <row r="1242" spans="1:6" ht="21" thickBot="1" x14ac:dyDescent="0.25">
      <c r="A1242" s="964" t="s">
        <v>527</v>
      </c>
      <c r="B1242" s="954"/>
      <c r="C1242" s="933"/>
      <c r="D1242" s="934">
        <v>4479705</v>
      </c>
      <c r="E1242" s="933"/>
      <c r="F1242" s="934">
        <v>4479705</v>
      </c>
    </row>
    <row r="1243" spans="1:6" ht="21" thickBot="1" x14ac:dyDescent="0.25">
      <c r="A1243" s="950" t="s">
        <v>117</v>
      </c>
      <c r="B1243" s="1167"/>
      <c r="C1243" s="1078">
        <v>1</v>
      </c>
      <c r="D1243" s="1032">
        <f>SUM(D1241:D1242)</f>
        <v>5729815</v>
      </c>
      <c r="E1243" s="1078">
        <v>1</v>
      </c>
      <c r="F1243" s="940">
        <f>SUM(F1241:F1242)</f>
        <v>5729815</v>
      </c>
    </row>
    <row r="1244" spans="1:6" ht="21" thickBot="1" x14ac:dyDescent="0.25">
      <c r="A1244" s="950" t="s">
        <v>2686</v>
      </c>
      <c r="B1244" s="938"/>
      <c r="C1244" s="939">
        <v>1</v>
      </c>
      <c r="D1244" s="940">
        <f>SUM(D1240,D1243)</f>
        <v>5729815</v>
      </c>
      <c r="E1244" s="939">
        <v>1</v>
      </c>
      <c r="F1244" s="940">
        <f>SUM(F1240,F1243)</f>
        <v>5729815</v>
      </c>
    </row>
    <row r="1245" spans="1:6" x14ac:dyDescent="0.2">
      <c r="A1245" s="3545"/>
      <c r="B1245" s="3545"/>
      <c r="C1245" s="3545"/>
      <c r="D1245" s="3545"/>
      <c r="E1245" s="3545"/>
      <c r="F1245" s="3545"/>
    </row>
    <row r="1246" spans="1:6" x14ac:dyDescent="0.2">
      <c r="A1246" s="3545" t="s">
        <v>183</v>
      </c>
      <c r="B1246" s="3545"/>
      <c r="C1246" s="3545"/>
      <c r="D1246" s="3545"/>
      <c r="E1246" s="3545"/>
      <c r="F1246" s="3545"/>
    </row>
    <row r="1247" spans="1:6" ht="21" thickBot="1" x14ac:dyDescent="0.25">
      <c r="A1247" s="3546" t="s">
        <v>769</v>
      </c>
      <c r="B1247" s="3546"/>
      <c r="C1247" s="3546"/>
      <c r="D1247" s="3546"/>
      <c r="E1247" s="3546"/>
      <c r="F1247" s="3546"/>
    </row>
    <row r="1248" spans="1:6" s="988" customFormat="1" ht="41.25" thickBot="1" x14ac:dyDescent="0.25">
      <c r="A1248" s="920" t="s">
        <v>185</v>
      </c>
      <c r="B1248" s="921" t="s">
        <v>186</v>
      </c>
      <c r="C1248" s="922" t="s">
        <v>564</v>
      </c>
      <c r="D1248" s="923" t="s">
        <v>1128</v>
      </c>
      <c r="E1248" s="922" t="s">
        <v>1129</v>
      </c>
      <c r="F1248" s="923" t="s">
        <v>3096</v>
      </c>
    </row>
    <row r="1249" spans="1:6" x14ac:dyDescent="0.2">
      <c r="A1249" s="925"/>
      <c r="B1249" s="954">
        <v>1</v>
      </c>
      <c r="C1249" s="927" t="s">
        <v>179</v>
      </c>
      <c r="D1249" s="978" t="s">
        <v>130</v>
      </c>
      <c r="E1249" s="927" t="s">
        <v>179</v>
      </c>
      <c r="F1249" s="934" t="s">
        <v>130</v>
      </c>
    </row>
    <row r="1250" spans="1:6" x14ac:dyDescent="0.2">
      <c r="A1250" s="931"/>
      <c r="B1250" s="954">
        <v>2</v>
      </c>
      <c r="C1250" s="933"/>
      <c r="D1250" s="978" t="s">
        <v>130</v>
      </c>
      <c r="E1250" s="933"/>
      <c r="F1250" s="934" t="s">
        <v>130</v>
      </c>
    </row>
    <row r="1251" spans="1:6" x14ac:dyDescent="0.2">
      <c r="A1251" s="931"/>
      <c r="B1251" s="954">
        <v>3</v>
      </c>
      <c r="C1251" s="933"/>
      <c r="D1251" s="978" t="s">
        <v>130</v>
      </c>
      <c r="E1251" s="933">
        <v>0</v>
      </c>
      <c r="F1251" s="934" t="s">
        <v>130</v>
      </c>
    </row>
    <row r="1252" spans="1:6" x14ac:dyDescent="0.2">
      <c r="A1252" s="931"/>
      <c r="B1252" s="954">
        <v>4</v>
      </c>
      <c r="C1252" s="933"/>
      <c r="D1252" s="978" t="s">
        <v>130</v>
      </c>
      <c r="E1252" s="933">
        <v>0</v>
      </c>
      <c r="F1252" s="934" t="s">
        <v>130</v>
      </c>
    </row>
    <row r="1253" spans="1:6" x14ac:dyDescent="0.2">
      <c r="A1253" s="931"/>
      <c r="B1253" s="954">
        <v>5</v>
      </c>
      <c r="C1253" s="933"/>
      <c r="D1253" s="978" t="s">
        <v>130</v>
      </c>
      <c r="E1253" s="933">
        <v>0</v>
      </c>
      <c r="F1253" s="934" t="s">
        <v>130</v>
      </c>
    </row>
    <row r="1254" spans="1:6" ht="21" thickBot="1" x14ac:dyDescent="0.25">
      <c r="A1254" s="931"/>
      <c r="B1254" s="954">
        <v>6</v>
      </c>
      <c r="C1254" s="933"/>
      <c r="D1254" s="978" t="s">
        <v>130</v>
      </c>
      <c r="E1254" s="933">
        <v>0</v>
      </c>
      <c r="F1254" s="934" t="s">
        <v>130</v>
      </c>
    </row>
    <row r="1255" spans="1:6" ht="21" thickBot="1" x14ac:dyDescent="0.25">
      <c r="A1255" s="937" t="s">
        <v>187</v>
      </c>
      <c r="B1255" s="938"/>
      <c r="C1255" s="968"/>
      <c r="D1255" s="940">
        <f>SUM(D1249:D1254)</f>
        <v>0</v>
      </c>
      <c r="E1255" s="968">
        <f>SUM(E1249:E1254)</f>
        <v>0</v>
      </c>
      <c r="F1255" s="940">
        <f>SUM(F1249:F1254)</f>
        <v>0</v>
      </c>
    </row>
    <row r="1256" spans="1:6" x14ac:dyDescent="0.2">
      <c r="A1256" s="931"/>
      <c r="B1256" s="954">
        <v>7</v>
      </c>
      <c r="C1256" s="933"/>
      <c r="D1256" s="978" t="s">
        <v>130</v>
      </c>
      <c r="E1256" s="933">
        <v>0</v>
      </c>
      <c r="F1256" s="934" t="s">
        <v>130</v>
      </c>
    </row>
    <row r="1257" spans="1:6" x14ac:dyDescent="0.2">
      <c r="A1257" s="931"/>
      <c r="B1257" s="954">
        <v>8</v>
      </c>
      <c r="C1257" s="933"/>
      <c r="D1257" s="978" t="s">
        <v>130</v>
      </c>
      <c r="E1257" s="933">
        <v>0</v>
      </c>
      <c r="F1257" s="934" t="s">
        <v>130</v>
      </c>
    </row>
    <row r="1258" spans="1:6" x14ac:dyDescent="0.2">
      <c r="A1258" s="931"/>
      <c r="B1258" s="954">
        <v>9</v>
      </c>
      <c r="C1258" s="933"/>
      <c r="D1258" s="978" t="s">
        <v>130</v>
      </c>
      <c r="E1258" s="933">
        <v>0</v>
      </c>
      <c r="F1258" s="934" t="s">
        <v>130</v>
      </c>
    </row>
    <row r="1259" spans="1:6" x14ac:dyDescent="0.2">
      <c r="A1259" s="931"/>
      <c r="B1259" s="954">
        <v>10</v>
      </c>
      <c r="C1259" s="933"/>
      <c r="D1259" s="978" t="s">
        <v>130</v>
      </c>
      <c r="E1259" s="933">
        <v>0</v>
      </c>
      <c r="F1259" s="934" t="s">
        <v>130</v>
      </c>
    </row>
    <row r="1260" spans="1:6" ht="21" thickBot="1" x14ac:dyDescent="0.25">
      <c r="A1260" s="931"/>
      <c r="B1260" s="954">
        <v>12</v>
      </c>
      <c r="C1260" s="933"/>
      <c r="D1260" s="978" t="s">
        <v>130</v>
      </c>
      <c r="E1260" s="933">
        <v>0</v>
      </c>
      <c r="F1260" s="934" t="s">
        <v>130</v>
      </c>
    </row>
    <row r="1261" spans="1:6" ht="21" thickBot="1" x14ac:dyDescent="0.25">
      <c r="A1261" s="937" t="s">
        <v>188</v>
      </c>
      <c r="B1261" s="938"/>
      <c r="C1261" s="968"/>
      <c r="D1261" s="940">
        <f>SUM(D1256:D1260)</f>
        <v>0</v>
      </c>
      <c r="E1261" s="968">
        <f>SUM(E1256:E1260)</f>
        <v>0</v>
      </c>
      <c r="F1261" s="940">
        <f>SUM(F1256:F1260)</f>
        <v>0</v>
      </c>
    </row>
    <row r="1262" spans="1:6" x14ac:dyDescent="0.2">
      <c r="A1262" s="931"/>
      <c r="B1262" s="954">
        <v>13</v>
      </c>
      <c r="C1262" s="933"/>
      <c r="D1262" s="978" t="s">
        <v>130</v>
      </c>
      <c r="E1262" s="933">
        <v>0</v>
      </c>
      <c r="F1262" s="934" t="s">
        <v>130</v>
      </c>
    </row>
    <row r="1263" spans="1:6" x14ac:dyDescent="0.2">
      <c r="A1263" s="931"/>
      <c r="B1263" s="954">
        <v>14</v>
      </c>
      <c r="C1263" s="933"/>
      <c r="D1263" s="978" t="s">
        <v>130</v>
      </c>
      <c r="E1263" s="933">
        <v>0</v>
      </c>
      <c r="F1263" s="934" t="s">
        <v>130</v>
      </c>
    </row>
    <row r="1264" spans="1:6" x14ac:dyDescent="0.2">
      <c r="A1264" s="931"/>
      <c r="B1264" s="954">
        <v>15</v>
      </c>
      <c r="C1264" s="933"/>
      <c r="D1264" s="978" t="s">
        <v>130</v>
      </c>
      <c r="E1264" s="933">
        <v>0</v>
      </c>
      <c r="F1264" s="934" t="s">
        <v>130</v>
      </c>
    </row>
    <row r="1265" spans="1:6" ht="21" thickBot="1" x14ac:dyDescent="0.25">
      <c r="A1265" s="931"/>
      <c r="B1265" s="954">
        <v>16</v>
      </c>
      <c r="C1265" s="933"/>
      <c r="D1265" s="978" t="s">
        <v>130</v>
      </c>
      <c r="E1265" s="933">
        <v>0</v>
      </c>
      <c r="F1265" s="934" t="s">
        <v>130</v>
      </c>
    </row>
    <row r="1266" spans="1:6" ht="21" thickBot="1" x14ac:dyDescent="0.25">
      <c r="A1266" s="937" t="s">
        <v>189</v>
      </c>
      <c r="B1266" s="938"/>
      <c r="C1266" s="939"/>
      <c r="D1266" s="1032">
        <f>SUM(D1262:D1265)</f>
        <v>0</v>
      </c>
      <c r="E1266" s="939">
        <f>SUM(E1262:E1265)</f>
        <v>0</v>
      </c>
      <c r="F1266" s="940">
        <f>SUM(F1262:F1265)</f>
        <v>0</v>
      </c>
    </row>
    <row r="1267" spans="1:6" ht="21" thickBot="1" x14ac:dyDescent="0.25">
      <c r="A1267" s="937" t="s">
        <v>190</v>
      </c>
      <c r="B1267" s="938"/>
      <c r="C1267" s="992"/>
      <c r="D1267" s="1107">
        <f>SUM(D1266,D1261,D1255)</f>
        <v>0</v>
      </c>
      <c r="E1267" s="992">
        <f>SUM(E1266,E1261,E1255)</f>
        <v>0</v>
      </c>
      <c r="F1267" s="969">
        <f>SUM(F1266,F1261,F1255)</f>
        <v>0</v>
      </c>
    </row>
    <row r="1268" spans="1:6" x14ac:dyDescent="0.2">
      <c r="A1268" s="1082" t="s">
        <v>200</v>
      </c>
      <c r="B1268" s="926"/>
      <c r="C1268" s="927">
        <v>1</v>
      </c>
      <c r="D1268" s="1302">
        <v>1250110</v>
      </c>
      <c r="E1268" s="927">
        <v>1</v>
      </c>
      <c r="F1268" s="928">
        <v>1250110</v>
      </c>
    </row>
    <row r="1269" spans="1:6" ht="21" thickBot="1" x14ac:dyDescent="0.25">
      <c r="A1269" s="945" t="s">
        <v>527</v>
      </c>
      <c r="C1269" s="933"/>
      <c r="D1269" s="1188">
        <v>4479705</v>
      </c>
      <c r="E1269" s="933"/>
      <c r="F1269" s="934">
        <v>4479705</v>
      </c>
    </row>
    <row r="1270" spans="1:6" s="924" customFormat="1" ht="21" thickBot="1" x14ac:dyDescent="0.25">
      <c r="A1270" s="1176" t="s">
        <v>117</v>
      </c>
      <c r="B1270" s="1037"/>
      <c r="C1270" s="1075">
        <f>SUM(C1268:C1269)</f>
        <v>1</v>
      </c>
      <c r="D1270" s="1076">
        <f>SUM(D1268:D1269)</f>
        <v>5729815</v>
      </c>
      <c r="E1270" s="1075">
        <f>SUM(E1268:E1269)</f>
        <v>1</v>
      </c>
      <c r="F1270" s="1076">
        <f>SUM(F1268:F1269)</f>
        <v>5729815</v>
      </c>
    </row>
    <row r="1271" spans="1:6" ht="21" thickBot="1" x14ac:dyDescent="0.25">
      <c r="A1271" s="950" t="s">
        <v>1138</v>
      </c>
      <c r="B1271" s="938"/>
      <c r="C1271" s="939">
        <f>SUM(C1267,C1270)</f>
        <v>1</v>
      </c>
      <c r="D1271" s="982">
        <f>SUM(D1267,D1270)</f>
        <v>5729815</v>
      </c>
      <c r="E1271" s="939">
        <f>SUM(E1267,E1270)</f>
        <v>1</v>
      </c>
      <c r="F1271" s="982">
        <f>SUM(F1267,F1270)</f>
        <v>5729815</v>
      </c>
    </row>
    <row r="1272" spans="1:6" s="975" customFormat="1" ht="18.75" x14ac:dyDescent="0.2">
      <c r="A1272" s="3556" t="s">
        <v>183</v>
      </c>
      <c r="B1272" s="3556"/>
      <c r="C1272" s="3556"/>
      <c r="D1272" s="3556"/>
      <c r="E1272" s="3556"/>
      <c r="F1272" s="3556"/>
    </row>
    <row r="1273" spans="1:6" s="975" customFormat="1" ht="19.5" thickBot="1" x14ac:dyDescent="0.25">
      <c r="A1273" s="3551" t="s">
        <v>770</v>
      </c>
      <c r="B1273" s="3551"/>
      <c r="C1273" s="3551"/>
      <c r="D1273" s="3551"/>
      <c r="E1273" s="3551"/>
      <c r="F1273" s="3551"/>
    </row>
    <row r="1274" spans="1:6" s="1303" customFormat="1" ht="38.25" thickBot="1" x14ac:dyDescent="0.25">
      <c r="A1274" s="999" t="s">
        <v>185</v>
      </c>
      <c r="B1274" s="1000" t="s">
        <v>186</v>
      </c>
      <c r="C1274" s="1001" t="s">
        <v>564</v>
      </c>
      <c r="D1274" s="1003" t="s">
        <v>1128</v>
      </c>
      <c r="E1274" s="1001" t="s">
        <v>1129</v>
      </c>
      <c r="F1274" s="1003" t="s">
        <v>3096</v>
      </c>
    </row>
    <row r="1275" spans="1:6" s="975" customFormat="1" ht="15" customHeight="1" x14ac:dyDescent="0.2">
      <c r="A1275" s="970"/>
      <c r="B1275" s="971">
        <v>1</v>
      </c>
      <c r="C1275" s="972"/>
      <c r="D1275" s="973"/>
      <c r="E1275" s="972"/>
      <c r="F1275" s="974"/>
    </row>
    <row r="1276" spans="1:6" s="975" customFormat="1" ht="18.75" x14ac:dyDescent="0.2">
      <c r="A1276" s="976"/>
      <c r="B1276" s="971">
        <v>2</v>
      </c>
      <c r="C1276" s="977">
        <v>22</v>
      </c>
      <c r="D1276" s="973">
        <v>3560505</v>
      </c>
      <c r="E1276" s="977"/>
      <c r="F1276" s="974"/>
    </row>
    <row r="1277" spans="1:6" s="975" customFormat="1" ht="18.75" x14ac:dyDescent="0.2">
      <c r="A1277" s="976"/>
      <c r="B1277" s="971">
        <v>3</v>
      </c>
      <c r="C1277" s="977">
        <v>21</v>
      </c>
      <c r="D1277" s="973">
        <v>3378260</v>
      </c>
      <c r="E1277" s="977">
        <v>30</v>
      </c>
      <c r="F1277" s="974">
        <v>7111800</v>
      </c>
    </row>
    <row r="1278" spans="1:6" s="975" customFormat="1" ht="18.75" x14ac:dyDescent="0.2">
      <c r="A1278" s="976"/>
      <c r="B1278" s="971">
        <v>4</v>
      </c>
      <c r="C1278" s="977">
        <v>15</v>
      </c>
      <c r="D1278" s="973">
        <v>2225745</v>
      </c>
      <c r="E1278" s="977"/>
      <c r="F1278" s="974"/>
    </row>
    <row r="1279" spans="1:6" s="975" customFormat="1" ht="18.75" x14ac:dyDescent="0.2">
      <c r="A1279" s="976"/>
      <c r="B1279" s="971">
        <v>5</v>
      </c>
      <c r="C1279" s="977">
        <v>10</v>
      </c>
      <c r="D1279" s="973">
        <v>1578280</v>
      </c>
      <c r="E1279" s="977">
        <v>12</v>
      </c>
      <c r="F1279" s="974">
        <v>1377401</v>
      </c>
    </row>
    <row r="1280" spans="1:6" s="975" customFormat="1" ht="19.5" thickBot="1" x14ac:dyDescent="0.25">
      <c r="A1280" s="976"/>
      <c r="B1280" s="971">
        <v>6</v>
      </c>
      <c r="C1280" s="977">
        <v>22</v>
      </c>
      <c r="D1280" s="973">
        <v>4119795</v>
      </c>
      <c r="E1280" s="977">
        <v>18</v>
      </c>
      <c r="F1280" s="974">
        <v>4452607</v>
      </c>
    </row>
    <row r="1281" spans="1:6" s="975" customFormat="1" ht="19.5" thickBot="1" x14ac:dyDescent="0.25">
      <c r="A1281" s="1304" t="s">
        <v>187</v>
      </c>
      <c r="B1281" s="1305"/>
      <c r="C1281" s="1306">
        <f>SUM(C1275:C1280)</f>
        <v>90</v>
      </c>
      <c r="D1281" s="1307">
        <f>SUM(D1275:D1280)</f>
        <v>14862585</v>
      </c>
      <c r="E1281" s="1306">
        <v>60</v>
      </c>
      <c r="F1281" s="1308">
        <v>12941808</v>
      </c>
    </row>
    <row r="1282" spans="1:6" s="975" customFormat="1" ht="18.75" x14ac:dyDescent="0.2">
      <c r="A1282" s="976"/>
      <c r="B1282" s="971">
        <v>7</v>
      </c>
      <c r="C1282" s="977">
        <v>13</v>
      </c>
      <c r="D1282" s="973">
        <v>4221405</v>
      </c>
      <c r="E1282" s="977"/>
      <c r="F1282" s="974"/>
    </row>
    <row r="1283" spans="1:6" s="975" customFormat="1" ht="18.75" x14ac:dyDescent="0.2">
      <c r="A1283" s="976"/>
      <c r="B1283" s="971">
        <v>8</v>
      </c>
      <c r="C1283" s="977">
        <v>25</v>
      </c>
      <c r="D1283" s="973">
        <v>10284690</v>
      </c>
      <c r="E1283" s="977">
        <v>19</v>
      </c>
      <c r="F1283" s="974">
        <v>11235002</v>
      </c>
    </row>
    <row r="1284" spans="1:6" s="975" customFormat="1" ht="18.75" x14ac:dyDescent="0.2">
      <c r="A1284" s="976"/>
      <c r="B1284" s="971">
        <v>9</v>
      </c>
      <c r="C1284" s="977">
        <v>2</v>
      </c>
      <c r="D1284" s="973">
        <v>1023855</v>
      </c>
      <c r="E1284" s="977">
        <v>3</v>
      </c>
      <c r="F1284" s="974">
        <v>1985784</v>
      </c>
    </row>
    <row r="1285" spans="1:6" s="975" customFormat="1" ht="15" customHeight="1" x14ac:dyDescent="0.2">
      <c r="A1285" s="976"/>
      <c r="B1285" s="971">
        <v>10</v>
      </c>
      <c r="C1285" s="977" t="s">
        <v>179</v>
      </c>
      <c r="D1285" s="973" t="s">
        <v>179</v>
      </c>
      <c r="E1285" s="977"/>
      <c r="F1285" s="974"/>
    </row>
    <row r="1286" spans="1:6" s="975" customFormat="1" ht="19.5" thickBot="1" x14ac:dyDescent="0.25">
      <c r="A1286" s="976"/>
      <c r="B1286" s="971">
        <v>12</v>
      </c>
      <c r="C1286" s="977">
        <v>1</v>
      </c>
      <c r="D1286" s="973">
        <v>900800</v>
      </c>
      <c r="E1286" s="977"/>
      <c r="F1286" s="974"/>
    </row>
    <row r="1287" spans="1:6" s="975" customFormat="1" ht="19.5" thickBot="1" x14ac:dyDescent="0.25">
      <c r="A1287" s="1304" t="s">
        <v>188</v>
      </c>
      <c r="B1287" s="1305"/>
      <c r="C1287" s="1306">
        <f>SUM(C1282:C1286)</f>
        <v>41</v>
      </c>
      <c r="D1287" s="1307">
        <f>SUM(D1282:D1286)</f>
        <v>16430750</v>
      </c>
      <c r="E1287" s="1306">
        <v>22</v>
      </c>
      <c r="F1287" s="1308">
        <v>13220786</v>
      </c>
    </row>
    <row r="1288" spans="1:6" s="975" customFormat="1" ht="18.75" x14ac:dyDescent="0.2">
      <c r="A1288" s="976"/>
      <c r="B1288" s="971">
        <v>13</v>
      </c>
      <c r="C1288" s="977">
        <v>5</v>
      </c>
      <c r="D1288" s="973">
        <v>4010835</v>
      </c>
      <c r="E1288" s="977">
        <v>3</v>
      </c>
      <c r="F1288" s="974">
        <v>3006501</v>
      </c>
    </row>
    <row r="1289" spans="1:6" s="975" customFormat="1" ht="18.75" x14ac:dyDescent="0.2">
      <c r="A1289" s="976"/>
      <c r="B1289" s="971">
        <v>14</v>
      </c>
      <c r="C1289" s="977">
        <v>2</v>
      </c>
      <c r="D1289" s="973">
        <v>1209750</v>
      </c>
      <c r="E1289" s="977">
        <v>4</v>
      </c>
      <c r="F1289" s="974">
        <v>4419500</v>
      </c>
    </row>
    <row r="1290" spans="1:6" s="975" customFormat="1" ht="18.75" x14ac:dyDescent="0.2">
      <c r="A1290" s="976"/>
      <c r="B1290" s="971">
        <v>15</v>
      </c>
      <c r="C1290" s="977">
        <v>3</v>
      </c>
      <c r="D1290" s="973">
        <v>3055135</v>
      </c>
      <c r="E1290" s="977"/>
      <c r="F1290" s="974"/>
    </row>
    <row r="1291" spans="1:6" s="975" customFormat="1" ht="19.5" thickBot="1" x14ac:dyDescent="0.25">
      <c r="A1291" s="976"/>
      <c r="B1291" s="971">
        <v>16</v>
      </c>
      <c r="C1291" s="977">
        <v>1</v>
      </c>
      <c r="D1291" s="973">
        <v>1373100</v>
      </c>
      <c r="E1291" s="977">
        <v>1</v>
      </c>
      <c r="F1291" s="974">
        <v>1874100</v>
      </c>
    </row>
    <row r="1292" spans="1:6" s="975" customFormat="1" ht="19.5" thickBot="1" x14ac:dyDescent="0.25">
      <c r="A1292" s="1304" t="s">
        <v>189</v>
      </c>
      <c r="B1292" s="1305"/>
      <c r="C1292" s="1306">
        <f>SUM(C1288:C1291)</f>
        <v>11</v>
      </c>
      <c r="D1292" s="1307">
        <f>SUM(D1288:D1291)</f>
        <v>9648820</v>
      </c>
      <c r="E1292" s="1306">
        <v>8</v>
      </c>
      <c r="F1292" s="1308">
        <v>9300101</v>
      </c>
    </row>
    <row r="1293" spans="1:6" s="975" customFormat="1" ht="19.5" thickBot="1" x14ac:dyDescent="0.25">
      <c r="A1293" s="1309" t="s">
        <v>190</v>
      </c>
      <c r="B1293" s="1024"/>
      <c r="C1293" s="1310">
        <f>SUM(C1292,C1287,C1281)</f>
        <v>142</v>
      </c>
      <c r="D1293" s="1311">
        <f>SUM(D1292,D1287,D1281)</f>
        <v>40942155</v>
      </c>
      <c r="E1293" s="1310">
        <v>90</v>
      </c>
      <c r="F1293" s="1026">
        <v>35462695</v>
      </c>
    </row>
    <row r="1294" spans="1:6" s="975" customFormat="1" ht="18.75" x14ac:dyDescent="0.2">
      <c r="A1294" s="1108" t="s">
        <v>1139</v>
      </c>
      <c r="B1294" s="971"/>
      <c r="C1294" s="977"/>
      <c r="D1294" s="973">
        <v>246217080</v>
      </c>
      <c r="E1294" s="977"/>
      <c r="F1294" s="974"/>
    </row>
    <row r="1295" spans="1:6" s="975" customFormat="1" ht="18.75" x14ac:dyDescent="0.2">
      <c r="A1295" s="1108" t="s">
        <v>1140</v>
      </c>
      <c r="B1295" s="971"/>
      <c r="C1295" s="977"/>
      <c r="D1295" s="973">
        <v>1256731120</v>
      </c>
      <c r="E1295" s="977"/>
      <c r="F1295" s="974"/>
    </row>
    <row r="1296" spans="1:6" s="975" customFormat="1" ht="19.5" thickBot="1" x14ac:dyDescent="0.25">
      <c r="A1296" s="1108" t="s">
        <v>533</v>
      </c>
      <c r="B1296" s="971"/>
      <c r="C1296" s="977"/>
      <c r="D1296" s="973">
        <v>51612000</v>
      </c>
      <c r="E1296" s="977"/>
      <c r="F1296" s="974">
        <v>51612000</v>
      </c>
    </row>
    <row r="1297" spans="1:6" s="975" customFormat="1" ht="19.5" thickBot="1" x14ac:dyDescent="0.25">
      <c r="A1297" s="1169" t="s">
        <v>117</v>
      </c>
      <c r="B1297" s="1020"/>
      <c r="C1297" s="1312">
        <f>SUM(C1294:C1296)</f>
        <v>0</v>
      </c>
      <c r="D1297" s="1313">
        <f>SUM(D1294:D1296)</f>
        <v>1554560200</v>
      </c>
      <c r="E1297" s="1314">
        <f>SUM(E1294:E1296)</f>
        <v>0</v>
      </c>
      <c r="F1297" s="1308">
        <f>SUM(F1293:F1296)</f>
        <v>87074695</v>
      </c>
    </row>
    <row r="1298" spans="1:6" s="975" customFormat="1" ht="18.75" x14ac:dyDescent="0.2">
      <c r="A1298" s="1108" t="s">
        <v>528</v>
      </c>
      <c r="B1298" s="971"/>
      <c r="C1298" s="977">
        <v>1</v>
      </c>
      <c r="D1298" s="973">
        <v>1337225</v>
      </c>
      <c r="E1298" s="977">
        <v>1</v>
      </c>
      <c r="F1298" s="974">
        <v>1337225</v>
      </c>
    </row>
    <row r="1299" spans="1:6" s="975" customFormat="1" ht="18.75" x14ac:dyDescent="0.2">
      <c r="A1299" s="1108" t="s">
        <v>529</v>
      </c>
      <c r="B1299" s="971"/>
      <c r="C1299" s="977"/>
      <c r="D1299" s="973">
        <v>4479705</v>
      </c>
      <c r="E1299" s="977"/>
      <c r="F1299" s="974">
        <v>4479705</v>
      </c>
    </row>
    <row r="1300" spans="1:6" s="975" customFormat="1" ht="18.75" x14ac:dyDescent="0.2">
      <c r="A1300" s="1108" t="s">
        <v>771</v>
      </c>
      <c r="B1300" s="971"/>
      <c r="C1300" s="977">
        <v>1</v>
      </c>
      <c r="D1300" s="973">
        <v>1247870</v>
      </c>
      <c r="E1300" s="977">
        <v>1</v>
      </c>
      <c r="F1300" s="974">
        <v>1247870</v>
      </c>
    </row>
    <row r="1301" spans="1:6" s="975" customFormat="1" ht="19.5" thickBot="1" x14ac:dyDescent="0.25">
      <c r="A1301" s="1108" t="s">
        <v>530</v>
      </c>
      <c r="B1301" s="971"/>
      <c r="C1301" s="977"/>
      <c r="D1301" s="973">
        <v>4180365</v>
      </c>
      <c r="E1301" s="977"/>
      <c r="F1301" s="974">
        <v>4180365</v>
      </c>
    </row>
    <row r="1302" spans="1:6" s="1004" customFormat="1" ht="19.5" thickBot="1" x14ac:dyDescent="0.25">
      <c r="A1302" s="1169" t="s">
        <v>117</v>
      </c>
      <c r="B1302" s="1305"/>
      <c r="C1302" s="1315">
        <f>SUM(C1298:C1301)</f>
        <v>2</v>
      </c>
      <c r="D1302" s="1307">
        <f>SUM(D1298:D1301)</f>
        <v>11245165</v>
      </c>
      <c r="E1302" s="1315">
        <f>SUM(E1298:E1301)</f>
        <v>2</v>
      </c>
      <c r="F1302" s="1308">
        <f>SUM(F1298:F1301)</f>
        <v>11245165</v>
      </c>
    </row>
    <row r="1303" spans="1:6" s="975" customFormat="1" ht="19.5" thickBot="1" x14ac:dyDescent="0.25">
      <c r="A1303" s="1169" t="s">
        <v>2934</v>
      </c>
      <c r="B1303" s="1305"/>
      <c r="C1303" s="1315">
        <f>SUM(C1293,C1297,C1302)</f>
        <v>144</v>
      </c>
      <c r="D1303" s="1307">
        <f>SUM(D1297,D1302)</f>
        <v>1565805365</v>
      </c>
      <c r="E1303" s="1315">
        <f>SUM(E1293,E1297,E1302)</f>
        <v>92</v>
      </c>
      <c r="F1303" s="1308">
        <f>SUM(F1297,F1302)</f>
        <v>98319860</v>
      </c>
    </row>
    <row r="1304" spans="1:6" s="905" customFormat="1" x14ac:dyDescent="0.3">
      <c r="A1304" s="3543" t="s">
        <v>183</v>
      </c>
      <c r="B1304" s="3543"/>
      <c r="C1304" s="3543"/>
      <c r="D1304" s="3543"/>
      <c r="E1304" s="3543"/>
      <c r="F1304" s="3543"/>
    </row>
    <row r="1305" spans="1:6" s="905" customFormat="1" ht="21" thickBot="1" x14ac:dyDescent="0.35">
      <c r="A1305" s="3544" t="s">
        <v>1621</v>
      </c>
      <c r="B1305" s="3544"/>
      <c r="C1305" s="3544"/>
      <c r="D1305" s="3544"/>
      <c r="E1305" s="3544"/>
      <c r="F1305" s="3544"/>
    </row>
    <row r="1306" spans="1:6" s="905" customFormat="1" ht="41.25" thickBot="1" x14ac:dyDescent="0.35">
      <c r="A1306" s="1048" t="s">
        <v>185</v>
      </c>
      <c r="B1306" s="1049" t="s">
        <v>1666</v>
      </c>
      <c r="C1306" s="1316" t="s">
        <v>1482</v>
      </c>
      <c r="D1306" s="920" t="s">
        <v>1667</v>
      </c>
      <c r="E1306" s="922" t="s">
        <v>564</v>
      </c>
      <c r="F1306" s="923" t="s">
        <v>3096</v>
      </c>
    </row>
    <row r="1307" spans="1:6" s="905" customFormat="1" x14ac:dyDescent="0.3">
      <c r="A1307" s="1052"/>
      <c r="B1307" s="965">
        <v>1</v>
      </c>
      <c r="C1307" s="1109">
        <v>0</v>
      </c>
      <c r="D1307" s="958">
        <v>6542287.0800000001</v>
      </c>
      <c r="E1307" s="1114">
        <v>15</v>
      </c>
      <c r="F1307" s="958">
        <f>0.05*D1307+D1307</f>
        <v>6869401.4340000004</v>
      </c>
    </row>
    <row r="1308" spans="1:6" s="905" customFormat="1" x14ac:dyDescent="0.3">
      <c r="A1308" s="1052"/>
      <c r="B1308" s="965">
        <v>2</v>
      </c>
      <c r="C1308" s="1109">
        <v>0</v>
      </c>
      <c r="D1308" s="958">
        <v>10192445.52</v>
      </c>
      <c r="E1308" s="1114">
        <v>21</v>
      </c>
      <c r="F1308" s="958">
        <f t="shared" ref="F1308:F1324" si="6">0.05*D1308+D1308</f>
        <v>10702067.796</v>
      </c>
    </row>
    <row r="1309" spans="1:6" s="905" customFormat="1" x14ac:dyDescent="0.3">
      <c r="A1309" s="1052"/>
      <c r="B1309" s="965">
        <v>3</v>
      </c>
      <c r="C1309" s="1109">
        <v>0</v>
      </c>
      <c r="D1309" s="958">
        <v>2048080.92</v>
      </c>
      <c r="E1309" s="1114">
        <v>4</v>
      </c>
      <c r="F1309" s="958">
        <f t="shared" si="6"/>
        <v>2150484.966</v>
      </c>
    </row>
    <row r="1310" spans="1:6" s="905" customFormat="1" x14ac:dyDescent="0.3">
      <c r="A1310" s="1052"/>
      <c r="B1310" s="965">
        <v>4</v>
      </c>
      <c r="C1310" s="1109">
        <v>0</v>
      </c>
      <c r="D1310" s="958">
        <v>4127251.08</v>
      </c>
      <c r="E1310" s="1114">
        <v>7</v>
      </c>
      <c r="F1310" s="958">
        <f t="shared" si="6"/>
        <v>4333613.6339999996</v>
      </c>
    </row>
    <row r="1311" spans="1:6" s="905" customFormat="1" x14ac:dyDescent="0.3">
      <c r="A1311" s="1052"/>
      <c r="B1311" s="965">
        <v>5</v>
      </c>
      <c r="C1311" s="1109">
        <v>0</v>
      </c>
      <c r="D1311" s="958">
        <v>1380608.4</v>
      </c>
      <c r="E1311" s="1114">
        <v>2</v>
      </c>
      <c r="F1311" s="958">
        <f t="shared" si="6"/>
        <v>1449638.8199999998</v>
      </c>
    </row>
    <row r="1312" spans="1:6" s="905" customFormat="1" ht="21" thickBot="1" x14ac:dyDescent="0.35">
      <c r="A1312" s="1052"/>
      <c r="B1312" s="965">
        <v>6</v>
      </c>
      <c r="C1312" s="1109">
        <v>0</v>
      </c>
      <c r="D1312" s="958">
        <v>5190197.04</v>
      </c>
      <c r="E1312" s="1114">
        <v>5</v>
      </c>
      <c r="F1312" s="958">
        <f t="shared" si="6"/>
        <v>5449706.892</v>
      </c>
    </row>
    <row r="1313" spans="1:6" s="905" customFormat="1" ht="21" thickBot="1" x14ac:dyDescent="0.35">
      <c r="A1313" s="1056" t="s">
        <v>187</v>
      </c>
      <c r="B1313" s="1057"/>
      <c r="C1313" s="1132">
        <f>SUM(C1307:C1312)</f>
        <v>0</v>
      </c>
      <c r="D1313" s="1116">
        <f>SUM(D1307:D1312)</f>
        <v>29480870.039999999</v>
      </c>
      <c r="E1313" s="1058">
        <f>SUM(E1307:E1312)</f>
        <v>54</v>
      </c>
      <c r="F1313" s="961">
        <f>SUM(F1307:F1312)</f>
        <v>30954913.542000003</v>
      </c>
    </row>
    <row r="1314" spans="1:6" s="905" customFormat="1" x14ac:dyDescent="0.3">
      <c r="A1314" s="1052"/>
      <c r="B1314" s="965">
        <v>7</v>
      </c>
      <c r="C1314" s="1109">
        <v>0</v>
      </c>
      <c r="D1314" s="958">
        <v>29964407.039999999</v>
      </c>
      <c r="E1314" s="1114">
        <v>25</v>
      </c>
      <c r="F1314" s="958">
        <f t="shared" si="6"/>
        <v>31462627.391999997</v>
      </c>
    </row>
    <row r="1315" spans="1:6" s="905" customFormat="1" x14ac:dyDescent="0.3">
      <c r="A1315" s="1052"/>
      <c r="B1315" s="965">
        <v>8</v>
      </c>
      <c r="C1315" s="1109">
        <v>0</v>
      </c>
      <c r="D1315" s="958">
        <v>65842524.600000001</v>
      </c>
      <c r="E1315" s="1114">
        <v>47</v>
      </c>
      <c r="F1315" s="958">
        <f t="shared" si="6"/>
        <v>69134650.829999998</v>
      </c>
    </row>
    <row r="1316" spans="1:6" s="905" customFormat="1" x14ac:dyDescent="0.3">
      <c r="A1316" s="1052"/>
      <c r="B1316" s="965">
        <v>9</v>
      </c>
      <c r="C1316" s="1109">
        <v>0</v>
      </c>
      <c r="D1316" s="958">
        <v>25146995.879999999</v>
      </c>
      <c r="E1316" s="1114">
        <v>15</v>
      </c>
      <c r="F1316" s="958">
        <f t="shared" si="6"/>
        <v>26404345.673999999</v>
      </c>
    </row>
    <row r="1317" spans="1:6" s="905" customFormat="1" x14ac:dyDescent="0.3">
      <c r="A1317" s="1052"/>
      <c r="B1317" s="965">
        <v>10</v>
      </c>
      <c r="C1317" s="1109">
        <v>0</v>
      </c>
      <c r="D1317" s="958">
        <v>0</v>
      </c>
      <c r="E1317" s="1114">
        <v>0</v>
      </c>
      <c r="F1317" s="958">
        <v>0</v>
      </c>
    </row>
    <row r="1318" spans="1:6" s="905" customFormat="1" x14ac:dyDescent="0.3">
      <c r="A1318" s="1052"/>
      <c r="B1318" s="965">
        <v>11</v>
      </c>
      <c r="C1318" s="1109">
        <v>0</v>
      </c>
      <c r="D1318" s="958">
        <v>3935519.52</v>
      </c>
      <c r="E1318" s="1114">
        <v>2</v>
      </c>
      <c r="F1318" s="958">
        <f t="shared" si="6"/>
        <v>4132295.4960000003</v>
      </c>
    </row>
    <row r="1319" spans="1:6" s="905" customFormat="1" ht="21" thickBot="1" x14ac:dyDescent="0.35">
      <c r="A1319" s="1052"/>
      <c r="B1319" s="965">
        <v>12</v>
      </c>
      <c r="C1319" s="1109">
        <v>0</v>
      </c>
      <c r="D1319" s="981">
        <v>5375757.7199999997</v>
      </c>
      <c r="E1319" s="1114">
        <v>2</v>
      </c>
      <c r="F1319" s="958">
        <f t="shared" si="6"/>
        <v>5644545.6059999997</v>
      </c>
    </row>
    <row r="1320" spans="1:6" s="905" customFormat="1" ht="21" thickBot="1" x14ac:dyDescent="0.35">
      <c r="A1320" s="1056" t="s">
        <v>188</v>
      </c>
      <c r="B1320" s="1057"/>
      <c r="C1320" s="1132">
        <f>SUM(C1314:C1319)</f>
        <v>0</v>
      </c>
      <c r="D1320" s="1116">
        <f>SUM(D1314:D1319)</f>
        <v>130265204.75999999</v>
      </c>
      <c r="E1320" s="1058">
        <f>SUM(E1314:E1319)</f>
        <v>91</v>
      </c>
      <c r="F1320" s="961">
        <f>SUM(F1314:F1319)</f>
        <v>136778464.998</v>
      </c>
    </row>
    <row r="1321" spans="1:6" s="905" customFormat="1" x14ac:dyDescent="0.3">
      <c r="A1321" s="1052"/>
      <c r="B1321" s="965">
        <v>13</v>
      </c>
      <c r="C1321" s="1109">
        <v>0</v>
      </c>
      <c r="D1321" s="957">
        <v>2921741.52</v>
      </c>
      <c r="E1321" s="1114">
        <v>1</v>
      </c>
      <c r="F1321" s="958">
        <f t="shared" si="6"/>
        <v>3067828.5959999999</v>
      </c>
    </row>
    <row r="1322" spans="1:6" s="905" customFormat="1" x14ac:dyDescent="0.3">
      <c r="A1322" s="1052"/>
      <c r="B1322" s="965">
        <v>14</v>
      </c>
      <c r="C1322" s="1109">
        <v>0</v>
      </c>
      <c r="D1322" s="958">
        <v>7508305.0800000001</v>
      </c>
      <c r="E1322" s="1114">
        <v>2</v>
      </c>
      <c r="F1322" s="958">
        <f t="shared" si="6"/>
        <v>7883720.3339999998</v>
      </c>
    </row>
    <row r="1323" spans="1:6" s="905" customFormat="1" x14ac:dyDescent="0.3">
      <c r="A1323" s="1317"/>
      <c r="B1323" s="965">
        <v>15</v>
      </c>
      <c r="C1323" s="1109">
        <v>0</v>
      </c>
      <c r="D1323" s="958"/>
      <c r="E1323" s="1114">
        <v>0</v>
      </c>
      <c r="F1323" s="958">
        <f t="shared" si="6"/>
        <v>0</v>
      </c>
    </row>
    <row r="1324" spans="1:6" s="905" customFormat="1" ht="21" thickBot="1" x14ac:dyDescent="0.35">
      <c r="A1324" s="1052"/>
      <c r="B1324" s="965">
        <v>16</v>
      </c>
      <c r="C1324" s="1109">
        <v>0</v>
      </c>
      <c r="D1324" s="958">
        <v>0</v>
      </c>
      <c r="E1324" s="1114">
        <v>0</v>
      </c>
      <c r="F1324" s="958">
        <f t="shared" si="6"/>
        <v>0</v>
      </c>
    </row>
    <row r="1325" spans="1:6" s="905" customFormat="1" ht="21" thickBot="1" x14ac:dyDescent="0.35">
      <c r="A1325" s="1056" t="s">
        <v>189</v>
      </c>
      <c r="B1325" s="1057"/>
      <c r="C1325" s="1132">
        <f>SUM(C1321:C1324)</f>
        <v>0</v>
      </c>
      <c r="D1325" s="1116">
        <f>SUM(D1321:D1324)</f>
        <v>10430046.6</v>
      </c>
      <c r="E1325" s="1058">
        <f>SUM(E1321:E1324)</f>
        <v>3</v>
      </c>
      <c r="F1325" s="961">
        <f>SUM(F1321:F1324)</f>
        <v>10951548.93</v>
      </c>
    </row>
    <row r="1326" spans="1:6" s="905" customFormat="1" ht="21" thickBot="1" x14ac:dyDescent="0.35">
      <c r="A1326" s="1317" t="s">
        <v>190</v>
      </c>
      <c r="B1326" s="1069"/>
      <c r="C1326" s="1318">
        <f>C1325+C1320+C1313</f>
        <v>0</v>
      </c>
      <c r="D1326" s="1319">
        <f>SUM(D1325,D1320,D1313)</f>
        <v>170176121.39999998</v>
      </c>
      <c r="E1326" s="1320">
        <f>SUM(E1325,E1320,E1313)</f>
        <v>148</v>
      </c>
      <c r="F1326" s="1321">
        <f>SUM(F1325,F1320,F1313)</f>
        <v>178684927.47</v>
      </c>
    </row>
    <row r="1327" spans="1:6" s="905" customFormat="1" x14ac:dyDescent="0.3">
      <c r="A1327" s="1152" t="s">
        <v>3144</v>
      </c>
      <c r="B1327" s="1322"/>
      <c r="C1327" s="1323"/>
      <c r="D1327" s="1324">
        <v>5396703.1200000001</v>
      </c>
      <c r="E1327" s="1111">
        <v>1</v>
      </c>
      <c r="F1327" s="930">
        <v>5396703.1200000001</v>
      </c>
    </row>
    <row r="1328" spans="1:6" s="905" customFormat="1" x14ac:dyDescent="0.3">
      <c r="A1328" s="1154" t="s">
        <v>3145</v>
      </c>
      <c r="B1328" s="1325"/>
      <c r="C1328" s="1326"/>
      <c r="D1328" s="1156">
        <v>5396703.1200000001</v>
      </c>
      <c r="E1328" s="1114">
        <v>1</v>
      </c>
      <c r="F1328" s="936">
        <v>5396703.1200000001</v>
      </c>
    </row>
    <row r="1329" spans="1:6" s="905" customFormat="1" x14ac:dyDescent="0.3">
      <c r="A1329" s="1154" t="s">
        <v>3146</v>
      </c>
      <c r="B1329" s="1325"/>
      <c r="C1329" s="1326"/>
      <c r="D1329" s="1156">
        <v>5396703.1200000001</v>
      </c>
      <c r="E1329" s="1114">
        <v>1</v>
      </c>
      <c r="F1329" s="1327">
        <v>5396703.1200000001</v>
      </c>
    </row>
    <row r="1330" spans="1:6" s="905" customFormat="1" x14ac:dyDescent="0.3">
      <c r="A1330" s="1154" t="s">
        <v>1668</v>
      </c>
      <c r="B1330" s="1328"/>
      <c r="C1330" s="966">
        <v>0</v>
      </c>
      <c r="D1330" s="1329">
        <v>1925865</v>
      </c>
      <c r="E1330" s="1114">
        <v>1</v>
      </c>
      <c r="F1330" s="1330">
        <v>1925865</v>
      </c>
    </row>
    <row r="1331" spans="1:6" s="905" customFormat="1" ht="21" thickBot="1" x14ac:dyDescent="0.35">
      <c r="A1331" s="1331" t="s">
        <v>1669</v>
      </c>
      <c r="B1331" s="1332"/>
      <c r="C1331" s="979"/>
      <c r="D1331" s="1333">
        <v>9147859.8000000007</v>
      </c>
      <c r="E1331" s="1175"/>
      <c r="F1331" s="1334">
        <v>9147859.8000000007</v>
      </c>
    </row>
    <row r="1332" spans="1:6" s="905" customFormat="1" ht="21" thickBot="1" x14ac:dyDescent="0.35">
      <c r="A1332" s="1062" t="s">
        <v>2690</v>
      </c>
      <c r="B1332" s="1335"/>
      <c r="C1332" s="979">
        <f>SUM(C1330:C1331)</f>
        <v>0</v>
      </c>
      <c r="D1332" s="1336">
        <f>SUM(D1327:D1331)</f>
        <v>27263834.16</v>
      </c>
      <c r="E1332" s="1122">
        <v>4</v>
      </c>
      <c r="F1332" s="1072">
        <f>SUM(F1327:F1331)</f>
        <v>27263834.16</v>
      </c>
    </row>
    <row r="1333" spans="1:6" s="905" customFormat="1" ht="18.75" customHeight="1" thickBot="1" x14ac:dyDescent="0.35">
      <c r="A1333" s="1337" t="s">
        <v>2691</v>
      </c>
      <c r="B1333" s="1057"/>
      <c r="C1333" s="1124">
        <f>SUM(C1326,C1332)</f>
        <v>0</v>
      </c>
      <c r="D1333" s="1068">
        <f>D1332+D1326</f>
        <v>197439955.55999997</v>
      </c>
      <c r="E1333" s="1144">
        <f>E1332+E1326</f>
        <v>152</v>
      </c>
      <c r="F1333" s="1338">
        <f>F1332+F1326</f>
        <v>205948761.63</v>
      </c>
    </row>
    <row r="1334" spans="1:6" x14ac:dyDescent="0.2">
      <c r="A1334" s="3545"/>
      <c r="B1334" s="3545"/>
      <c r="C1334" s="3545"/>
      <c r="D1334" s="3545"/>
      <c r="E1334" s="3545"/>
      <c r="F1334" s="3545"/>
    </row>
    <row r="1335" spans="1:6" x14ac:dyDescent="0.2">
      <c r="A1335" s="3545" t="s">
        <v>183</v>
      </c>
      <c r="B1335" s="3545"/>
      <c r="C1335" s="3545"/>
      <c r="D1335" s="3545"/>
      <c r="E1335" s="3545"/>
      <c r="F1335" s="3545"/>
    </row>
    <row r="1336" spans="1:6" ht="21" thickBot="1" x14ac:dyDescent="0.25">
      <c r="A1336" s="3546" t="s">
        <v>1225</v>
      </c>
      <c r="B1336" s="3546"/>
      <c r="C1336" s="3546"/>
      <c r="D1336" s="3546"/>
      <c r="E1336" s="3546"/>
      <c r="F1336" s="3546"/>
    </row>
    <row r="1337" spans="1:6" s="988" customFormat="1" ht="41.25" thickBot="1" x14ac:dyDescent="0.25">
      <c r="A1337" s="920" t="s">
        <v>185</v>
      </c>
      <c r="B1337" s="921" t="s">
        <v>186</v>
      </c>
      <c r="C1337" s="922" t="s">
        <v>564</v>
      </c>
      <c r="D1337" s="923" t="s">
        <v>1128</v>
      </c>
      <c r="E1337" s="922" t="s">
        <v>1129</v>
      </c>
      <c r="F1337" s="923" t="s">
        <v>3096</v>
      </c>
    </row>
    <row r="1338" spans="1:6" x14ac:dyDescent="0.2">
      <c r="A1338" s="925"/>
      <c r="B1338" s="932">
        <v>1</v>
      </c>
      <c r="C1338" s="927" t="s">
        <v>179</v>
      </c>
      <c r="E1338" s="927" t="s">
        <v>179</v>
      </c>
      <c r="F1338" s="934"/>
    </row>
    <row r="1339" spans="1:6" x14ac:dyDescent="0.2">
      <c r="A1339" s="931"/>
      <c r="B1339" s="932">
        <v>2</v>
      </c>
      <c r="C1339" s="933"/>
      <c r="E1339" s="933"/>
      <c r="F1339" s="934"/>
    </row>
    <row r="1340" spans="1:6" x14ac:dyDescent="0.2">
      <c r="A1340" s="931"/>
      <c r="B1340" s="932">
        <v>3</v>
      </c>
      <c r="C1340" s="933"/>
      <c r="E1340" s="933"/>
      <c r="F1340" s="934"/>
    </row>
    <row r="1341" spans="1:6" x14ac:dyDescent="0.2">
      <c r="A1341" s="931"/>
      <c r="B1341" s="932">
        <v>4</v>
      </c>
      <c r="C1341" s="933"/>
      <c r="E1341" s="933"/>
      <c r="F1341" s="934"/>
    </row>
    <row r="1342" spans="1:6" x14ac:dyDescent="0.2">
      <c r="A1342" s="931"/>
      <c r="B1342" s="932">
        <v>5</v>
      </c>
      <c r="C1342" s="933"/>
      <c r="E1342" s="933"/>
      <c r="F1342" s="934"/>
    </row>
    <row r="1343" spans="1:6" ht="21" thickBot="1" x14ac:dyDescent="0.25">
      <c r="A1343" s="931"/>
      <c r="B1343" s="932">
        <v>6</v>
      </c>
      <c r="C1343" s="933"/>
      <c r="E1343" s="933"/>
      <c r="F1343" s="934"/>
    </row>
    <row r="1344" spans="1:6" ht="21" thickBot="1" x14ac:dyDescent="0.25">
      <c r="A1344" s="937" t="s">
        <v>187</v>
      </c>
      <c r="B1344" s="938"/>
      <c r="C1344" s="939">
        <f>SUM(C1338:C1343)</f>
        <v>0</v>
      </c>
      <c r="D1344" s="940">
        <f>SUM(D1338:D1343)</f>
        <v>0</v>
      </c>
      <c r="E1344" s="939">
        <f>SUM(E1338:E1343)</f>
        <v>0</v>
      </c>
      <c r="F1344" s="940">
        <f>SUM(F1338:F1343)</f>
        <v>0</v>
      </c>
    </row>
    <row r="1345" spans="1:6" x14ac:dyDescent="0.2">
      <c r="A1345" s="931"/>
      <c r="B1345" s="932">
        <v>7</v>
      </c>
      <c r="C1345" s="933"/>
      <c r="E1345" s="933"/>
      <c r="F1345" s="934"/>
    </row>
    <row r="1346" spans="1:6" x14ac:dyDescent="0.2">
      <c r="A1346" s="931"/>
      <c r="B1346" s="932">
        <v>8</v>
      </c>
      <c r="C1346" s="933"/>
      <c r="E1346" s="933"/>
      <c r="F1346" s="934"/>
    </row>
    <row r="1347" spans="1:6" x14ac:dyDescent="0.2">
      <c r="A1347" s="931"/>
      <c r="B1347" s="932">
        <v>9</v>
      </c>
      <c r="C1347" s="933"/>
      <c r="E1347" s="933"/>
      <c r="F1347" s="934"/>
    </row>
    <row r="1348" spans="1:6" x14ac:dyDescent="0.2">
      <c r="A1348" s="931"/>
      <c r="B1348" s="932">
        <v>10</v>
      </c>
      <c r="C1348" s="933"/>
      <c r="E1348" s="933"/>
      <c r="F1348" s="934"/>
    </row>
    <row r="1349" spans="1:6" ht="21" thickBot="1" x14ac:dyDescent="0.25">
      <c r="A1349" s="931"/>
      <c r="B1349" s="932">
        <v>12</v>
      </c>
      <c r="C1349" s="933"/>
      <c r="E1349" s="933"/>
      <c r="F1349" s="934"/>
    </row>
    <row r="1350" spans="1:6" ht="21" thickBot="1" x14ac:dyDescent="0.25">
      <c r="A1350" s="937" t="s">
        <v>188</v>
      </c>
      <c r="B1350" s="938"/>
      <c r="C1350" s="939">
        <f>SUM(C1345:C1349)</f>
        <v>0</v>
      </c>
      <c r="D1350" s="940">
        <f>SUM(D1345:D1349)</f>
        <v>0</v>
      </c>
      <c r="E1350" s="939">
        <f>SUM(E1345:E1349)</f>
        <v>0</v>
      </c>
      <c r="F1350" s="940">
        <f>SUM(F1345:F1349)</f>
        <v>0</v>
      </c>
    </row>
    <row r="1351" spans="1:6" x14ac:dyDescent="0.2">
      <c r="A1351" s="931"/>
      <c r="B1351" s="932">
        <v>13</v>
      </c>
      <c r="C1351" s="933"/>
      <c r="E1351" s="933"/>
      <c r="F1351" s="934"/>
    </row>
    <row r="1352" spans="1:6" x14ac:dyDescent="0.2">
      <c r="A1352" s="931"/>
      <c r="B1352" s="932">
        <v>14</v>
      </c>
      <c r="C1352" s="933"/>
      <c r="E1352" s="933"/>
      <c r="F1352" s="934"/>
    </row>
    <row r="1353" spans="1:6" x14ac:dyDescent="0.2">
      <c r="A1353" s="931"/>
      <c r="B1353" s="932">
        <v>15</v>
      </c>
      <c r="C1353" s="933"/>
      <c r="E1353" s="933"/>
      <c r="F1353" s="934"/>
    </row>
    <row r="1354" spans="1:6" ht="21" thickBot="1" x14ac:dyDescent="0.25">
      <c r="A1354" s="931"/>
      <c r="B1354" s="932">
        <v>16</v>
      </c>
      <c r="C1354" s="933"/>
      <c r="E1354" s="933"/>
      <c r="F1354" s="934"/>
    </row>
    <row r="1355" spans="1:6" ht="21" thickBot="1" x14ac:dyDescent="0.25">
      <c r="A1355" s="937" t="s">
        <v>189</v>
      </c>
      <c r="B1355" s="938"/>
      <c r="C1355" s="939">
        <f>SUM(C1351:C1354)</f>
        <v>0</v>
      </c>
      <c r="D1355" s="940">
        <f>SUM(D1351:D1354)</f>
        <v>0</v>
      </c>
      <c r="E1355" s="939">
        <f>SUM(E1351:E1354)</f>
        <v>0</v>
      </c>
      <c r="F1355" s="940">
        <f>SUM(F1351:F1354)</f>
        <v>0</v>
      </c>
    </row>
    <row r="1356" spans="1:6" ht="21" thickBot="1" x14ac:dyDescent="0.25">
      <c r="A1356" s="990" t="s">
        <v>190</v>
      </c>
      <c r="B1356" s="991"/>
      <c r="C1356" s="992">
        <f>SUM(C1355,C1350,C1344)</f>
        <v>0</v>
      </c>
      <c r="D1356" s="969">
        <f>SUM(D1355,D1350,D1344)</f>
        <v>0</v>
      </c>
      <c r="E1356" s="992">
        <f>SUM(E1355,E1350,E1344)</f>
        <v>0</v>
      </c>
      <c r="F1356" s="969">
        <f>SUM(F1355,F1350,F1344)</f>
        <v>0</v>
      </c>
    </row>
    <row r="1357" spans="1:6" ht="21" thickBot="1" x14ac:dyDescent="0.25">
      <c r="A1357" s="919" t="s">
        <v>791</v>
      </c>
      <c r="C1357" s="1339"/>
      <c r="D1357" s="1340">
        <v>42870385</v>
      </c>
      <c r="E1357" s="1339"/>
      <c r="F1357" s="1149"/>
    </row>
    <row r="1358" spans="1:6" ht="21" thickBot="1" x14ac:dyDescent="0.25">
      <c r="A1358" s="950" t="s">
        <v>117</v>
      </c>
      <c r="B1358" s="1077"/>
      <c r="C1358" s="1341"/>
      <c r="D1358" s="1342">
        <f>SUM(D1357)</f>
        <v>42870385</v>
      </c>
      <c r="E1358" s="1341"/>
      <c r="F1358" s="1288">
        <f>SUM(F1357)</f>
        <v>0</v>
      </c>
    </row>
    <row r="1359" spans="1:6" x14ac:dyDescent="0.2">
      <c r="A1359" s="919" t="s">
        <v>200</v>
      </c>
      <c r="C1359" s="1339">
        <v>1</v>
      </c>
      <c r="D1359" s="1089">
        <v>1250110</v>
      </c>
      <c r="E1359" s="1339">
        <v>1</v>
      </c>
      <c r="F1359" s="1149">
        <v>1250110</v>
      </c>
    </row>
    <row r="1360" spans="1:6" ht="21" thickBot="1" x14ac:dyDescent="0.25">
      <c r="A1360" s="919" t="s">
        <v>201</v>
      </c>
      <c r="C1360" s="1339"/>
      <c r="D1360" s="1089">
        <v>4479705</v>
      </c>
      <c r="E1360" s="1339"/>
      <c r="F1360" s="1149">
        <v>4479705</v>
      </c>
    </row>
    <row r="1361" spans="1:6" s="924" customFormat="1" ht="21" thickBot="1" x14ac:dyDescent="0.25">
      <c r="A1361" s="950" t="s">
        <v>117</v>
      </c>
      <c r="B1361" s="938"/>
      <c r="C1361" s="968">
        <f>SUM(C1359:C1360)</f>
        <v>1</v>
      </c>
      <c r="D1361" s="940">
        <f>SUM(D1359:D1360)</f>
        <v>5729815</v>
      </c>
      <c r="E1361" s="968">
        <f>SUM(E1359:E1360)</f>
        <v>1</v>
      </c>
      <c r="F1361" s="940">
        <f>SUM(F1359:F1360)</f>
        <v>5729815</v>
      </c>
    </row>
    <row r="1362" spans="1:6" ht="21" thickBot="1" x14ac:dyDescent="0.25">
      <c r="A1362" s="950" t="s">
        <v>730</v>
      </c>
      <c r="B1362" s="938"/>
      <c r="C1362" s="968">
        <f>SUM(C1356,C1361)</f>
        <v>1</v>
      </c>
      <c r="D1362" s="940">
        <f>SUM(D1358,D1361)</f>
        <v>48600200</v>
      </c>
      <c r="E1362" s="968">
        <f>SUM(E1356,E1361)</f>
        <v>1</v>
      </c>
      <c r="F1362" s="940">
        <f>SUM(F1358,F1361)</f>
        <v>5729815</v>
      </c>
    </row>
    <row r="1363" spans="1:6" x14ac:dyDescent="0.2">
      <c r="A1363" s="924"/>
      <c r="B1363" s="983"/>
      <c r="C1363" s="1290"/>
      <c r="D1363" s="985"/>
      <c r="E1363" s="1290"/>
      <c r="F1363" s="985"/>
    </row>
    <row r="1364" spans="1:6" x14ac:dyDescent="0.2">
      <c r="A1364" s="3545" t="s">
        <v>183</v>
      </c>
      <c r="B1364" s="3545"/>
      <c r="C1364" s="3545"/>
      <c r="D1364" s="3545"/>
      <c r="E1364" s="3545"/>
      <c r="F1364" s="3545"/>
    </row>
    <row r="1365" spans="1:6" ht="21" thickBot="1" x14ac:dyDescent="0.25">
      <c r="A1365" s="3546" t="s">
        <v>2931</v>
      </c>
      <c r="B1365" s="3546"/>
      <c r="C1365" s="3546"/>
      <c r="D1365" s="3546"/>
      <c r="E1365" s="3546"/>
      <c r="F1365" s="3546"/>
    </row>
    <row r="1366" spans="1:6" s="988" customFormat="1" ht="41.25" thickBot="1" x14ac:dyDescent="0.25">
      <c r="A1366" s="920" t="s">
        <v>185</v>
      </c>
      <c r="B1366" s="921" t="s">
        <v>186</v>
      </c>
      <c r="C1366" s="922" t="s">
        <v>564</v>
      </c>
      <c r="D1366" s="923" t="s">
        <v>1128</v>
      </c>
      <c r="E1366" s="922" t="s">
        <v>1129</v>
      </c>
      <c r="F1366" s="923" t="s">
        <v>3096</v>
      </c>
    </row>
    <row r="1367" spans="1:6" x14ac:dyDescent="0.3">
      <c r="A1367" s="931"/>
      <c r="B1367" s="954">
        <v>1</v>
      </c>
      <c r="C1367" s="927"/>
      <c r="D1367" s="978"/>
      <c r="E1367" s="929"/>
      <c r="F1367" s="957"/>
    </row>
    <row r="1368" spans="1:6" x14ac:dyDescent="0.3">
      <c r="A1368" s="931"/>
      <c r="B1368" s="954">
        <v>2</v>
      </c>
      <c r="C1368" s="935">
        <v>5</v>
      </c>
      <c r="D1368" s="978">
        <v>1372335</v>
      </c>
      <c r="E1368" s="935">
        <v>5</v>
      </c>
      <c r="F1368" s="958">
        <v>2020500</v>
      </c>
    </row>
    <row r="1369" spans="1:6" x14ac:dyDescent="0.3">
      <c r="A1369" s="931"/>
      <c r="B1369" s="954">
        <v>3</v>
      </c>
      <c r="C1369" s="935"/>
      <c r="D1369" s="978"/>
      <c r="E1369" s="935"/>
      <c r="F1369" s="958"/>
    </row>
    <row r="1370" spans="1:6" x14ac:dyDescent="0.3">
      <c r="A1370" s="931"/>
      <c r="B1370" s="954">
        <v>4</v>
      </c>
      <c r="C1370" s="935">
        <v>2</v>
      </c>
      <c r="D1370" s="978">
        <v>718220</v>
      </c>
      <c r="E1370" s="935">
        <v>2</v>
      </c>
      <c r="F1370" s="958">
        <v>974831</v>
      </c>
    </row>
    <row r="1371" spans="1:6" x14ac:dyDescent="0.3">
      <c r="A1371" s="931"/>
      <c r="B1371" s="954">
        <v>5</v>
      </c>
      <c r="C1371" s="935">
        <v>3</v>
      </c>
      <c r="D1371" s="978">
        <v>1159710</v>
      </c>
      <c r="E1371" s="935">
        <v>3</v>
      </c>
      <c r="F1371" s="958">
        <v>1378188</v>
      </c>
    </row>
    <row r="1372" spans="1:6" ht="21" thickBot="1" x14ac:dyDescent="0.35">
      <c r="A1372" s="931"/>
      <c r="B1372" s="954">
        <v>6</v>
      </c>
      <c r="C1372" s="935">
        <v>2</v>
      </c>
      <c r="D1372" s="978">
        <v>1298700</v>
      </c>
      <c r="E1372" s="935">
        <v>2</v>
      </c>
      <c r="F1372" s="958">
        <v>1165737</v>
      </c>
    </row>
    <row r="1373" spans="1:6" ht="21" thickBot="1" x14ac:dyDescent="0.35">
      <c r="A1373" s="937" t="s">
        <v>351</v>
      </c>
      <c r="B1373" s="938"/>
      <c r="C1373" s="1058">
        <f>SUM(C1367:C1372)</f>
        <v>12</v>
      </c>
      <c r="D1373" s="940">
        <f>SUM(D1367:D1372)</f>
        <v>4548965</v>
      </c>
      <c r="E1373" s="1058">
        <f>SUM(E1367:E1372)</f>
        <v>12</v>
      </c>
      <c r="F1373" s="961">
        <f>SUM(F1367:F1372)</f>
        <v>5539256</v>
      </c>
    </row>
    <row r="1374" spans="1:6" x14ac:dyDescent="0.3">
      <c r="A1374" s="931"/>
      <c r="B1374" s="954">
        <v>7</v>
      </c>
      <c r="C1374" s="935">
        <v>8</v>
      </c>
      <c r="D1374" s="978">
        <v>6832745</v>
      </c>
      <c r="E1374" s="935">
        <v>8</v>
      </c>
      <c r="F1374" s="958">
        <v>4707480</v>
      </c>
    </row>
    <row r="1375" spans="1:6" x14ac:dyDescent="0.3">
      <c r="A1375" s="931"/>
      <c r="B1375" s="954">
        <v>8</v>
      </c>
      <c r="C1375" s="935">
        <v>2</v>
      </c>
      <c r="D1375" s="978">
        <v>1452140</v>
      </c>
      <c r="E1375" s="935">
        <v>2</v>
      </c>
      <c r="F1375" s="958">
        <v>1604460</v>
      </c>
    </row>
    <row r="1376" spans="1:6" x14ac:dyDescent="0.3">
      <c r="A1376" s="931"/>
      <c r="B1376" s="954">
        <v>9</v>
      </c>
      <c r="C1376" s="935">
        <v>6</v>
      </c>
      <c r="D1376" s="978">
        <v>4508100</v>
      </c>
      <c r="E1376" s="935">
        <v>6</v>
      </c>
      <c r="F1376" s="958">
        <v>5924605</v>
      </c>
    </row>
    <row r="1377" spans="1:6" x14ac:dyDescent="0.3">
      <c r="A1377" s="931"/>
      <c r="B1377" s="954">
        <v>10</v>
      </c>
      <c r="C1377" s="935">
        <v>1</v>
      </c>
      <c r="D1377" s="978"/>
      <c r="E1377" s="935">
        <v>1</v>
      </c>
      <c r="F1377" s="958">
        <v>1258555</v>
      </c>
    </row>
    <row r="1378" spans="1:6" ht="21" thickBot="1" x14ac:dyDescent="0.35">
      <c r="A1378" s="931"/>
      <c r="B1378" s="954">
        <v>12</v>
      </c>
      <c r="C1378" s="935">
        <v>2</v>
      </c>
      <c r="D1378" s="978">
        <v>2391500</v>
      </c>
      <c r="E1378" s="935">
        <v>2</v>
      </c>
      <c r="F1378" s="958">
        <v>2608840</v>
      </c>
    </row>
    <row r="1379" spans="1:6" ht="21" thickBot="1" x14ac:dyDescent="0.35">
      <c r="A1379" s="937" t="s">
        <v>352</v>
      </c>
      <c r="B1379" s="938"/>
      <c r="C1379" s="1058">
        <f>SUM(C1374:C1378)</f>
        <v>19</v>
      </c>
      <c r="D1379" s="940">
        <f>SUM(D1374:D1378)</f>
        <v>15184485</v>
      </c>
      <c r="E1379" s="1058">
        <f>SUM(E1374:E1378)</f>
        <v>19</v>
      </c>
      <c r="F1379" s="961">
        <f>SUM(F1374:F1378)</f>
        <v>16103940</v>
      </c>
    </row>
    <row r="1380" spans="1:6" x14ac:dyDescent="0.3">
      <c r="A1380" s="931"/>
      <c r="B1380" s="954">
        <v>13</v>
      </c>
      <c r="C1380" s="935">
        <v>3</v>
      </c>
      <c r="D1380" s="978">
        <v>5108920</v>
      </c>
      <c r="E1380" s="935">
        <v>3</v>
      </c>
      <c r="F1380" s="958">
        <v>4180695</v>
      </c>
    </row>
    <row r="1381" spans="1:6" x14ac:dyDescent="0.3">
      <c r="A1381" s="931"/>
      <c r="B1381" s="954">
        <v>14</v>
      </c>
      <c r="C1381" s="935">
        <v>7</v>
      </c>
      <c r="D1381" s="978">
        <v>11208040</v>
      </c>
      <c r="E1381" s="935">
        <v>7</v>
      </c>
      <c r="F1381" s="958">
        <v>10993675</v>
      </c>
    </row>
    <row r="1382" spans="1:6" x14ac:dyDescent="0.3">
      <c r="A1382" s="931"/>
      <c r="B1382" s="954">
        <v>15</v>
      </c>
      <c r="C1382" s="935">
        <v>2</v>
      </c>
      <c r="D1382" s="978">
        <v>1400860</v>
      </c>
      <c r="E1382" s="935">
        <v>2</v>
      </c>
      <c r="F1382" s="958">
        <v>3992230</v>
      </c>
    </row>
    <row r="1383" spans="1:6" ht="21" thickBot="1" x14ac:dyDescent="0.35">
      <c r="A1383" s="931"/>
      <c r="B1383" s="954">
        <v>16</v>
      </c>
      <c r="C1383" s="935">
        <v>1</v>
      </c>
      <c r="D1383" s="978">
        <v>2306135</v>
      </c>
      <c r="E1383" s="935">
        <v>1</v>
      </c>
      <c r="F1383" s="958">
        <v>2450220</v>
      </c>
    </row>
    <row r="1384" spans="1:6" ht="21" thickBot="1" x14ac:dyDescent="0.35">
      <c r="A1384" s="937" t="s">
        <v>353</v>
      </c>
      <c r="B1384" s="938"/>
      <c r="C1384" s="968">
        <f>SUM(C1380:C1383)</f>
        <v>13</v>
      </c>
      <c r="D1384" s="940">
        <f>SUM(D1380:D1383)</f>
        <v>20023955</v>
      </c>
      <c r="E1384" s="1058">
        <f>SUM(E1380:E1383)</f>
        <v>13</v>
      </c>
      <c r="F1384" s="961">
        <f>SUM(F1380:F1383)</f>
        <v>21616820</v>
      </c>
    </row>
    <row r="1385" spans="1:6" ht="21" thickBot="1" x14ac:dyDescent="0.35">
      <c r="A1385" s="990" t="s">
        <v>354</v>
      </c>
      <c r="B1385" s="991"/>
      <c r="C1385" s="992">
        <f>SUM(C1384,C1379,C1373)</f>
        <v>44</v>
      </c>
      <c r="D1385" s="969">
        <f>SUM(D1384,D1379,D1373)</f>
        <v>39757405</v>
      </c>
      <c r="E1385" s="1064">
        <f>SUM(E1384,E1379,E1373)</f>
        <v>44</v>
      </c>
      <c r="F1385" s="1065">
        <f>SUM(F1384,F1379,F1373)</f>
        <v>43260016</v>
      </c>
    </row>
    <row r="1386" spans="1:6" ht="21" thickBot="1" x14ac:dyDescent="0.35">
      <c r="A1386" s="964" t="s">
        <v>2933</v>
      </c>
      <c r="B1386" s="954"/>
      <c r="C1386" s="933">
        <v>1</v>
      </c>
      <c r="D1386" s="934">
        <v>3112980</v>
      </c>
      <c r="E1386" s="935">
        <v>1</v>
      </c>
      <c r="F1386" s="1343">
        <v>3112930</v>
      </c>
    </row>
    <row r="1387" spans="1:6" s="924" customFormat="1" ht="21" thickBot="1" x14ac:dyDescent="0.35">
      <c r="A1387" s="950" t="s">
        <v>737</v>
      </c>
      <c r="B1387" s="938"/>
      <c r="C1387" s="939">
        <f>SUM(C1386:C1386)</f>
        <v>1</v>
      </c>
      <c r="D1387" s="1032">
        <f>SUM(D1386:D1386)</f>
        <v>3112980</v>
      </c>
      <c r="E1387" s="943">
        <f>SUM(E1386:E1386)</f>
        <v>1</v>
      </c>
      <c r="F1387" s="961">
        <f>SUM(F1386:F1386)</f>
        <v>3112930</v>
      </c>
    </row>
    <row r="1388" spans="1:6" ht="21" thickBot="1" x14ac:dyDescent="0.35">
      <c r="A1388" s="950" t="s">
        <v>2932</v>
      </c>
      <c r="B1388" s="938"/>
      <c r="C1388" s="939">
        <f>SUM(C1385,C1387)</f>
        <v>45</v>
      </c>
      <c r="D1388" s="1032">
        <f>SUM(D1385,D1387)</f>
        <v>42870385</v>
      </c>
      <c r="E1388" s="1144">
        <f>SUM(E1385,E1387)</f>
        <v>45</v>
      </c>
      <c r="F1388" s="1116">
        <f>SUM(F1385,F1387)</f>
        <v>46372946</v>
      </c>
    </row>
    <row r="1389" spans="1:6" x14ac:dyDescent="0.3">
      <c r="A1389" s="924"/>
      <c r="B1389" s="983"/>
      <c r="C1389" s="984"/>
      <c r="D1389" s="985"/>
      <c r="E1389" s="1344"/>
      <c r="F1389" s="904"/>
    </row>
    <row r="1390" spans="1:6" x14ac:dyDescent="0.2">
      <c r="A1390" s="3545" t="s">
        <v>183</v>
      </c>
      <c r="B1390" s="3545"/>
      <c r="C1390" s="3545"/>
      <c r="D1390" s="3545"/>
      <c r="E1390" s="3545"/>
      <c r="F1390" s="3545"/>
    </row>
    <row r="1391" spans="1:6" ht="21" thickBot="1" x14ac:dyDescent="0.25">
      <c r="A1391" s="3546" t="s">
        <v>350</v>
      </c>
      <c r="B1391" s="3546"/>
      <c r="C1391" s="3546"/>
      <c r="D1391" s="3546"/>
      <c r="E1391" s="3546"/>
      <c r="F1391" s="3546"/>
    </row>
    <row r="1392" spans="1:6" s="988" customFormat="1" ht="41.25" thickBot="1" x14ac:dyDescent="0.25">
      <c r="A1392" s="920" t="s">
        <v>185</v>
      </c>
      <c r="B1392" s="921" t="s">
        <v>186</v>
      </c>
      <c r="C1392" s="922" t="s">
        <v>564</v>
      </c>
      <c r="D1392" s="923" t="s">
        <v>1128</v>
      </c>
      <c r="E1392" s="922" t="s">
        <v>1129</v>
      </c>
      <c r="F1392" s="923" t="s">
        <v>3096</v>
      </c>
    </row>
    <row r="1393" spans="1:6" x14ac:dyDescent="0.3">
      <c r="A1393" s="931"/>
      <c r="B1393" s="954">
        <v>1</v>
      </c>
      <c r="C1393" s="927">
        <v>0</v>
      </c>
      <c r="D1393" s="978" t="s">
        <v>130</v>
      </c>
      <c r="E1393" s="929">
        <v>0</v>
      </c>
      <c r="F1393" s="957" t="s">
        <v>130</v>
      </c>
    </row>
    <row r="1394" spans="1:6" x14ac:dyDescent="0.3">
      <c r="A1394" s="931"/>
      <c r="B1394" s="954">
        <v>2</v>
      </c>
      <c r="C1394" s="933">
        <v>0</v>
      </c>
      <c r="D1394" s="978" t="s">
        <v>130</v>
      </c>
      <c r="E1394" s="935">
        <v>0</v>
      </c>
      <c r="F1394" s="958" t="s">
        <v>130</v>
      </c>
    </row>
    <row r="1395" spans="1:6" x14ac:dyDescent="0.3">
      <c r="A1395" s="931"/>
      <c r="B1395" s="954">
        <v>3</v>
      </c>
      <c r="C1395" s="933">
        <v>1</v>
      </c>
      <c r="D1395" s="978">
        <v>293760</v>
      </c>
      <c r="E1395" s="935">
        <v>1</v>
      </c>
      <c r="F1395" s="958">
        <v>293760</v>
      </c>
    </row>
    <row r="1396" spans="1:6" x14ac:dyDescent="0.3">
      <c r="A1396" s="931"/>
      <c r="B1396" s="954">
        <v>4</v>
      </c>
      <c r="C1396" s="933">
        <v>6</v>
      </c>
      <c r="D1396" s="978">
        <v>1865160</v>
      </c>
      <c r="E1396" s="935">
        <v>6</v>
      </c>
      <c r="F1396" s="958">
        <v>2268810</v>
      </c>
    </row>
    <row r="1397" spans="1:6" x14ac:dyDescent="0.3">
      <c r="A1397" s="931"/>
      <c r="B1397" s="954">
        <v>5</v>
      </c>
      <c r="C1397" s="933">
        <v>1</v>
      </c>
      <c r="D1397" s="978">
        <v>337080</v>
      </c>
      <c r="E1397" s="935">
        <v>1</v>
      </c>
      <c r="F1397" s="958">
        <v>337080</v>
      </c>
    </row>
    <row r="1398" spans="1:6" ht="21" thickBot="1" x14ac:dyDescent="0.35">
      <c r="A1398" s="931"/>
      <c r="B1398" s="954">
        <v>6</v>
      </c>
      <c r="C1398" s="933">
        <v>2</v>
      </c>
      <c r="D1398" s="978">
        <v>805260</v>
      </c>
      <c r="E1398" s="935">
        <v>2</v>
      </c>
      <c r="F1398" s="958">
        <v>1045115</v>
      </c>
    </row>
    <row r="1399" spans="1:6" ht="21" thickBot="1" x14ac:dyDescent="0.35">
      <c r="A1399" s="937" t="s">
        <v>351</v>
      </c>
      <c r="B1399" s="938"/>
      <c r="C1399" s="968">
        <f>SUM(C1393:C1398)</f>
        <v>10</v>
      </c>
      <c r="D1399" s="940">
        <f>SUM(D1393:D1398)</f>
        <v>3301260</v>
      </c>
      <c r="E1399" s="1058">
        <f>SUM(E1393:E1398)</f>
        <v>10</v>
      </c>
      <c r="F1399" s="961">
        <f>SUM(F1393:F1398)</f>
        <v>3944765</v>
      </c>
    </row>
    <row r="1400" spans="1:6" x14ac:dyDescent="0.3">
      <c r="A1400" s="931"/>
      <c r="B1400" s="954">
        <v>7</v>
      </c>
      <c r="C1400" s="933">
        <v>2</v>
      </c>
      <c r="D1400" s="978">
        <v>1126260</v>
      </c>
      <c r="E1400" s="935">
        <v>2</v>
      </c>
      <c r="F1400" s="958">
        <v>1229875</v>
      </c>
    </row>
    <row r="1401" spans="1:6" x14ac:dyDescent="0.3">
      <c r="A1401" s="931"/>
      <c r="B1401" s="954">
        <v>8</v>
      </c>
      <c r="C1401" s="933">
        <v>0</v>
      </c>
      <c r="D1401" s="978" t="s">
        <v>130</v>
      </c>
      <c r="E1401" s="935">
        <v>0</v>
      </c>
      <c r="F1401" s="958" t="s">
        <v>130</v>
      </c>
    </row>
    <row r="1402" spans="1:6" x14ac:dyDescent="0.3">
      <c r="A1402" s="931"/>
      <c r="B1402" s="954">
        <v>9</v>
      </c>
      <c r="C1402" s="933">
        <v>3</v>
      </c>
      <c r="D1402" s="978">
        <v>2182320</v>
      </c>
      <c r="E1402" s="935">
        <v>3</v>
      </c>
      <c r="F1402" s="958">
        <v>2182320</v>
      </c>
    </row>
    <row r="1403" spans="1:6" x14ac:dyDescent="0.3">
      <c r="A1403" s="931"/>
      <c r="B1403" s="954">
        <v>10</v>
      </c>
      <c r="C1403" s="933">
        <v>2</v>
      </c>
      <c r="D1403" s="978">
        <v>1708530</v>
      </c>
      <c r="E1403" s="935">
        <v>2</v>
      </c>
      <c r="F1403" s="958">
        <v>1708530</v>
      </c>
    </row>
    <row r="1404" spans="1:6" ht="21" thickBot="1" x14ac:dyDescent="0.35">
      <c r="A1404" s="931"/>
      <c r="B1404" s="954">
        <v>12</v>
      </c>
      <c r="C1404" s="933">
        <v>0</v>
      </c>
      <c r="D1404" s="978" t="s">
        <v>130</v>
      </c>
      <c r="E1404" s="935">
        <v>1</v>
      </c>
      <c r="F1404" s="958">
        <v>1204810</v>
      </c>
    </row>
    <row r="1405" spans="1:6" ht="21" thickBot="1" x14ac:dyDescent="0.35">
      <c r="A1405" s="937" t="s">
        <v>352</v>
      </c>
      <c r="B1405" s="938"/>
      <c r="C1405" s="968">
        <f>SUM(C1400:C1404)</f>
        <v>7</v>
      </c>
      <c r="D1405" s="940">
        <f>SUM(D1400:D1404)</f>
        <v>5017110</v>
      </c>
      <c r="E1405" s="1058">
        <f>SUM(E1400:E1404)</f>
        <v>8</v>
      </c>
      <c r="F1405" s="961">
        <f>SUM(F1400:F1404)</f>
        <v>6325535</v>
      </c>
    </row>
    <row r="1406" spans="1:6" x14ac:dyDescent="0.3">
      <c r="A1406" s="931"/>
      <c r="B1406" s="954">
        <v>13</v>
      </c>
      <c r="C1406" s="933">
        <v>2</v>
      </c>
      <c r="D1406" s="978">
        <v>3068030</v>
      </c>
      <c r="E1406" s="935">
        <v>2</v>
      </c>
      <c r="F1406" s="958">
        <v>3068030</v>
      </c>
    </row>
    <row r="1407" spans="1:6" x14ac:dyDescent="0.3">
      <c r="A1407" s="931"/>
      <c r="B1407" s="954">
        <v>14</v>
      </c>
      <c r="C1407" s="933">
        <v>5</v>
      </c>
      <c r="D1407" s="978">
        <v>7343400</v>
      </c>
      <c r="E1407" s="935">
        <v>5</v>
      </c>
      <c r="F1407" s="958">
        <v>7726210</v>
      </c>
    </row>
    <row r="1408" spans="1:6" x14ac:dyDescent="0.3">
      <c r="A1408" s="931"/>
      <c r="B1408" s="954">
        <v>15</v>
      </c>
      <c r="C1408" s="933">
        <v>1</v>
      </c>
      <c r="D1408" s="978">
        <v>1877880</v>
      </c>
      <c r="E1408" s="935">
        <v>1</v>
      </c>
      <c r="F1408" s="958">
        <v>1877880</v>
      </c>
    </row>
    <row r="1409" spans="1:6" ht="21" thickBot="1" x14ac:dyDescent="0.35">
      <c r="A1409" s="931"/>
      <c r="B1409" s="954">
        <v>16</v>
      </c>
      <c r="C1409" s="933">
        <v>2</v>
      </c>
      <c r="D1409" s="978">
        <v>4612320</v>
      </c>
      <c r="E1409" s="935">
        <v>2</v>
      </c>
      <c r="F1409" s="958">
        <v>4612320</v>
      </c>
    </row>
    <row r="1410" spans="1:6" ht="21" thickBot="1" x14ac:dyDescent="0.35">
      <c r="A1410" s="937" t="s">
        <v>353</v>
      </c>
      <c r="B1410" s="938"/>
      <c r="C1410" s="968">
        <f>SUM(C1406:C1409)</f>
        <v>10</v>
      </c>
      <c r="D1410" s="940">
        <f>SUM(D1406:D1409)</f>
        <v>16901630</v>
      </c>
      <c r="E1410" s="1058">
        <f>SUM(E1406:E1409)</f>
        <v>10</v>
      </c>
      <c r="F1410" s="961">
        <f>SUM(F1406:F1409)</f>
        <v>17284440</v>
      </c>
    </row>
    <row r="1411" spans="1:6" ht="21" thickBot="1" x14ac:dyDescent="0.35">
      <c r="A1411" s="990" t="s">
        <v>354</v>
      </c>
      <c r="B1411" s="991"/>
      <c r="C1411" s="992">
        <f>SUM(C1410,C1405,C1399)</f>
        <v>27</v>
      </c>
      <c r="D1411" s="969">
        <f>SUM(D1410,D1405,D1399)</f>
        <v>25220000</v>
      </c>
      <c r="E1411" s="1064">
        <f>SUM(E1410,E1405,E1399)</f>
        <v>28</v>
      </c>
      <c r="F1411" s="1065">
        <f>SUM(F1410,F1405,F1399)</f>
        <v>27554740</v>
      </c>
    </row>
    <row r="1412" spans="1:6" x14ac:dyDescent="0.3">
      <c r="A1412" s="964" t="s">
        <v>528</v>
      </c>
      <c r="B1412" s="926"/>
      <c r="C1412" s="927">
        <v>1</v>
      </c>
      <c r="D1412" s="978">
        <v>1337225</v>
      </c>
      <c r="E1412" s="929">
        <v>1</v>
      </c>
      <c r="F1412" s="958">
        <v>1337225</v>
      </c>
    </row>
    <row r="1413" spans="1:6" x14ac:dyDescent="0.3">
      <c r="A1413" s="964" t="s">
        <v>772</v>
      </c>
      <c r="B1413" s="954"/>
      <c r="C1413" s="933"/>
      <c r="D1413" s="978">
        <v>4479705</v>
      </c>
      <c r="E1413" s="935"/>
      <c r="F1413" s="958">
        <v>4479705</v>
      </c>
    </row>
    <row r="1414" spans="1:6" x14ac:dyDescent="0.3">
      <c r="A1414" s="964" t="s">
        <v>216</v>
      </c>
      <c r="B1414" s="954"/>
      <c r="C1414" s="933">
        <v>1</v>
      </c>
      <c r="D1414" s="978">
        <v>1247870</v>
      </c>
      <c r="E1414" s="935">
        <v>1</v>
      </c>
      <c r="F1414" s="958">
        <v>1247870</v>
      </c>
    </row>
    <row r="1415" spans="1:6" ht="21" thickBot="1" x14ac:dyDescent="0.35">
      <c r="A1415" s="964" t="s">
        <v>355</v>
      </c>
      <c r="B1415" s="954"/>
      <c r="C1415" s="933"/>
      <c r="D1415" s="978">
        <v>4180365</v>
      </c>
      <c r="E1415" s="1345"/>
      <c r="F1415" s="981">
        <v>4180365</v>
      </c>
    </row>
    <row r="1416" spans="1:6" s="924" customFormat="1" ht="21" thickBot="1" x14ac:dyDescent="0.35">
      <c r="A1416" s="950" t="s">
        <v>737</v>
      </c>
      <c r="B1416" s="938"/>
      <c r="C1416" s="939">
        <f>SUM(C1412:C1415)</f>
        <v>2</v>
      </c>
      <c r="D1416" s="1032">
        <f>SUM(D1412:D1415)</f>
        <v>11245165</v>
      </c>
      <c r="E1416" s="943">
        <f>SUM(E1412:E1415)</f>
        <v>2</v>
      </c>
      <c r="F1416" s="961">
        <f>SUM(F1412:F1415)</f>
        <v>11245165</v>
      </c>
    </row>
    <row r="1417" spans="1:6" ht="21" thickBot="1" x14ac:dyDescent="0.35">
      <c r="A1417" s="950" t="s">
        <v>1141</v>
      </c>
      <c r="B1417" s="938"/>
      <c r="C1417" s="939">
        <f>SUM(C1411,C1416)</f>
        <v>29</v>
      </c>
      <c r="D1417" s="1032">
        <f>SUM(D1411,D1416)</f>
        <v>36465165</v>
      </c>
      <c r="E1417" s="1144">
        <f t="shared" ref="E1417" si="7">SUM(E1411,E1416)</f>
        <v>30</v>
      </c>
      <c r="F1417" s="1338">
        <f>SUM(F1411,F1416)</f>
        <v>38799905</v>
      </c>
    </row>
    <row r="1418" spans="1:6" x14ac:dyDescent="0.2">
      <c r="A1418" s="3545" t="s">
        <v>183</v>
      </c>
      <c r="B1418" s="3545"/>
      <c r="C1418" s="3545"/>
      <c r="D1418" s="3545"/>
      <c r="E1418" s="3545"/>
      <c r="F1418" s="3545"/>
    </row>
    <row r="1419" spans="1:6" ht="21" thickBot="1" x14ac:dyDescent="0.25">
      <c r="A1419" s="3546" t="s">
        <v>356</v>
      </c>
      <c r="B1419" s="3546"/>
      <c r="C1419" s="3546"/>
      <c r="D1419" s="3546"/>
      <c r="E1419" s="3546"/>
      <c r="F1419" s="3546"/>
    </row>
    <row r="1420" spans="1:6" s="988" customFormat="1" ht="41.25" thickBot="1" x14ac:dyDescent="0.25">
      <c r="A1420" s="920" t="s">
        <v>185</v>
      </c>
      <c r="B1420" s="921" t="s">
        <v>186</v>
      </c>
      <c r="C1420" s="922" t="s">
        <v>564</v>
      </c>
      <c r="D1420" s="923" t="s">
        <v>1128</v>
      </c>
      <c r="E1420" s="922" t="s">
        <v>1129</v>
      </c>
      <c r="F1420" s="923" t="s">
        <v>3096</v>
      </c>
    </row>
    <row r="1421" spans="1:6" x14ac:dyDescent="0.3">
      <c r="A1421" s="931"/>
      <c r="B1421" s="954">
        <v>2</v>
      </c>
      <c r="C1421" s="933">
        <v>2</v>
      </c>
      <c r="D1421" s="978">
        <v>0</v>
      </c>
      <c r="E1421" s="1346">
        <v>0</v>
      </c>
      <c r="F1421" s="1347"/>
    </row>
    <row r="1422" spans="1:6" x14ac:dyDescent="0.3">
      <c r="A1422" s="931"/>
      <c r="B1422" s="954">
        <v>3</v>
      </c>
      <c r="C1422" s="933">
        <v>3</v>
      </c>
      <c r="D1422" s="978">
        <v>329225</v>
      </c>
      <c r="E1422" s="1138">
        <v>2</v>
      </c>
      <c r="F1422" s="1348">
        <v>938918.88</v>
      </c>
    </row>
    <row r="1423" spans="1:6" x14ac:dyDescent="0.3">
      <c r="A1423" s="931"/>
      <c r="B1423" s="954">
        <v>4</v>
      </c>
      <c r="C1423" s="933">
        <v>43</v>
      </c>
      <c r="D1423" s="978">
        <v>4617325</v>
      </c>
      <c r="E1423" s="1138">
        <v>14</v>
      </c>
      <c r="F1423" s="1348">
        <v>6968662.5999999996</v>
      </c>
    </row>
    <row r="1424" spans="1:6" x14ac:dyDescent="0.3">
      <c r="A1424" s="931"/>
      <c r="B1424" s="954">
        <v>5</v>
      </c>
      <c r="C1424" s="933">
        <v>13</v>
      </c>
      <c r="D1424" s="978">
        <v>733535</v>
      </c>
      <c r="E1424" s="1138">
        <v>3</v>
      </c>
      <c r="F1424" s="1348">
        <v>1561417.44</v>
      </c>
    </row>
    <row r="1425" spans="1:6" ht="21" thickBot="1" x14ac:dyDescent="0.35">
      <c r="A1425" s="931"/>
      <c r="B1425" s="954">
        <v>6</v>
      </c>
      <c r="C1425" s="933">
        <v>60</v>
      </c>
      <c r="D1425" s="978">
        <v>689120</v>
      </c>
      <c r="E1425" s="1138">
        <v>24</v>
      </c>
      <c r="F1425" s="1349">
        <v>14626894.800000001</v>
      </c>
    </row>
    <row r="1426" spans="1:6" ht="21" thickBot="1" x14ac:dyDescent="0.35">
      <c r="A1426" s="937" t="s">
        <v>351</v>
      </c>
      <c r="B1426" s="938"/>
      <c r="C1426" s="968">
        <f>SUM(C1421:C1425)</f>
        <v>121</v>
      </c>
      <c r="D1426" s="940">
        <f>SUM(D1421:D1425)</f>
        <v>6369205</v>
      </c>
      <c r="E1426" s="1161">
        <f>SUM(E1421:E1425)</f>
        <v>43</v>
      </c>
      <c r="F1426" s="1350">
        <f>SUM(F1421:F1425)</f>
        <v>24095893.719999999</v>
      </c>
    </row>
    <row r="1427" spans="1:6" x14ac:dyDescent="0.3">
      <c r="A1427" s="931"/>
      <c r="B1427" s="954">
        <v>7</v>
      </c>
      <c r="C1427" s="933">
        <v>64</v>
      </c>
      <c r="D1427" s="978">
        <v>13211370</v>
      </c>
      <c r="E1427" s="1138">
        <v>46</v>
      </c>
      <c r="F1427" s="1348">
        <v>35669034.840000004</v>
      </c>
    </row>
    <row r="1428" spans="1:6" x14ac:dyDescent="0.3">
      <c r="A1428" s="931"/>
      <c r="B1428" s="954">
        <v>8</v>
      </c>
      <c r="C1428" s="933">
        <v>14</v>
      </c>
      <c r="D1428" s="978">
        <v>14095525</v>
      </c>
      <c r="E1428" s="1138">
        <v>23</v>
      </c>
      <c r="F1428" s="1348">
        <v>15522810</v>
      </c>
    </row>
    <row r="1429" spans="1:6" x14ac:dyDescent="0.3">
      <c r="A1429" s="931"/>
      <c r="B1429" s="954">
        <v>9</v>
      </c>
      <c r="C1429" s="933">
        <v>15</v>
      </c>
      <c r="D1429" s="978">
        <v>21615860</v>
      </c>
      <c r="E1429" s="1138">
        <v>25</v>
      </c>
      <c r="F1429" s="1348">
        <v>26225206.079999998</v>
      </c>
    </row>
    <row r="1430" spans="1:6" x14ac:dyDescent="0.3">
      <c r="A1430" s="931"/>
      <c r="B1430" s="954">
        <v>10</v>
      </c>
      <c r="C1430" s="933">
        <v>28</v>
      </c>
      <c r="D1430" s="978">
        <v>9716615</v>
      </c>
      <c r="E1430" s="1138">
        <v>14</v>
      </c>
      <c r="F1430" s="1348">
        <v>15015074.76</v>
      </c>
    </row>
    <row r="1431" spans="1:6" ht="21" thickBot="1" x14ac:dyDescent="0.35">
      <c r="A1431" s="931"/>
      <c r="B1431" s="954">
        <v>12</v>
      </c>
      <c r="C1431" s="933">
        <v>22</v>
      </c>
      <c r="D1431" s="978">
        <v>33052120</v>
      </c>
      <c r="E1431" s="1138">
        <v>28</v>
      </c>
      <c r="F1431" s="1348">
        <v>37553260.439999998</v>
      </c>
    </row>
    <row r="1432" spans="1:6" ht="21" thickBot="1" x14ac:dyDescent="0.35">
      <c r="A1432" s="937" t="s">
        <v>352</v>
      </c>
      <c r="B1432" s="1077"/>
      <c r="C1432" s="1351">
        <f>SUM(C1427:C1431)</f>
        <v>143</v>
      </c>
      <c r="D1432" s="1080">
        <f>SUM(D1427:D1431)</f>
        <v>91691490</v>
      </c>
      <c r="E1432" s="1161">
        <f>SUM(E1427:E1431)</f>
        <v>136</v>
      </c>
      <c r="F1432" s="1352">
        <f>SUM(F1427:F1431)</f>
        <v>129985386.12</v>
      </c>
    </row>
    <row r="1433" spans="1:6" x14ac:dyDescent="0.3">
      <c r="A1433" s="931"/>
      <c r="B1433" s="954">
        <v>13</v>
      </c>
      <c r="C1433" s="933">
        <v>15</v>
      </c>
      <c r="D1433" s="978">
        <v>43950590</v>
      </c>
      <c r="E1433" s="1138">
        <v>24</v>
      </c>
      <c r="F1433" s="1348">
        <v>32109495.600000001</v>
      </c>
    </row>
    <row r="1434" spans="1:6" x14ac:dyDescent="0.3">
      <c r="A1434" s="931"/>
      <c r="B1434" s="954">
        <v>14</v>
      </c>
      <c r="C1434" s="933">
        <v>36</v>
      </c>
      <c r="D1434" s="978">
        <v>57744705</v>
      </c>
      <c r="E1434" s="1138">
        <v>37</v>
      </c>
      <c r="F1434" s="1348">
        <v>56336350.32</v>
      </c>
    </row>
    <row r="1435" spans="1:6" x14ac:dyDescent="0.3">
      <c r="A1435" s="931"/>
      <c r="B1435" s="954">
        <v>15</v>
      </c>
      <c r="C1435" s="933">
        <v>5</v>
      </c>
      <c r="D1435" s="978">
        <v>19626555</v>
      </c>
      <c r="E1435" s="1138">
        <v>6</v>
      </c>
      <c r="F1435" s="1348">
        <v>11737035.84</v>
      </c>
    </row>
    <row r="1436" spans="1:6" ht="21" thickBot="1" x14ac:dyDescent="0.35">
      <c r="A1436" s="931"/>
      <c r="B1436" s="954">
        <v>16</v>
      </c>
      <c r="C1436" s="933">
        <v>5</v>
      </c>
      <c r="D1436" s="978">
        <v>28497095</v>
      </c>
      <c r="E1436" s="1138">
        <v>7</v>
      </c>
      <c r="F1436" s="1348">
        <v>21614672.280000001</v>
      </c>
    </row>
    <row r="1437" spans="1:6" ht="21" thickBot="1" x14ac:dyDescent="0.25">
      <c r="A1437" s="937" t="s">
        <v>353</v>
      </c>
      <c r="B1437" s="938"/>
      <c r="C1437" s="968">
        <f>SUM(C1433:C1436)</f>
        <v>61</v>
      </c>
      <c r="D1437" s="940">
        <f>SUM(D1433:D1436)</f>
        <v>149818945</v>
      </c>
      <c r="E1437" s="968">
        <f>SUM(E1433:E1436)</f>
        <v>74</v>
      </c>
      <c r="F1437" s="940">
        <f>SUM(F1433:F1436)</f>
        <v>121797554.04000001</v>
      </c>
    </row>
    <row r="1438" spans="1:6" ht="21" thickBot="1" x14ac:dyDescent="0.25">
      <c r="A1438" s="937" t="s">
        <v>354</v>
      </c>
      <c r="B1438" s="938"/>
      <c r="C1438" s="939">
        <f>SUM(C1437,C1432,C1426)</f>
        <v>325</v>
      </c>
      <c r="D1438" s="940">
        <f>SUM(D1437,D1432,D1426)</f>
        <v>247879640</v>
      </c>
      <c r="E1438" s="939">
        <f>SUM(E1437,E1432,E1426)</f>
        <v>253</v>
      </c>
      <c r="F1438" s="940">
        <f>SUM(F1437,F1432,F1426)</f>
        <v>275878833.88</v>
      </c>
    </row>
    <row r="1439" spans="1:6" x14ac:dyDescent="0.2">
      <c r="A1439" s="964" t="s">
        <v>528</v>
      </c>
      <c r="B1439" s="954"/>
      <c r="C1439" s="933">
        <v>1</v>
      </c>
      <c r="D1439" s="978">
        <v>1337225</v>
      </c>
      <c r="E1439" s="933">
        <v>1</v>
      </c>
      <c r="F1439" s="934">
        <v>1337225</v>
      </c>
    </row>
    <row r="1440" spans="1:6" x14ac:dyDescent="0.2">
      <c r="A1440" s="964" t="s">
        <v>529</v>
      </c>
      <c r="B1440" s="954"/>
      <c r="C1440" s="933"/>
      <c r="D1440" s="978">
        <v>4479705</v>
      </c>
      <c r="E1440" s="933"/>
      <c r="F1440" s="934">
        <v>4479705</v>
      </c>
    </row>
    <row r="1441" spans="1:6" x14ac:dyDescent="0.2">
      <c r="A1441" s="964" t="s">
        <v>216</v>
      </c>
      <c r="B1441" s="954"/>
      <c r="C1441" s="933">
        <v>1</v>
      </c>
      <c r="D1441" s="978">
        <v>1247870</v>
      </c>
      <c r="E1441" s="933">
        <v>1</v>
      </c>
      <c r="F1441" s="934">
        <v>1247870</v>
      </c>
    </row>
    <row r="1442" spans="1:6" ht="21" thickBot="1" x14ac:dyDescent="0.25">
      <c r="A1442" s="964" t="s">
        <v>530</v>
      </c>
      <c r="B1442" s="954"/>
      <c r="C1442" s="933"/>
      <c r="D1442" s="978">
        <v>4180365</v>
      </c>
      <c r="E1442" s="933"/>
      <c r="F1442" s="949">
        <v>4180365</v>
      </c>
    </row>
    <row r="1443" spans="1:6" s="924" customFormat="1" ht="21" thickBot="1" x14ac:dyDescent="0.25">
      <c r="A1443" s="950" t="s">
        <v>737</v>
      </c>
      <c r="B1443" s="938"/>
      <c r="C1443" s="968">
        <f>SUM(C1439:C1442)</f>
        <v>2</v>
      </c>
      <c r="D1443" s="940">
        <f>SUM(D1439:D1442)</f>
        <v>11245165</v>
      </c>
      <c r="E1443" s="968">
        <f>SUM(E1439:E1442)</f>
        <v>2</v>
      </c>
      <c r="F1443" s="940">
        <f>SUM(F1439:F1442)</f>
        <v>11245165</v>
      </c>
    </row>
    <row r="1444" spans="1:6" ht="21" thickBot="1" x14ac:dyDescent="0.25">
      <c r="A1444" s="950" t="s">
        <v>357</v>
      </c>
      <c r="B1444" s="938"/>
      <c r="C1444" s="939">
        <f>SUM(C1438,C1443)</f>
        <v>327</v>
      </c>
      <c r="D1444" s="940">
        <f>SUM(D1438,D1443)</f>
        <v>259124805</v>
      </c>
      <c r="E1444" s="968">
        <f>SUM(E1438,E1443)</f>
        <v>255</v>
      </c>
      <c r="F1444" s="940">
        <f>SUM(F1438,F1443)</f>
        <v>287123998.88</v>
      </c>
    </row>
    <row r="1445" spans="1:6" x14ac:dyDescent="0.2">
      <c r="B1445" s="3555"/>
      <c r="C1445" s="3555"/>
      <c r="D1445" s="3555"/>
      <c r="E1445" s="3555"/>
      <c r="F1445" s="3555"/>
    </row>
    <row r="1446" spans="1:6" x14ac:dyDescent="0.2">
      <c r="A1446" s="3545" t="s">
        <v>183</v>
      </c>
      <c r="B1446" s="3545"/>
      <c r="C1446" s="3545"/>
      <c r="D1446" s="3545"/>
      <c r="E1446" s="3545"/>
      <c r="F1446" s="3545"/>
    </row>
    <row r="1447" spans="1:6" ht="21" thickBot="1" x14ac:dyDescent="0.25">
      <c r="A1447" s="3546" t="s">
        <v>2893</v>
      </c>
      <c r="B1447" s="3546"/>
      <c r="C1447" s="3546"/>
      <c r="D1447" s="3546"/>
      <c r="E1447" s="3546"/>
      <c r="F1447" s="3546"/>
    </row>
    <row r="1448" spans="1:6" s="1357" customFormat="1" ht="39" customHeight="1" thickBot="1" x14ac:dyDescent="0.35">
      <c r="A1448" s="1353" t="s">
        <v>185</v>
      </c>
      <c r="B1448" s="1354" t="s">
        <v>186</v>
      </c>
      <c r="C1448" s="1353" t="s">
        <v>2882</v>
      </c>
      <c r="D1448" s="1353" t="s">
        <v>1482</v>
      </c>
      <c r="E1448" s="1355" t="s">
        <v>1129</v>
      </c>
      <c r="F1448" s="1356" t="s">
        <v>2883</v>
      </c>
    </row>
    <row r="1449" spans="1:6" s="1357" customFormat="1" x14ac:dyDescent="0.3">
      <c r="A1449" s="908" t="s">
        <v>2884</v>
      </c>
      <c r="B1449" s="1358" t="s">
        <v>83</v>
      </c>
      <c r="C1449" s="1359">
        <v>0</v>
      </c>
      <c r="D1449" s="1360">
        <v>0</v>
      </c>
      <c r="E1449" s="1360">
        <v>0</v>
      </c>
      <c r="F1449" s="1360">
        <v>0</v>
      </c>
    </row>
    <row r="1450" spans="1:6" s="1357" customFormat="1" x14ac:dyDescent="0.3">
      <c r="A1450" s="1052"/>
      <c r="B1450" s="1358" t="s">
        <v>87</v>
      </c>
      <c r="C1450" s="1359">
        <v>0</v>
      </c>
      <c r="D1450" s="1360">
        <v>0</v>
      </c>
      <c r="E1450" s="1360">
        <v>0</v>
      </c>
      <c r="F1450" s="1360">
        <v>0</v>
      </c>
    </row>
    <row r="1451" spans="1:6" s="1357" customFormat="1" x14ac:dyDescent="0.3">
      <c r="A1451" s="1052"/>
      <c r="B1451" s="1358" t="s">
        <v>125</v>
      </c>
      <c r="C1451" s="1359">
        <v>0</v>
      </c>
      <c r="D1451" s="1360">
        <v>0</v>
      </c>
      <c r="E1451" s="1360">
        <v>0</v>
      </c>
      <c r="F1451" s="958">
        <v>0</v>
      </c>
    </row>
    <row r="1452" spans="1:6" s="1357" customFormat="1" x14ac:dyDescent="0.3">
      <c r="A1452" s="1052"/>
      <c r="B1452" s="1358" t="s">
        <v>2885</v>
      </c>
      <c r="C1452" s="1361">
        <v>2</v>
      </c>
      <c r="D1452" s="1131">
        <v>344274.5</v>
      </c>
      <c r="E1452" s="1114">
        <v>3</v>
      </c>
      <c r="F1452" s="958">
        <v>652266</v>
      </c>
    </row>
    <row r="1453" spans="1:6" s="1357" customFormat="1" x14ac:dyDescent="0.3">
      <c r="A1453" s="1052"/>
      <c r="B1453" s="1358" t="s">
        <v>90</v>
      </c>
      <c r="C1453" s="1361">
        <v>1</v>
      </c>
      <c r="D1453" s="1131">
        <v>342274.5</v>
      </c>
      <c r="E1453" s="1114">
        <v>1</v>
      </c>
      <c r="F1453" s="958">
        <v>396441</v>
      </c>
    </row>
    <row r="1454" spans="1:6" s="1357" customFormat="1" ht="21" thickBot="1" x14ac:dyDescent="0.35">
      <c r="A1454" s="1052"/>
      <c r="B1454" s="1358" t="s">
        <v>2886</v>
      </c>
      <c r="C1454" s="1361">
        <v>6</v>
      </c>
      <c r="D1454" s="1131">
        <v>1874016</v>
      </c>
      <c r="E1454" s="1114">
        <v>6</v>
      </c>
      <c r="F1454" s="958">
        <v>2186352</v>
      </c>
    </row>
    <row r="1455" spans="1:6" s="1357" customFormat="1" ht="21" thickBot="1" x14ac:dyDescent="0.35">
      <c r="A1455" s="1056" t="s">
        <v>187</v>
      </c>
      <c r="B1455" s="1362"/>
      <c r="C1455" s="1363">
        <f>SUM(C1449:C1454)</f>
        <v>9</v>
      </c>
      <c r="D1455" s="1364">
        <f>SUM(D1449:D1454)</f>
        <v>2560565</v>
      </c>
      <c r="E1455" s="1365">
        <f>SUM(E1449:E1454)</f>
        <v>10</v>
      </c>
      <c r="F1455" s="961">
        <f>SUM(F1449:F1454)</f>
        <v>3235059</v>
      </c>
    </row>
    <row r="1456" spans="1:6" s="1357" customFormat="1" x14ac:dyDescent="0.3">
      <c r="A1456" s="1052"/>
      <c r="B1456" s="1358" t="s">
        <v>2887</v>
      </c>
      <c r="C1456" s="1361">
        <v>13</v>
      </c>
      <c r="D1456" s="1131">
        <v>6279000</v>
      </c>
      <c r="E1456" s="1114">
        <v>14</v>
      </c>
      <c r="F1456" s="958">
        <v>6598878</v>
      </c>
    </row>
    <row r="1457" spans="1:6" s="1357" customFormat="1" x14ac:dyDescent="0.3">
      <c r="A1457" s="1052"/>
      <c r="B1457" s="1358" t="s">
        <v>2888</v>
      </c>
      <c r="C1457" s="1361">
        <v>26</v>
      </c>
      <c r="D1457" s="1131">
        <v>16168776</v>
      </c>
      <c r="E1457" s="1114">
        <v>23</v>
      </c>
      <c r="F1457" s="958">
        <v>14345224</v>
      </c>
    </row>
    <row r="1458" spans="1:6" s="1357" customFormat="1" x14ac:dyDescent="0.3">
      <c r="A1458" s="1052"/>
      <c r="B1458" s="1358" t="s">
        <v>2889</v>
      </c>
      <c r="C1458" s="1361">
        <v>3</v>
      </c>
      <c r="D1458" s="1131">
        <v>2763633</v>
      </c>
      <c r="E1458" s="1114">
        <v>3</v>
      </c>
      <c r="F1458" s="958">
        <v>2378066</v>
      </c>
    </row>
    <row r="1459" spans="1:6" s="1357" customFormat="1" x14ac:dyDescent="0.3">
      <c r="A1459" s="1052"/>
      <c r="B1459" s="965">
        <v>10</v>
      </c>
      <c r="C1459" s="1361">
        <v>3</v>
      </c>
      <c r="D1459" s="1131">
        <v>2172688</v>
      </c>
      <c r="E1459" s="1114">
        <v>3</v>
      </c>
      <c r="F1459" s="958">
        <v>2170588</v>
      </c>
    </row>
    <row r="1460" spans="1:6" s="1357" customFormat="1" ht="21" thickBot="1" x14ac:dyDescent="0.35">
      <c r="A1460" s="1052"/>
      <c r="B1460" s="965">
        <v>12</v>
      </c>
      <c r="C1460" s="1361">
        <v>2</v>
      </c>
      <c r="D1460" s="1131">
        <v>2168472</v>
      </c>
      <c r="E1460" s="1114">
        <v>4</v>
      </c>
      <c r="F1460" s="981">
        <v>3322212</v>
      </c>
    </row>
    <row r="1461" spans="1:6" s="1357" customFormat="1" ht="21" thickBot="1" x14ac:dyDescent="0.35">
      <c r="A1461" s="1056" t="s">
        <v>188</v>
      </c>
      <c r="B1461" s="1057"/>
      <c r="C1461" s="1366">
        <f>SUM(C1456:C1460)</f>
        <v>47</v>
      </c>
      <c r="D1461" s="1364">
        <f>SUM(D1456:D1460)</f>
        <v>29552569</v>
      </c>
      <c r="E1461" s="1365">
        <f>SUM(E1456:E1460)</f>
        <v>47</v>
      </c>
      <c r="F1461" s="961">
        <f>SUM(F1456:F1460)</f>
        <v>28814968</v>
      </c>
    </row>
    <row r="1462" spans="1:6" s="1357" customFormat="1" x14ac:dyDescent="0.3">
      <c r="A1462" s="1052"/>
      <c r="B1462" s="965">
        <v>13</v>
      </c>
      <c r="C1462" s="1367">
        <v>3</v>
      </c>
      <c r="D1462" s="1368">
        <v>4079793</v>
      </c>
      <c r="E1462" s="1114">
        <v>4</v>
      </c>
      <c r="F1462" s="957">
        <v>6394765</v>
      </c>
    </row>
    <row r="1463" spans="1:6" s="1357" customFormat="1" x14ac:dyDescent="0.3">
      <c r="A1463" s="1052"/>
      <c r="B1463" s="965">
        <v>14</v>
      </c>
      <c r="C1463" s="1361">
        <v>13</v>
      </c>
      <c r="D1463" s="1368">
        <v>19312969</v>
      </c>
      <c r="E1463" s="1114">
        <v>13</v>
      </c>
      <c r="F1463" s="958">
        <v>20053276</v>
      </c>
    </row>
    <row r="1464" spans="1:6" s="1357" customFormat="1" x14ac:dyDescent="0.3">
      <c r="A1464" s="1052"/>
      <c r="B1464" s="965">
        <v>15</v>
      </c>
      <c r="C1464" s="1361">
        <v>4</v>
      </c>
      <c r="D1464" s="1368">
        <v>7751096</v>
      </c>
      <c r="E1464" s="1114">
        <v>4</v>
      </c>
      <c r="F1464" s="958">
        <v>7751096</v>
      </c>
    </row>
    <row r="1465" spans="1:6" s="1357" customFormat="1" ht="21" thickBot="1" x14ac:dyDescent="0.35">
      <c r="A1465" s="1052"/>
      <c r="B1465" s="965">
        <v>16</v>
      </c>
      <c r="C1465" s="1361">
        <v>1</v>
      </c>
      <c r="D1465" s="1368">
        <v>2378141</v>
      </c>
      <c r="E1465" s="1114">
        <v>2</v>
      </c>
      <c r="F1465" s="958">
        <v>4257330</v>
      </c>
    </row>
    <row r="1466" spans="1:6" s="1357" customFormat="1" ht="21" thickBot="1" x14ac:dyDescent="0.35">
      <c r="A1466" s="1056" t="s">
        <v>189</v>
      </c>
      <c r="B1466" s="1057"/>
      <c r="C1466" s="1363">
        <f>SUM(C1462:C1465)</f>
        <v>21</v>
      </c>
      <c r="D1466" s="1364">
        <f>SUM(D1462:D1465)</f>
        <v>33521999</v>
      </c>
      <c r="E1466" s="1365">
        <f>SUM(E1462:E1465)</f>
        <v>23</v>
      </c>
      <c r="F1466" s="961">
        <f>SUM(F1462:F1465)</f>
        <v>38456467</v>
      </c>
    </row>
    <row r="1467" spans="1:6" s="1357" customFormat="1" ht="21" thickBot="1" x14ac:dyDescent="0.35">
      <c r="A1467" s="1062" t="s">
        <v>190</v>
      </c>
      <c r="B1467" s="1063"/>
      <c r="C1467" s="1369">
        <f>C1466+C1461+C1455</f>
        <v>77</v>
      </c>
      <c r="D1467" s="1370">
        <f>SUM(D1466,D1461,D1455)</f>
        <v>65635133</v>
      </c>
      <c r="E1467" s="1371">
        <f>SUM(E1466,E1461,E1455)</f>
        <v>80</v>
      </c>
      <c r="F1467" s="1065">
        <f>SUM(F1466,F1461,F1455)</f>
        <v>70506494</v>
      </c>
    </row>
    <row r="1468" spans="1:6" s="1357" customFormat="1" x14ac:dyDescent="0.3">
      <c r="A1468" s="1372" t="s">
        <v>2890</v>
      </c>
      <c r="B1468" s="1373"/>
      <c r="C1468" s="1374">
        <v>1</v>
      </c>
      <c r="D1468" s="1375">
        <v>3091552</v>
      </c>
      <c r="E1468" s="1376">
        <v>1</v>
      </c>
      <c r="F1468" s="1158">
        <v>3091552</v>
      </c>
    </row>
    <row r="1469" spans="1:6" s="1357" customFormat="1" ht="21" thickBot="1" x14ac:dyDescent="0.35">
      <c r="A1469" s="894" t="s">
        <v>2891</v>
      </c>
      <c r="B1469" s="895"/>
      <c r="C1469" s="896">
        <f>SUM(C1467:C1468)</f>
        <v>78</v>
      </c>
      <c r="D1469" s="897">
        <f>SUM(D1467:D1468)</f>
        <v>68726685</v>
      </c>
      <c r="E1469" s="898">
        <f>SUM(E1467:E1468)</f>
        <v>81</v>
      </c>
      <c r="F1469" s="899">
        <f>SUM(F1467:F1468)</f>
        <v>73598046</v>
      </c>
    </row>
    <row r="1470" spans="1:6" s="1357" customFormat="1" x14ac:dyDescent="0.3">
      <c r="A1470" s="900"/>
      <c r="B1470" s="901"/>
      <c r="C1470" s="902"/>
      <c r="D1470" s="903"/>
      <c r="E1470" s="902"/>
      <c r="F1470" s="904"/>
    </row>
    <row r="1471" spans="1:6" x14ac:dyDescent="0.2">
      <c r="A1471" s="3545" t="s">
        <v>183</v>
      </c>
      <c r="B1471" s="3545"/>
      <c r="C1471" s="3545"/>
      <c r="D1471" s="3545"/>
      <c r="E1471" s="3545"/>
      <c r="F1471" s="3545"/>
    </row>
    <row r="1472" spans="1:6" ht="21" thickBot="1" x14ac:dyDescent="0.25">
      <c r="A1472" s="3546" t="s">
        <v>2892</v>
      </c>
      <c r="B1472" s="3546"/>
      <c r="C1472" s="3546"/>
      <c r="D1472" s="3546"/>
      <c r="E1472" s="3546"/>
      <c r="F1472" s="3546"/>
    </row>
    <row r="1473" spans="1:6" s="988" customFormat="1" ht="41.25" thickBot="1" x14ac:dyDescent="0.25">
      <c r="A1473" s="920" t="s">
        <v>185</v>
      </c>
      <c r="B1473" s="921" t="s">
        <v>186</v>
      </c>
      <c r="C1473" s="922" t="s">
        <v>564</v>
      </c>
      <c r="D1473" s="923" t="s">
        <v>1128</v>
      </c>
      <c r="E1473" s="922" t="s">
        <v>1129</v>
      </c>
      <c r="F1473" s="923" t="s">
        <v>3096</v>
      </c>
    </row>
    <row r="1474" spans="1:6" x14ac:dyDescent="0.2">
      <c r="A1474" s="931"/>
      <c r="B1474" s="954">
        <v>2</v>
      </c>
      <c r="C1474" s="933"/>
      <c r="D1474" s="1377">
        <v>0</v>
      </c>
      <c r="E1474" s="933">
        <v>0</v>
      </c>
      <c r="F1474" s="1378">
        <v>0</v>
      </c>
    </row>
    <row r="1475" spans="1:6" x14ac:dyDescent="0.2">
      <c r="A1475" s="931"/>
      <c r="B1475" s="954">
        <v>3</v>
      </c>
      <c r="C1475" s="933"/>
      <c r="D1475" s="1377">
        <v>689910</v>
      </c>
      <c r="E1475" s="933">
        <v>3</v>
      </c>
      <c r="F1475" s="1378">
        <v>1420978</v>
      </c>
    </row>
    <row r="1476" spans="1:6" x14ac:dyDescent="0.2">
      <c r="A1476" s="931"/>
      <c r="B1476" s="954">
        <v>4</v>
      </c>
      <c r="C1476" s="933"/>
      <c r="D1476" s="1377">
        <v>3642084.24</v>
      </c>
      <c r="E1476" s="933">
        <v>7</v>
      </c>
      <c r="F1476" s="1378">
        <v>2756025</v>
      </c>
    </row>
    <row r="1477" spans="1:6" x14ac:dyDescent="0.2">
      <c r="A1477" s="931"/>
      <c r="B1477" s="954">
        <v>5</v>
      </c>
      <c r="C1477" s="933"/>
      <c r="D1477" s="1377">
        <v>0</v>
      </c>
      <c r="E1477" s="933">
        <v>0</v>
      </c>
      <c r="F1477" s="1378">
        <v>0</v>
      </c>
    </row>
    <row r="1478" spans="1:6" ht="21" thickBot="1" x14ac:dyDescent="0.25">
      <c r="A1478" s="931"/>
      <c r="B1478" s="954">
        <v>6</v>
      </c>
      <c r="C1478" s="933"/>
      <c r="D1478" s="1377">
        <v>708039.24</v>
      </c>
      <c r="E1478" s="933">
        <v>3</v>
      </c>
      <c r="F1478" s="1378">
        <v>1256196</v>
      </c>
    </row>
    <row r="1479" spans="1:6" ht="21" thickBot="1" x14ac:dyDescent="0.25">
      <c r="A1479" s="937" t="s">
        <v>351</v>
      </c>
      <c r="B1479" s="938"/>
      <c r="C1479" s="968">
        <f>SUM(C1474:C1478)</f>
        <v>0</v>
      </c>
      <c r="D1479" s="1379">
        <f>SUM(D1473:D1478)</f>
        <v>5040033.4800000004</v>
      </c>
      <c r="E1479" s="1380">
        <f>SUM(E1473:E1478)</f>
        <v>13</v>
      </c>
      <c r="F1479" s="1381">
        <f>SUM(F1473:F1478)</f>
        <v>5433199</v>
      </c>
    </row>
    <row r="1480" spans="1:6" x14ac:dyDescent="0.2">
      <c r="A1480" s="931"/>
      <c r="B1480" s="954">
        <v>7</v>
      </c>
      <c r="C1480" s="933"/>
      <c r="D1480" s="1377">
        <v>2548386</v>
      </c>
      <c r="E1480" s="933">
        <v>6</v>
      </c>
      <c r="F1480" s="1378">
        <v>3325072</v>
      </c>
    </row>
    <row r="1481" spans="1:6" x14ac:dyDescent="0.2">
      <c r="A1481" s="931"/>
      <c r="B1481" s="954">
        <v>8</v>
      </c>
      <c r="C1481" s="933"/>
      <c r="D1481" s="1377">
        <v>2585080</v>
      </c>
      <c r="E1481" s="933">
        <v>2</v>
      </c>
      <c r="F1481" s="1378">
        <v>1311612</v>
      </c>
    </row>
    <row r="1482" spans="1:6" x14ac:dyDescent="0.2">
      <c r="A1482" s="931"/>
      <c r="B1482" s="954">
        <v>9</v>
      </c>
      <c r="C1482" s="933"/>
      <c r="D1482" s="1377">
        <v>3870097</v>
      </c>
      <c r="E1482" s="933">
        <v>3</v>
      </c>
      <c r="F1482" s="1378">
        <v>2373944.7599999998</v>
      </c>
    </row>
    <row r="1483" spans="1:6" x14ac:dyDescent="0.2">
      <c r="A1483" s="931"/>
      <c r="B1483" s="954">
        <v>10</v>
      </c>
      <c r="C1483" s="933"/>
      <c r="D1483" s="1377">
        <v>1710827.7799999961</v>
      </c>
      <c r="E1483" s="933">
        <v>3</v>
      </c>
      <c r="F1483" s="1378">
        <v>2766416.76</v>
      </c>
    </row>
    <row r="1484" spans="1:6" ht="21" thickBot="1" x14ac:dyDescent="0.25">
      <c r="A1484" s="931"/>
      <c r="B1484" s="954">
        <v>12</v>
      </c>
      <c r="C1484" s="933"/>
      <c r="D1484" s="1377">
        <v>2090890.02</v>
      </c>
      <c r="E1484" s="933">
        <v>2</v>
      </c>
      <c r="F1484" s="1382">
        <v>2162800.7999999998</v>
      </c>
    </row>
    <row r="1485" spans="1:6" ht="21" thickBot="1" x14ac:dyDescent="0.25">
      <c r="A1485" s="937" t="s">
        <v>352</v>
      </c>
      <c r="B1485" s="1077"/>
      <c r="C1485" s="1351">
        <f>SUM(C1480:C1484)</f>
        <v>0</v>
      </c>
      <c r="D1485" s="1379">
        <f>SUM(D1480:D1484)</f>
        <v>12805280.799999995</v>
      </c>
      <c r="E1485" s="1380">
        <f>SUM(E1480:E1484)</f>
        <v>16</v>
      </c>
      <c r="F1485" s="1381">
        <f>SUM(F1480:F1484)</f>
        <v>11939846.32</v>
      </c>
    </row>
    <row r="1486" spans="1:6" x14ac:dyDescent="0.2">
      <c r="A1486" s="931"/>
      <c r="B1486" s="954">
        <v>13</v>
      </c>
      <c r="C1486" s="933"/>
      <c r="D1486" s="1377">
        <v>1962871</v>
      </c>
      <c r="E1486" s="933">
        <v>2</v>
      </c>
      <c r="F1486" s="1383">
        <v>2315577.6</v>
      </c>
    </row>
    <row r="1487" spans="1:6" x14ac:dyDescent="0.2">
      <c r="A1487" s="931"/>
      <c r="B1487" s="954">
        <v>14</v>
      </c>
      <c r="C1487" s="933"/>
      <c r="D1487" s="1377">
        <v>5461200</v>
      </c>
      <c r="E1487" s="933">
        <v>4</v>
      </c>
      <c r="F1487" s="1378">
        <v>6282408</v>
      </c>
    </row>
    <row r="1488" spans="1:6" x14ac:dyDescent="0.2">
      <c r="A1488" s="931"/>
      <c r="B1488" s="954">
        <v>15</v>
      </c>
      <c r="C1488" s="933"/>
      <c r="D1488" s="1377">
        <v>3266822</v>
      </c>
      <c r="E1488" s="933">
        <v>2</v>
      </c>
      <c r="F1488" s="1378">
        <v>3991510.5</v>
      </c>
    </row>
    <row r="1489" spans="1:6" ht="21" thickBot="1" x14ac:dyDescent="0.25">
      <c r="A1489" s="931"/>
      <c r="B1489" s="954">
        <v>16</v>
      </c>
      <c r="C1489" s="933"/>
      <c r="D1489" s="1377">
        <v>3297228</v>
      </c>
      <c r="E1489" s="933">
        <v>1</v>
      </c>
      <c r="F1489" s="1378">
        <v>2450219</v>
      </c>
    </row>
    <row r="1490" spans="1:6" ht="21" thickBot="1" x14ac:dyDescent="0.25">
      <c r="A1490" s="937" t="s">
        <v>353</v>
      </c>
      <c r="B1490" s="938"/>
      <c r="C1490" s="968">
        <f>SUM(C1486:C1489)</f>
        <v>0</v>
      </c>
      <c r="D1490" s="1379">
        <f>SUM(D1486:D1489)</f>
        <v>13988121</v>
      </c>
      <c r="E1490" s="1380">
        <f t="shared" ref="E1490" si="8">SUM(E1486:E1489)</f>
        <v>9</v>
      </c>
      <c r="F1490" s="1381">
        <f>SUM(F1486:F1489)</f>
        <v>15039715.1</v>
      </c>
    </row>
    <row r="1491" spans="1:6" ht="21" thickBot="1" x14ac:dyDescent="0.25">
      <c r="A1491" s="937" t="s">
        <v>354</v>
      </c>
      <c r="B1491" s="938"/>
      <c r="C1491" s="939">
        <f>SUM(C1490,C1485,C1479)</f>
        <v>0</v>
      </c>
      <c r="D1491" s="1384">
        <f>D1490+D1485+D1479</f>
        <v>31833435.279999997</v>
      </c>
      <c r="E1491" s="992">
        <f t="shared" ref="E1491" si="9">E1490+E1485+E1479</f>
        <v>38</v>
      </c>
      <c r="F1491" s="1385">
        <f>SUM(F1490,F1485,F1479)</f>
        <v>32412760.420000002</v>
      </c>
    </row>
    <row r="1492" spans="1:6" ht="21" thickBot="1" x14ac:dyDescent="0.25">
      <c r="A1492" s="964" t="s">
        <v>2881</v>
      </c>
      <c r="B1492" s="954"/>
      <c r="C1492" s="933">
        <v>1</v>
      </c>
      <c r="D1492" s="1378">
        <v>2742399.72</v>
      </c>
      <c r="E1492" s="933">
        <v>1</v>
      </c>
      <c r="F1492" s="1378">
        <v>2742399.72</v>
      </c>
    </row>
    <row r="1493" spans="1:6" s="924" customFormat="1" ht="21" thickBot="1" x14ac:dyDescent="0.25">
      <c r="A1493" s="950" t="s">
        <v>737</v>
      </c>
      <c r="B1493" s="938"/>
      <c r="C1493" s="968">
        <f>SUM(C1492:C1492)</f>
        <v>1</v>
      </c>
      <c r="D1493" s="1381">
        <v>2742399.72</v>
      </c>
      <c r="E1493" s="968">
        <f>SUM(E1492:E1492)</f>
        <v>1</v>
      </c>
      <c r="F1493" s="940">
        <f>SUM(F1492:F1492)</f>
        <v>2742399.72</v>
      </c>
    </row>
    <row r="1494" spans="1:6" ht="21" thickBot="1" x14ac:dyDescent="0.25">
      <c r="A1494" s="950" t="s">
        <v>2880</v>
      </c>
      <c r="B1494" s="938"/>
      <c r="C1494" s="939">
        <f>SUM(C1491,C1493)</f>
        <v>1</v>
      </c>
      <c r="D1494" s="1381">
        <f>SUM(D1491,D1493)</f>
        <v>34575835</v>
      </c>
      <c r="E1494" s="968">
        <f>SUM(E1491,E1493)</f>
        <v>39</v>
      </c>
      <c r="F1494" s="940">
        <f>SUM(F1491,F1493)</f>
        <v>35155160.140000001</v>
      </c>
    </row>
    <row r="1495" spans="1:6" x14ac:dyDescent="0.2">
      <c r="A1495" s="924"/>
      <c r="B1495" s="983"/>
      <c r="C1495" s="984"/>
      <c r="D1495" s="1386"/>
      <c r="E1495" s="1290"/>
      <c r="F1495" s="985"/>
    </row>
    <row r="1496" spans="1:6" x14ac:dyDescent="0.2">
      <c r="A1496" s="924"/>
      <c r="B1496" s="983"/>
      <c r="C1496" s="984"/>
      <c r="D1496" s="985"/>
      <c r="E1496" s="1290"/>
      <c r="F1496" s="985"/>
    </row>
    <row r="1497" spans="1:6" x14ac:dyDescent="0.2">
      <c r="A1497" s="3545" t="s">
        <v>183</v>
      </c>
      <c r="B1497" s="3545"/>
      <c r="C1497" s="3545"/>
      <c r="D1497" s="3545"/>
      <c r="E1497" s="3545"/>
      <c r="F1497" s="3545"/>
    </row>
    <row r="1498" spans="1:6" ht="21" thickBot="1" x14ac:dyDescent="0.25">
      <c r="A1498" s="3546" t="s">
        <v>358</v>
      </c>
      <c r="B1498" s="3546"/>
      <c r="C1498" s="3546"/>
      <c r="D1498" s="3546"/>
      <c r="E1498" s="3546"/>
      <c r="F1498" s="3546"/>
    </row>
    <row r="1499" spans="1:6" s="988" customFormat="1" ht="41.25" thickBot="1" x14ac:dyDescent="0.25">
      <c r="A1499" s="920" t="s">
        <v>185</v>
      </c>
      <c r="B1499" s="921" t="s">
        <v>186</v>
      </c>
      <c r="C1499" s="922" t="s">
        <v>564</v>
      </c>
      <c r="D1499" s="923" t="s">
        <v>1128</v>
      </c>
      <c r="E1499" s="922" t="s">
        <v>1129</v>
      </c>
      <c r="F1499" s="923" t="s">
        <v>3096</v>
      </c>
    </row>
    <row r="1500" spans="1:6" x14ac:dyDescent="0.3">
      <c r="A1500" s="925"/>
      <c r="B1500" s="954">
        <v>1</v>
      </c>
      <c r="C1500" s="927">
        <v>0</v>
      </c>
      <c r="D1500" s="978"/>
      <c r="E1500" s="927">
        <v>0</v>
      </c>
      <c r="F1500" s="1160"/>
    </row>
    <row r="1501" spans="1:6" x14ac:dyDescent="0.3">
      <c r="A1501" s="931"/>
      <c r="B1501" s="954">
        <v>2</v>
      </c>
      <c r="C1501" s="933">
        <v>5</v>
      </c>
      <c r="D1501" s="978">
        <v>1337700</v>
      </c>
      <c r="E1501" s="933">
        <v>5</v>
      </c>
      <c r="F1501" s="1160">
        <v>1337700</v>
      </c>
    </row>
    <row r="1502" spans="1:6" x14ac:dyDescent="0.3">
      <c r="A1502" s="931"/>
      <c r="B1502" s="954">
        <v>3</v>
      </c>
      <c r="C1502" s="933">
        <v>20</v>
      </c>
      <c r="D1502" s="978">
        <v>5593000</v>
      </c>
      <c r="E1502" s="933">
        <v>20</v>
      </c>
      <c r="F1502" s="1160">
        <v>5593000</v>
      </c>
    </row>
    <row r="1503" spans="1:6" x14ac:dyDescent="0.3">
      <c r="A1503" s="931"/>
      <c r="B1503" s="954">
        <v>4</v>
      </c>
      <c r="C1503" s="933">
        <v>33</v>
      </c>
      <c r="D1503" s="978">
        <v>8882840</v>
      </c>
      <c r="E1503" s="933">
        <v>33</v>
      </c>
      <c r="F1503" s="1160">
        <v>8882840</v>
      </c>
    </row>
    <row r="1504" spans="1:6" x14ac:dyDescent="0.3">
      <c r="A1504" s="931"/>
      <c r="B1504" s="954">
        <v>5</v>
      </c>
      <c r="C1504" s="933">
        <v>36</v>
      </c>
      <c r="D1504" s="978">
        <v>8624575</v>
      </c>
      <c r="E1504" s="933">
        <v>36</v>
      </c>
      <c r="F1504" s="1160">
        <v>8624575</v>
      </c>
    </row>
    <row r="1505" spans="1:6" ht="21" thickBot="1" x14ac:dyDescent="0.35">
      <c r="A1505" s="931"/>
      <c r="B1505" s="954">
        <v>6</v>
      </c>
      <c r="C1505" s="933">
        <v>44</v>
      </c>
      <c r="D1505" s="978">
        <v>8446960</v>
      </c>
      <c r="E1505" s="933">
        <v>44</v>
      </c>
      <c r="F1505" s="1160">
        <v>8446960</v>
      </c>
    </row>
    <row r="1506" spans="1:6" ht="21" thickBot="1" x14ac:dyDescent="0.35">
      <c r="A1506" s="937" t="s">
        <v>187</v>
      </c>
      <c r="B1506" s="938"/>
      <c r="C1506" s="968">
        <f>SUM(C1500:C1505)</f>
        <v>138</v>
      </c>
      <c r="D1506" s="940">
        <f>SUM(D1501:D1505)</f>
        <v>32885075</v>
      </c>
      <c r="E1506" s="1170">
        <f>SUM(E1500:E1505)</f>
        <v>138</v>
      </c>
      <c r="F1506" s="1162">
        <f>SUM(F1501:F1505)</f>
        <v>32885075</v>
      </c>
    </row>
    <row r="1507" spans="1:6" x14ac:dyDescent="0.3">
      <c r="A1507" s="931"/>
      <c r="B1507" s="954">
        <v>7</v>
      </c>
      <c r="C1507" s="933">
        <v>40</v>
      </c>
      <c r="D1507" s="978">
        <v>7294800</v>
      </c>
      <c r="E1507" s="933">
        <v>40</v>
      </c>
      <c r="F1507" s="1160">
        <v>9294800</v>
      </c>
    </row>
    <row r="1508" spans="1:6" x14ac:dyDescent="0.3">
      <c r="A1508" s="931"/>
      <c r="B1508" s="954">
        <v>8</v>
      </c>
      <c r="C1508" s="933">
        <v>18</v>
      </c>
      <c r="D1508" s="978">
        <v>7138840</v>
      </c>
      <c r="E1508" s="933">
        <v>18</v>
      </c>
      <c r="F1508" s="1160">
        <v>7138840</v>
      </c>
    </row>
    <row r="1509" spans="1:6" x14ac:dyDescent="0.3">
      <c r="A1509" s="931"/>
      <c r="B1509" s="954">
        <v>9</v>
      </c>
      <c r="C1509" s="933">
        <v>16</v>
      </c>
      <c r="D1509" s="978">
        <v>7410605</v>
      </c>
      <c r="E1509" s="933">
        <v>16</v>
      </c>
      <c r="F1509" s="1160">
        <v>7410605</v>
      </c>
    </row>
    <row r="1510" spans="1:6" x14ac:dyDescent="0.3">
      <c r="A1510" s="931"/>
      <c r="B1510" s="954">
        <v>10</v>
      </c>
      <c r="C1510" s="933">
        <v>10</v>
      </c>
      <c r="D1510" s="978">
        <v>8176400</v>
      </c>
      <c r="E1510" s="933">
        <v>10</v>
      </c>
      <c r="F1510" s="1160">
        <v>8176400</v>
      </c>
    </row>
    <row r="1511" spans="1:6" ht="21" thickBot="1" x14ac:dyDescent="0.35">
      <c r="A1511" s="931"/>
      <c r="B1511" s="954">
        <v>12</v>
      </c>
      <c r="C1511" s="933">
        <v>15</v>
      </c>
      <c r="D1511" s="978">
        <v>8742200</v>
      </c>
      <c r="E1511" s="933">
        <v>15</v>
      </c>
      <c r="F1511" s="1160">
        <v>8742200</v>
      </c>
    </row>
    <row r="1512" spans="1:6" ht="21" thickBot="1" x14ac:dyDescent="0.35">
      <c r="A1512" s="937" t="s">
        <v>188</v>
      </c>
      <c r="B1512" s="938"/>
      <c r="C1512" s="968">
        <f>SUM(C1507:C1511)</f>
        <v>99</v>
      </c>
      <c r="D1512" s="940">
        <f>SUM(D1507:D1511)</f>
        <v>38762845</v>
      </c>
      <c r="E1512" s="1170">
        <f>SUM(E1507:E1511)</f>
        <v>99</v>
      </c>
      <c r="F1512" s="1162">
        <f>SUM(F1507:F1511)</f>
        <v>40762845</v>
      </c>
    </row>
    <row r="1513" spans="1:6" x14ac:dyDescent="0.3">
      <c r="A1513" s="931"/>
      <c r="B1513" s="954">
        <v>13</v>
      </c>
      <c r="C1513" s="933">
        <v>5</v>
      </c>
      <c r="D1513" s="978">
        <v>6596750</v>
      </c>
      <c r="E1513" s="933">
        <v>5</v>
      </c>
      <c r="F1513" s="1160">
        <v>7096750</v>
      </c>
    </row>
    <row r="1514" spans="1:6" x14ac:dyDescent="0.3">
      <c r="A1514" s="931"/>
      <c r="B1514" s="954">
        <v>14</v>
      </c>
      <c r="C1514" s="933">
        <v>18</v>
      </c>
      <c r="D1514" s="978">
        <v>7411945</v>
      </c>
      <c r="E1514" s="933">
        <v>18</v>
      </c>
      <c r="F1514" s="1160">
        <v>7911945</v>
      </c>
    </row>
    <row r="1515" spans="1:6" x14ac:dyDescent="0.3">
      <c r="A1515" s="931"/>
      <c r="B1515" s="954">
        <v>15</v>
      </c>
      <c r="C1515" s="933">
        <v>5</v>
      </c>
      <c r="D1515" s="978">
        <v>4292325</v>
      </c>
      <c r="E1515" s="933">
        <v>5</v>
      </c>
      <c r="F1515" s="1160">
        <v>4792325</v>
      </c>
    </row>
    <row r="1516" spans="1:6" ht="21" thickBot="1" x14ac:dyDescent="0.35">
      <c r="A1516" s="931"/>
      <c r="B1516" s="954">
        <v>16</v>
      </c>
      <c r="C1516" s="933">
        <v>7</v>
      </c>
      <c r="D1516" s="978">
        <v>8134875</v>
      </c>
      <c r="E1516" s="933">
        <v>7</v>
      </c>
      <c r="F1516" s="1160">
        <v>8134875</v>
      </c>
    </row>
    <row r="1517" spans="1:6" ht="21" thickBot="1" x14ac:dyDescent="0.35">
      <c r="A1517" s="937" t="s">
        <v>189</v>
      </c>
      <c r="B1517" s="938"/>
      <c r="C1517" s="968">
        <f>SUM(C1513:C1516)</f>
        <v>35</v>
      </c>
      <c r="D1517" s="940">
        <f>SUM(D1513:D1516)</f>
        <v>26435895</v>
      </c>
      <c r="E1517" s="1170">
        <f>SUM(E1513:E1516)</f>
        <v>35</v>
      </c>
      <c r="F1517" s="1162">
        <f>SUM(F1513:F1516)</f>
        <v>27935895</v>
      </c>
    </row>
    <row r="1518" spans="1:6" ht="21" thickBot="1" x14ac:dyDescent="0.35">
      <c r="A1518" s="990" t="s">
        <v>190</v>
      </c>
      <c r="B1518" s="991"/>
      <c r="C1518" s="939">
        <f>SUM(C1517,C1512,C1506)</f>
        <v>272</v>
      </c>
      <c r="D1518" s="1107">
        <f>SUM(D1517,D1512,D1506)</f>
        <v>98083815</v>
      </c>
      <c r="E1518" s="939">
        <f>SUM(E1517,E1512,E1506)</f>
        <v>272</v>
      </c>
      <c r="F1518" s="1387">
        <f>SUM(F1517,F1512,F1506)</f>
        <v>101583815</v>
      </c>
    </row>
    <row r="1519" spans="1:6" x14ac:dyDescent="0.3">
      <c r="A1519" s="964" t="s">
        <v>528</v>
      </c>
      <c r="B1519" s="954"/>
      <c r="C1519" s="933">
        <v>1</v>
      </c>
      <c r="D1519" s="978">
        <v>1337225</v>
      </c>
      <c r="E1519" s="933">
        <v>1</v>
      </c>
      <c r="F1519" s="1160">
        <v>1337225</v>
      </c>
    </row>
    <row r="1520" spans="1:6" x14ac:dyDescent="0.3">
      <c r="A1520" s="964" t="s">
        <v>529</v>
      </c>
      <c r="B1520" s="954"/>
      <c r="C1520" s="933"/>
      <c r="D1520" s="978">
        <v>4479705</v>
      </c>
      <c r="E1520" s="933"/>
      <c r="F1520" s="1160">
        <v>4479705</v>
      </c>
    </row>
    <row r="1521" spans="1:6" x14ac:dyDescent="0.3">
      <c r="A1521" s="964" t="s">
        <v>216</v>
      </c>
      <c r="B1521" s="954"/>
      <c r="C1521" s="933">
        <v>1</v>
      </c>
      <c r="D1521" s="978">
        <v>1247870</v>
      </c>
      <c r="E1521" s="933">
        <v>1</v>
      </c>
      <c r="F1521" s="1160">
        <v>1247870</v>
      </c>
    </row>
    <row r="1522" spans="1:6" ht="21" thickBot="1" x14ac:dyDescent="0.35">
      <c r="A1522" s="964" t="s">
        <v>530</v>
      </c>
      <c r="B1522" s="954"/>
      <c r="C1522" s="933"/>
      <c r="D1522" s="978">
        <v>4180365</v>
      </c>
      <c r="E1522" s="933"/>
      <c r="F1522" s="1160">
        <v>4180365</v>
      </c>
    </row>
    <row r="1523" spans="1:6" s="924" customFormat="1" ht="21" thickBot="1" x14ac:dyDescent="0.35">
      <c r="A1523" s="950" t="s">
        <v>117</v>
      </c>
      <c r="B1523" s="938"/>
      <c r="C1523" s="939">
        <f>SUM(C1519:C1522)</f>
        <v>2</v>
      </c>
      <c r="D1523" s="1032">
        <f>SUM(D1519:D1522)</f>
        <v>11245165</v>
      </c>
      <c r="E1523" s="1170">
        <f>SUM(E1519:E1522)</f>
        <v>2</v>
      </c>
      <c r="F1523" s="1162">
        <f>SUM(F1519:F1522)</f>
        <v>11245165</v>
      </c>
    </row>
    <row r="1524" spans="1:6" ht="21" thickBot="1" x14ac:dyDescent="0.35">
      <c r="A1524" s="950" t="s">
        <v>2692</v>
      </c>
      <c r="B1524" s="938"/>
      <c r="C1524" s="939">
        <f>SUM(C1518,C1523)</f>
        <v>274</v>
      </c>
      <c r="D1524" s="1032">
        <f>SUM(D1518,D1523)</f>
        <v>109328980</v>
      </c>
      <c r="E1524" s="1170">
        <f>E1518+E1523</f>
        <v>274</v>
      </c>
      <c r="F1524" s="1162">
        <f>F1518+F1523</f>
        <v>112828980</v>
      </c>
    </row>
    <row r="1525" spans="1:6" x14ac:dyDescent="0.2">
      <c r="A1525" s="3545"/>
      <c r="B1525" s="3545"/>
      <c r="C1525" s="3545"/>
      <c r="D1525" s="3545"/>
      <c r="E1525" s="3545"/>
      <c r="F1525" s="3545"/>
    </row>
    <row r="1526" spans="1:6" s="901" customFormat="1" x14ac:dyDescent="0.3">
      <c r="A1526" s="3543" t="s">
        <v>183</v>
      </c>
      <c r="B1526" s="3543"/>
      <c r="C1526" s="3543"/>
      <c r="D1526" s="3543"/>
      <c r="E1526" s="3543"/>
      <c r="F1526" s="3543"/>
    </row>
    <row r="1527" spans="1:6" s="901" customFormat="1" ht="21" thickBot="1" x14ac:dyDescent="0.35">
      <c r="A1527" s="3543" t="s">
        <v>2693</v>
      </c>
      <c r="B1527" s="3543"/>
      <c r="C1527" s="3543"/>
      <c r="D1527" s="3543"/>
      <c r="E1527" s="3543"/>
      <c r="F1527" s="3543"/>
    </row>
    <row r="1528" spans="1:6" s="906" customFormat="1" ht="41.25" thickBot="1" x14ac:dyDescent="0.35">
      <c r="A1528" s="1048" t="s">
        <v>185</v>
      </c>
      <c r="B1528" s="1049" t="s">
        <v>186</v>
      </c>
      <c r="C1528" s="1316" t="s">
        <v>1482</v>
      </c>
      <c r="D1528" s="920" t="s">
        <v>1667</v>
      </c>
      <c r="E1528" s="922" t="s">
        <v>1129</v>
      </c>
      <c r="F1528" s="923" t="s">
        <v>3096</v>
      </c>
    </row>
    <row r="1529" spans="1:6" s="905" customFormat="1" x14ac:dyDescent="0.3">
      <c r="A1529" s="908"/>
      <c r="B1529" s="1155">
        <v>1</v>
      </c>
      <c r="C1529" s="1388">
        <v>0</v>
      </c>
      <c r="D1529" s="1389"/>
      <c r="E1529" s="1390">
        <v>0</v>
      </c>
      <c r="F1529" s="1391">
        <v>0</v>
      </c>
    </row>
    <row r="1530" spans="1:6" s="905" customFormat="1" x14ac:dyDescent="0.3">
      <c r="A1530" s="1052"/>
      <c r="B1530" s="1155">
        <v>2</v>
      </c>
      <c r="C1530" s="1392">
        <v>0</v>
      </c>
      <c r="D1530" s="967"/>
      <c r="E1530" s="1393">
        <v>0</v>
      </c>
      <c r="F1530" s="1160">
        <v>0</v>
      </c>
    </row>
    <row r="1531" spans="1:6" s="905" customFormat="1" x14ac:dyDescent="0.3">
      <c r="A1531" s="1052"/>
      <c r="B1531" s="1155">
        <v>3</v>
      </c>
      <c r="C1531" s="1392">
        <v>2448705.6</v>
      </c>
      <c r="D1531" s="1281">
        <v>1632470.4</v>
      </c>
      <c r="E1531" s="1393">
        <v>5</v>
      </c>
      <c r="F1531" s="1394">
        <v>2571140.88</v>
      </c>
    </row>
    <row r="1532" spans="1:6" s="905" customFormat="1" x14ac:dyDescent="0.3">
      <c r="A1532" s="1052"/>
      <c r="B1532" s="1155">
        <v>4</v>
      </c>
      <c r="C1532" s="1392">
        <v>1060294.92</v>
      </c>
      <c r="D1532" s="1281">
        <v>706863.28</v>
      </c>
      <c r="E1532" s="1393">
        <v>4</v>
      </c>
      <c r="F1532" s="1394">
        <v>1113309.67</v>
      </c>
    </row>
    <row r="1533" spans="1:6" s="905" customFormat="1" x14ac:dyDescent="0.3">
      <c r="A1533" s="1052"/>
      <c r="B1533" s="1155">
        <v>5</v>
      </c>
      <c r="C1533" s="1392">
        <v>297513.96000000002</v>
      </c>
      <c r="D1533" s="1281">
        <v>198342.64</v>
      </c>
      <c r="E1533" s="1393">
        <v>1</v>
      </c>
      <c r="F1533" s="1394">
        <v>312389.65999999997</v>
      </c>
    </row>
    <row r="1534" spans="1:6" s="905" customFormat="1" ht="21" thickBot="1" x14ac:dyDescent="0.35">
      <c r="A1534" s="1052"/>
      <c r="B1534" s="1155">
        <v>6</v>
      </c>
      <c r="C1534" s="1392">
        <v>4156163.72</v>
      </c>
      <c r="D1534" s="1395">
        <v>2770775.81</v>
      </c>
      <c r="E1534" s="1393">
        <v>11</v>
      </c>
      <c r="F1534" s="1396">
        <v>4363971.91</v>
      </c>
    </row>
    <row r="1535" spans="1:6" s="905" customFormat="1" ht="21" thickBot="1" x14ac:dyDescent="0.35">
      <c r="A1535" s="1056" t="s">
        <v>187</v>
      </c>
      <c r="B1535" s="1057"/>
      <c r="C1535" s="1397">
        <f>SUM(C1529:C1534)</f>
        <v>7962678.2000000002</v>
      </c>
      <c r="D1535" s="1398">
        <f>SUM(D1529:D1534)</f>
        <v>5308452.13</v>
      </c>
      <c r="E1535" s="1399">
        <f>SUM(E1529:E1534)</f>
        <v>21</v>
      </c>
      <c r="F1535" s="1171">
        <f>SUM(F1529:F1534)</f>
        <v>8360812.1200000001</v>
      </c>
    </row>
    <row r="1536" spans="1:6" s="905" customFormat="1" x14ac:dyDescent="0.3">
      <c r="A1536" s="1052"/>
      <c r="B1536" s="1155">
        <v>7</v>
      </c>
      <c r="C1536" s="1392">
        <v>11552024.720000001</v>
      </c>
      <c r="D1536" s="1400">
        <v>7701349.8099999996</v>
      </c>
      <c r="E1536" s="1393">
        <v>16</v>
      </c>
      <c r="F1536" s="1401">
        <v>12129625.960000001</v>
      </c>
    </row>
    <row r="1537" spans="1:6" s="905" customFormat="1" x14ac:dyDescent="0.3">
      <c r="A1537" s="1052"/>
      <c r="B1537" s="1155">
        <v>8</v>
      </c>
      <c r="C1537" s="1392">
        <v>5581157</v>
      </c>
      <c r="D1537" s="1281">
        <v>3720771.33</v>
      </c>
      <c r="E1537" s="1393">
        <v>6</v>
      </c>
      <c r="F1537" s="1394">
        <v>5860214.8499999996</v>
      </c>
    </row>
    <row r="1538" spans="1:6" s="905" customFormat="1" x14ac:dyDescent="0.3">
      <c r="A1538" s="1052"/>
      <c r="B1538" s="1155">
        <v>9</v>
      </c>
      <c r="C1538" s="1392">
        <v>2669502.96</v>
      </c>
      <c r="D1538" s="1281">
        <v>1779668.64</v>
      </c>
      <c r="E1538" s="1393">
        <v>4</v>
      </c>
      <c r="F1538" s="1394">
        <v>2802978.11</v>
      </c>
    </row>
    <row r="1539" spans="1:6" s="905" customFormat="1" x14ac:dyDescent="0.3">
      <c r="A1539" s="1052"/>
      <c r="B1539" s="1155">
        <v>10</v>
      </c>
      <c r="C1539" s="1392">
        <v>0</v>
      </c>
      <c r="D1539" s="1281" t="s">
        <v>1971</v>
      </c>
      <c r="E1539" s="1393">
        <v>0</v>
      </c>
      <c r="F1539" s="1394" t="s">
        <v>1971</v>
      </c>
    </row>
    <row r="1540" spans="1:6" s="905" customFormat="1" ht="21" thickBot="1" x14ac:dyDescent="0.35">
      <c r="A1540" s="1052"/>
      <c r="B1540" s="1155">
        <v>12</v>
      </c>
      <c r="C1540" s="1392">
        <v>2209261.92</v>
      </c>
      <c r="D1540" s="1395">
        <v>1472841.28</v>
      </c>
      <c r="E1540" s="1393">
        <v>1</v>
      </c>
      <c r="F1540" s="1394">
        <v>2319725.02</v>
      </c>
    </row>
    <row r="1541" spans="1:6" s="905" customFormat="1" ht="21" thickBot="1" x14ac:dyDescent="0.35">
      <c r="A1541" s="1056" t="s">
        <v>188</v>
      </c>
      <c r="B1541" s="1057"/>
      <c r="C1541" s="1397">
        <f>SUM(C1536:C1540)</f>
        <v>22011946.600000001</v>
      </c>
      <c r="D1541" s="1398">
        <f>SUM(D1536:D1540)</f>
        <v>14674631.060000001</v>
      </c>
      <c r="E1541" s="1402">
        <f>SUM(E1536:E1540)</f>
        <v>27</v>
      </c>
      <c r="F1541" s="1171">
        <f>SUM(F1536:F1540)</f>
        <v>23112543.940000001</v>
      </c>
    </row>
    <row r="1542" spans="1:6" s="905" customFormat="1" x14ac:dyDescent="0.3">
      <c r="A1542" s="1052"/>
      <c r="B1542" s="1155">
        <v>13</v>
      </c>
      <c r="C1542" s="1392">
        <v>2357998.56</v>
      </c>
      <c r="D1542" s="1403">
        <v>1571999.04</v>
      </c>
      <c r="E1542" s="1111">
        <v>2</v>
      </c>
      <c r="F1542" s="1401">
        <v>2475898.4900000002</v>
      </c>
    </row>
    <row r="1543" spans="1:6" s="905" customFormat="1" x14ac:dyDescent="0.3">
      <c r="A1543" s="1052"/>
      <c r="B1543" s="1155">
        <v>14</v>
      </c>
      <c r="C1543" s="1392">
        <v>12834405.48</v>
      </c>
      <c r="D1543" s="1404">
        <v>8556270.3200000003</v>
      </c>
      <c r="E1543" s="1114">
        <v>9</v>
      </c>
      <c r="F1543" s="1394">
        <v>13476125.75</v>
      </c>
    </row>
    <row r="1544" spans="1:6" s="905" customFormat="1" x14ac:dyDescent="0.3">
      <c r="A1544" s="1052"/>
      <c r="B1544" s="1155">
        <v>15</v>
      </c>
      <c r="C1544" s="1392"/>
      <c r="D1544" s="1404" t="s">
        <v>1971</v>
      </c>
      <c r="E1544" s="1405"/>
      <c r="F1544" s="1394" t="s">
        <v>1971</v>
      </c>
    </row>
    <row r="1545" spans="1:6" s="905" customFormat="1" ht="21" thickBot="1" x14ac:dyDescent="0.35">
      <c r="A1545" s="1052"/>
      <c r="B1545" s="1155">
        <v>16</v>
      </c>
      <c r="C1545" s="1392">
        <v>9244335</v>
      </c>
      <c r="D1545" s="1406">
        <v>6162890</v>
      </c>
      <c r="E1545" s="1175">
        <v>4</v>
      </c>
      <c r="F1545" s="1394">
        <v>9706551.75</v>
      </c>
    </row>
    <row r="1546" spans="1:6" s="905" customFormat="1" ht="28.5" customHeight="1" thickBot="1" x14ac:dyDescent="0.35">
      <c r="A1546" s="1056" t="s">
        <v>189</v>
      </c>
      <c r="B1546" s="1057"/>
      <c r="C1546" s="1397">
        <f>SUM(C1542:C1545)</f>
        <v>24436739.039999999</v>
      </c>
      <c r="D1546" s="1398">
        <f>SUM(D1542:D1545)</f>
        <v>16291159.359999999</v>
      </c>
      <c r="E1546" s="1407">
        <f>SUM(E1542:E1545)</f>
        <v>15</v>
      </c>
      <c r="F1546" s="1171">
        <f>SUM(F1542:F1545)</f>
        <v>25658575.990000002</v>
      </c>
    </row>
    <row r="1547" spans="1:6" s="905" customFormat="1" ht="21" thickBot="1" x14ac:dyDescent="0.35">
      <c r="A1547" s="1062" t="s">
        <v>190</v>
      </c>
      <c r="B1547" s="1063"/>
      <c r="C1547" s="1408">
        <f>C1546+C1541+C1535</f>
        <v>54411363.840000004</v>
      </c>
      <c r="D1547" s="1409">
        <f>D1546+D1541+D1535</f>
        <v>36274242.550000004</v>
      </c>
      <c r="E1547" s="1399">
        <f>E1535+E1541+E1546</f>
        <v>63</v>
      </c>
      <c r="F1547" s="1338">
        <f>F1546+F1541+F1535</f>
        <v>57131932.050000004</v>
      </c>
    </row>
    <row r="1548" spans="1:6" s="905" customFormat="1" ht="21" thickBot="1" x14ac:dyDescent="0.35">
      <c r="A1548" s="1154" t="s">
        <v>1569</v>
      </c>
      <c r="B1548" s="1155"/>
      <c r="C1548" s="1410">
        <v>2972646.24</v>
      </c>
      <c r="D1548" s="1400">
        <v>1981764.16</v>
      </c>
      <c r="E1548" s="1393">
        <v>1</v>
      </c>
      <c r="F1548" s="1411">
        <v>2972646.24</v>
      </c>
    </row>
    <row r="1549" spans="1:6" s="906" customFormat="1" ht="21" thickBot="1" x14ac:dyDescent="0.35">
      <c r="A1549" s="1066" t="s">
        <v>117</v>
      </c>
      <c r="B1549" s="1057"/>
      <c r="C1549" s="1412">
        <f>SUM(C1548:C1548)</f>
        <v>2972646.24</v>
      </c>
      <c r="D1549" s="1413">
        <f>SUM(D1548:D1548)</f>
        <v>1981764.16</v>
      </c>
      <c r="E1549" s="1399">
        <f>SUM(E1548:E1548)</f>
        <v>1</v>
      </c>
      <c r="F1549" s="1162">
        <f>SUM(F1548:F1548)</f>
        <v>2972646.24</v>
      </c>
    </row>
    <row r="1550" spans="1:6" s="905" customFormat="1" ht="21" thickBot="1" x14ac:dyDescent="0.35">
      <c r="A1550" s="1126" t="s">
        <v>2512</v>
      </c>
      <c r="B1550" s="1057"/>
      <c r="C1550" s="1397">
        <f>SUM(C1547,C1549)</f>
        <v>57384010.080000006</v>
      </c>
      <c r="D1550" s="1409">
        <f>SUM(D1547,D1549)</f>
        <v>38256006.710000001</v>
      </c>
      <c r="E1550" s="1414">
        <f>SUM(E1547,E1549)</f>
        <v>64</v>
      </c>
      <c r="F1550" s="1338">
        <f>SUM(F1547,F1549)</f>
        <v>60104578.290000007</v>
      </c>
    </row>
    <row r="1551" spans="1:6" s="924" customFormat="1" x14ac:dyDescent="0.2">
      <c r="B1551" s="983"/>
      <c r="C1551" s="1290"/>
      <c r="D1551" s="985"/>
      <c r="E1551" s="1290"/>
      <c r="F1551" s="985"/>
    </row>
    <row r="1552" spans="1:6" x14ac:dyDescent="0.2">
      <c r="A1552" s="3545" t="s">
        <v>183</v>
      </c>
      <c r="B1552" s="3545"/>
      <c r="C1552" s="3545"/>
      <c r="D1552" s="3545"/>
      <c r="E1552" s="3545"/>
      <c r="F1552" s="3545"/>
    </row>
    <row r="1553" spans="1:6" ht="21" thickBot="1" x14ac:dyDescent="0.25">
      <c r="A1553" s="3546" t="s">
        <v>1057</v>
      </c>
      <c r="B1553" s="3546"/>
      <c r="C1553" s="3546"/>
      <c r="D1553" s="3546"/>
      <c r="E1553" s="3546"/>
      <c r="F1553" s="3546"/>
    </row>
    <row r="1554" spans="1:6" ht="41.25" thickBot="1" x14ac:dyDescent="0.25">
      <c r="A1554" s="920" t="s">
        <v>185</v>
      </c>
      <c r="B1554" s="921" t="s">
        <v>186</v>
      </c>
      <c r="C1554" s="922" t="s">
        <v>564</v>
      </c>
      <c r="D1554" s="923" t="s">
        <v>1128</v>
      </c>
      <c r="E1554" s="1159" t="s">
        <v>1129</v>
      </c>
      <c r="F1554" s="923" t="s">
        <v>3096</v>
      </c>
    </row>
    <row r="1555" spans="1:6" s="988" customFormat="1" x14ac:dyDescent="0.2">
      <c r="A1555" s="925"/>
      <c r="B1555" s="932">
        <v>1</v>
      </c>
      <c r="C1555" s="927" t="s">
        <v>179</v>
      </c>
      <c r="D1555" s="989" t="s">
        <v>179</v>
      </c>
      <c r="E1555" s="1146" t="s">
        <v>179</v>
      </c>
      <c r="F1555" s="934" t="s">
        <v>179</v>
      </c>
    </row>
    <row r="1556" spans="1:6" x14ac:dyDescent="0.2">
      <c r="A1556" s="931"/>
      <c r="B1556" s="932">
        <v>2</v>
      </c>
      <c r="C1556" s="933"/>
      <c r="E1556" s="955"/>
      <c r="F1556" s="934"/>
    </row>
    <row r="1557" spans="1:6" x14ac:dyDescent="0.2">
      <c r="A1557" s="931"/>
      <c r="B1557" s="932">
        <v>3</v>
      </c>
      <c r="C1557" s="933"/>
      <c r="E1557" s="955"/>
      <c r="F1557" s="934"/>
    </row>
    <row r="1558" spans="1:6" x14ac:dyDescent="0.2">
      <c r="A1558" s="931"/>
      <c r="B1558" s="932">
        <v>4</v>
      </c>
      <c r="C1558" s="933"/>
      <c r="E1558" s="955"/>
      <c r="F1558" s="934"/>
    </row>
    <row r="1559" spans="1:6" x14ac:dyDescent="0.2">
      <c r="A1559" s="931"/>
      <c r="B1559" s="932">
        <v>5</v>
      </c>
      <c r="C1559" s="933"/>
      <c r="E1559" s="955"/>
      <c r="F1559" s="934"/>
    </row>
    <row r="1560" spans="1:6" ht="21" thickBot="1" x14ac:dyDescent="0.25">
      <c r="A1560" s="931"/>
      <c r="B1560" s="932">
        <v>6</v>
      </c>
      <c r="C1560" s="933"/>
      <c r="E1560" s="955"/>
      <c r="F1560" s="934"/>
    </row>
    <row r="1561" spans="1:6" ht="21" thickBot="1" x14ac:dyDescent="0.25">
      <c r="A1561" s="937" t="s">
        <v>187</v>
      </c>
      <c r="B1561" s="938"/>
      <c r="C1561" s="939">
        <f>SUM(C1555:C1560)</f>
        <v>0</v>
      </c>
      <c r="D1561" s="940">
        <f>SUM(D1555:D1560)</f>
        <v>0</v>
      </c>
      <c r="E1561" s="959">
        <f>SUM(E1555:E1560)</f>
        <v>0</v>
      </c>
      <c r="F1561" s="940">
        <f>SUM(F1555:F1560)</f>
        <v>0</v>
      </c>
    </row>
    <row r="1562" spans="1:6" x14ac:dyDescent="0.2">
      <c r="A1562" s="931"/>
      <c r="B1562" s="932">
        <v>7</v>
      </c>
      <c r="C1562" s="933"/>
      <c r="E1562" s="955"/>
      <c r="F1562" s="934"/>
    </row>
    <row r="1563" spans="1:6" x14ac:dyDescent="0.2">
      <c r="A1563" s="931"/>
      <c r="B1563" s="932">
        <v>8</v>
      </c>
      <c r="C1563" s="933"/>
      <c r="E1563" s="955"/>
      <c r="F1563" s="934"/>
    </row>
    <row r="1564" spans="1:6" x14ac:dyDescent="0.2">
      <c r="A1564" s="931"/>
      <c r="B1564" s="932">
        <v>9</v>
      </c>
      <c r="C1564" s="933"/>
      <c r="E1564" s="955"/>
      <c r="F1564" s="934"/>
    </row>
    <row r="1565" spans="1:6" x14ac:dyDescent="0.2">
      <c r="A1565" s="931"/>
      <c r="B1565" s="932">
        <v>10</v>
      </c>
      <c r="C1565" s="933"/>
      <c r="E1565" s="955"/>
      <c r="F1565" s="934"/>
    </row>
    <row r="1566" spans="1:6" ht="21" thickBot="1" x14ac:dyDescent="0.25">
      <c r="A1566" s="931"/>
      <c r="B1566" s="932">
        <v>12</v>
      </c>
      <c r="C1566" s="933"/>
      <c r="E1566" s="955"/>
      <c r="F1566" s="934"/>
    </row>
    <row r="1567" spans="1:6" ht="21" thickBot="1" x14ac:dyDescent="0.25">
      <c r="A1567" s="937" t="s">
        <v>188</v>
      </c>
      <c r="B1567" s="938"/>
      <c r="C1567" s="939">
        <f>SUM(C1562:C1566)</f>
        <v>0</v>
      </c>
      <c r="D1567" s="940">
        <f>SUM(D1562:D1566)</f>
        <v>0</v>
      </c>
      <c r="E1567" s="959">
        <f>SUM(E1562:E1566)</f>
        <v>0</v>
      </c>
      <c r="F1567" s="940">
        <f>SUM(F1562:F1566)</f>
        <v>0</v>
      </c>
    </row>
    <row r="1568" spans="1:6" x14ac:dyDescent="0.2">
      <c r="A1568" s="931"/>
      <c r="B1568" s="932">
        <v>13</v>
      </c>
      <c r="C1568" s="933"/>
      <c r="E1568" s="955"/>
      <c r="F1568" s="934"/>
    </row>
    <row r="1569" spans="1:6" x14ac:dyDescent="0.2">
      <c r="A1569" s="931"/>
      <c r="B1569" s="932">
        <v>14</v>
      </c>
      <c r="C1569" s="933"/>
      <c r="E1569" s="955"/>
      <c r="F1569" s="934"/>
    </row>
    <row r="1570" spans="1:6" x14ac:dyDescent="0.2">
      <c r="A1570" s="931"/>
      <c r="B1570" s="932">
        <v>15</v>
      </c>
      <c r="C1570" s="933"/>
      <c r="E1570" s="955"/>
      <c r="F1570" s="934"/>
    </row>
    <row r="1571" spans="1:6" ht="21" thickBot="1" x14ac:dyDescent="0.25">
      <c r="A1571" s="931"/>
      <c r="B1571" s="932">
        <v>16</v>
      </c>
      <c r="C1571" s="933"/>
      <c r="E1571" s="955"/>
      <c r="F1571" s="934"/>
    </row>
    <row r="1572" spans="1:6" ht="21" thickBot="1" x14ac:dyDescent="0.25">
      <c r="A1572" s="937" t="s">
        <v>189</v>
      </c>
      <c r="B1572" s="938"/>
      <c r="C1572" s="939">
        <f>SUM(C1568:C1571)</f>
        <v>0</v>
      </c>
      <c r="D1572" s="940">
        <f>SUM(D1568:D1571)</f>
        <v>0</v>
      </c>
      <c r="E1572" s="959">
        <f>SUM(E1568:E1571)</f>
        <v>0</v>
      </c>
      <c r="F1572" s="940">
        <f>SUM(F1568:F1571)</f>
        <v>0</v>
      </c>
    </row>
    <row r="1573" spans="1:6" ht="21" thickBot="1" x14ac:dyDescent="0.25">
      <c r="A1573" s="990" t="s">
        <v>190</v>
      </c>
      <c r="B1573" s="991"/>
      <c r="C1573" s="992">
        <f>SUM(C1572,C1567,C1561)</f>
        <v>0</v>
      </c>
      <c r="D1573" s="969">
        <f>SUM(D1572,D1567,D1561)</f>
        <v>0</v>
      </c>
      <c r="E1573" s="1147">
        <f>SUM(E1572,E1567,E1561)</f>
        <v>0</v>
      </c>
      <c r="F1573" s="969">
        <f>SUM(F1572,F1567,F1561)</f>
        <v>0</v>
      </c>
    </row>
    <row r="1574" spans="1:6" x14ac:dyDescent="0.2">
      <c r="A1574" s="919" t="s">
        <v>200</v>
      </c>
      <c r="C1574" s="1088">
        <v>1</v>
      </c>
      <c r="D1574" s="1089">
        <v>1250110</v>
      </c>
      <c r="E1574" s="1148">
        <v>1</v>
      </c>
      <c r="F1574" s="1149">
        <v>1250110</v>
      </c>
    </row>
    <row r="1575" spans="1:6" ht="21" thickBot="1" x14ac:dyDescent="0.25">
      <c r="A1575" s="919" t="s">
        <v>201</v>
      </c>
      <c r="C1575" s="1088"/>
      <c r="D1575" s="1089">
        <v>4479705</v>
      </c>
      <c r="E1575" s="1148"/>
      <c r="F1575" s="1149">
        <v>4479705</v>
      </c>
    </row>
    <row r="1576" spans="1:6" ht="21" thickBot="1" x14ac:dyDescent="0.25">
      <c r="A1576" s="950" t="s">
        <v>117</v>
      </c>
      <c r="B1576" s="938"/>
      <c r="C1576" s="968">
        <f>SUM(C1574:C1575)</f>
        <v>1</v>
      </c>
      <c r="D1576" s="940">
        <f>SUM(D1574:D1575)</f>
        <v>5729815</v>
      </c>
      <c r="E1576" s="962">
        <f>SUM(E1574:E1575)</f>
        <v>1</v>
      </c>
      <c r="F1576" s="940">
        <f>SUM(F1574:F1575)</f>
        <v>5729815</v>
      </c>
    </row>
    <row r="1577" spans="1:6" ht="21" thickBot="1" x14ac:dyDescent="0.25">
      <c r="A1577" s="950"/>
      <c r="B1577" s="938"/>
      <c r="C1577" s="968"/>
      <c r="D1577" s="940"/>
      <c r="E1577" s="962"/>
      <c r="F1577" s="940"/>
    </row>
    <row r="1578" spans="1:6" s="924" customFormat="1" ht="21" thickBot="1" x14ac:dyDescent="0.25">
      <c r="A1578" s="950" t="s">
        <v>2858</v>
      </c>
      <c r="B1578" s="938"/>
      <c r="C1578" s="968">
        <f>SUM(C1573,C1576)</f>
        <v>1</v>
      </c>
      <c r="D1578" s="940">
        <f>SUM(D1576)</f>
        <v>5729815</v>
      </c>
      <c r="E1578" s="962">
        <f>SUM(E1573,E1576)</f>
        <v>1</v>
      </c>
      <c r="F1578" s="940">
        <f>SUM(F1573,F1576)</f>
        <v>5729815</v>
      </c>
    </row>
    <row r="1579" spans="1:6" s="924" customFormat="1" x14ac:dyDescent="0.2">
      <c r="B1579" s="983"/>
      <c r="C1579" s="1290"/>
      <c r="D1579" s="985"/>
      <c r="E1579" s="1290"/>
      <c r="F1579" s="985"/>
    </row>
    <row r="1580" spans="1:6" x14ac:dyDescent="0.2">
      <c r="A1580" s="3545" t="s">
        <v>183</v>
      </c>
      <c r="B1580" s="3545"/>
      <c r="C1580" s="3545"/>
      <c r="D1580" s="3545"/>
      <c r="E1580" s="3545"/>
      <c r="F1580" s="3545"/>
    </row>
    <row r="1581" spans="1:6" ht="21" thickBot="1" x14ac:dyDescent="0.25">
      <c r="A1581" s="3546" t="s">
        <v>360</v>
      </c>
      <c r="B1581" s="3546"/>
      <c r="C1581" s="3546"/>
      <c r="D1581" s="3546"/>
      <c r="E1581" s="3546"/>
      <c r="F1581" s="3546"/>
    </row>
    <row r="1582" spans="1:6" s="988" customFormat="1" ht="41.25" thickBot="1" x14ac:dyDescent="0.25">
      <c r="A1582" s="920" t="s">
        <v>185</v>
      </c>
      <c r="B1582" s="921" t="s">
        <v>186</v>
      </c>
      <c r="C1582" s="922" t="s">
        <v>564</v>
      </c>
      <c r="D1582" s="923" t="s">
        <v>1128</v>
      </c>
      <c r="E1582" s="922" t="s">
        <v>1129</v>
      </c>
      <c r="F1582" s="923" t="s">
        <v>3096</v>
      </c>
    </row>
    <row r="1583" spans="1:6" x14ac:dyDescent="0.3">
      <c r="A1583" s="925"/>
      <c r="B1583" s="954">
        <v>1</v>
      </c>
      <c r="C1583" s="927">
        <v>0</v>
      </c>
      <c r="D1583" s="978" t="s">
        <v>179</v>
      </c>
      <c r="E1583" s="929">
        <v>0</v>
      </c>
      <c r="F1583" s="1160" t="s">
        <v>130</v>
      </c>
    </row>
    <row r="1584" spans="1:6" x14ac:dyDescent="0.3">
      <c r="A1584" s="931"/>
      <c r="B1584" s="954">
        <v>2</v>
      </c>
      <c r="C1584" s="933">
        <v>3</v>
      </c>
      <c r="D1584" s="978">
        <v>913580</v>
      </c>
      <c r="E1584" s="935">
        <v>0</v>
      </c>
      <c r="F1584" s="1160" t="s">
        <v>130</v>
      </c>
    </row>
    <row r="1585" spans="1:6" x14ac:dyDescent="0.3">
      <c r="A1585" s="931"/>
      <c r="B1585" s="954">
        <v>3</v>
      </c>
      <c r="C1585" s="933">
        <v>2</v>
      </c>
      <c r="D1585" s="978">
        <v>658455</v>
      </c>
      <c r="E1585" s="935">
        <v>0</v>
      </c>
      <c r="F1585" s="1160" t="s">
        <v>130</v>
      </c>
    </row>
    <row r="1586" spans="1:6" x14ac:dyDescent="0.3">
      <c r="A1586" s="931"/>
      <c r="B1586" s="954">
        <v>4</v>
      </c>
      <c r="C1586" s="933">
        <v>1</v>
      </c>
      <c r="D1586" s="978">
        <v>359110</v>
      </c>
      <c r="E1586" s="935">
        <v>2</v>
      </c>
      <c r="F1586" s="1160">
        <v>770400</v>
      </c>
    </row>
    <row r="1587" spans="1:6" x14ac:dyDescent="0.3">
      <c r="A1587" s="931"/>
      <c r="B1587" s="954">
        <v>5</v>
      </c>
      <c r="C1587" s="933">
        <v>1</v>
      </c>
      <c r="D1587" s="978">
        <v>396465</v>
      </c>
      <c r="E1587" s="935">
        <v>1</v>
      </c>
      <c r="F1587" s="1160">
        <v>439065</v>
      </c>
    </row>
    <row r="1588" spans="1:6" ht="21" thickBot="1" x14ac:dyDescent="0.35">
      <c r="A1588" s="931"/>
      <c r="B1588" s="954">
        <v>6</v>
      </c>
      <c r="C1588" s="933">
        <v>2</v>
      </c>
      <c r="D1588" s="978">
        <v>962040</v>
      </c>
      <c r="E1588" s="935">
        <v>2</v>
      </c>
      <c r="F1588" s="1160">
        <v>996870</v>
      </c>
    </row>
    <row r="1589" spans="1:6" ht="21" thickBot="1" x14ac:dyDescent="0.35">
      <c r="A1589" s="937" t="s">
        <v>351</v>
      </c>
      <c r="B1589" s="938"/>
      <c r="C1589" s="968">
        <f>SUM(C1583:C1588)</f>
        <v>9</v>
      </c>
      <c r="D1589" s="940">
        <f>SUM(D1583:D1588)</f>
        <v>3289650</v>
      </c>
      <c r="E1589" s="1161">
        <v>5</v>
      </c>
      <c r="F1589" s="1162">
        <f>SUM(F1583:F1588)</f>
        <v>2206335</v>
      </c>
    </row>
    <row r="1590" spans="1:6" x14ac:dyDescent="0.3">
      <c r="A1590" s="931"/>
      <c r="B1590" s="954">
        <v>7</v>
      </c>
      <c r="C1590" s="933">
        <v>3</v>
      </c>
      <c r="D1590" s="978">
        <v>1797015</v>
      </c>
      <c r="E1590" s="935">
        <v>2</v>
      </c>
      <c r="F1590" s="1160">
        <v>1192250</v>
      </c>
    </row>
    <row r="1591" spans="1:6" x14ac:dyDescent="0.3">
      <c r="A1591" s="931"/>
      <c r="B1591" s="954">
        <v>8</v>
      </c>
      <c r="C1591" s="933">
        <v>2</v>
      </c>
      <c r="D1591" s="978">
        <v>1550100</v>
      </c>
      <c r="E1591" s="935">
        <v>2</v>
      </c>
      <c r="F1591" s="1160">
        <v>1586160</v>
      </c>
    </row>
    <row r="1592" spans="1:6" x14ac:dyDescent="0.3">
      <c r="A1592" s="931"/>
      <c r="B1592" s="954">
        <v>9</v>
      </c>
      <c r="C1592" s="933">
        <v>3</v>
      </c>
      <c r="D1592" s="978">
        <v>2552350</v>
      </c>
      <c r="E1592" s="935">
        <v>3</v>
      </c>
      <c r="F1592" s="1160">
        <v>2657210</v>
      </c>
    </row>
    <row r="1593" spans="1:6" x14ac:dyDescent="0.3">
      <c r="A1593" s="931"/>
      <c r="B1593" s="954">
        <v>10</v>
      </c>
      <c r="C1593" s="933">
        <v>3</v>
      </c>
      <c r="D1593" s="978">
        <v>3160285</v>
      </c>
      <c r="E1593" s="935">
        <v>3</v>
      </c>
      <c r="F1593" s="1160">
        <v>2934795</v>
      </c>
    </row>
    <row r="1594" spans="1:6" ht="21" thickBot="1" x14ac:dyDescent="0.35">
      <c r="A1594" s="931"/>
      <c r="B1594" s="954">
        <v>12</v>
      </c>
      <c r="C1594" s="933">
        <v>2</v>
      </c>
      <c r="D1594" s="978">
        <v>2284800</v>
      </c>
      <c r="E1594" s="935">
        <v>2</v>
      </c>
      <c r="F1594" s="1160">
        <v>2357080</v>
      </c>
    </row>
    <row r="1595" spans="1:6" ht="21" thickBot="1" x14ac:dyDescent="0.35">
      <c r="A1595" s="937" t="s">
        <v>352</v>
      </c>
      <c r="B1595" s="938"/>
      <c r="C1595" s="968">
        <f>SUM(C1590:C1594)</f>
        <v>13</v>
      </c>
      <c r="D1595" s="940">
        <f>SUM(D1590:D1594)</f>
        <v>11344550</v>
      </c>
      <c r="E1595" s="1161">
        <f t="shared" ref="E1595" si="10">SUM(E1590:E1594)</f>
        <v>12</v>
      </c>
      <c r="F1595" s="1162">
        <f>SUM(F1590:F1594)</f>
        <v>10727495</v>
      </c>
    </row>
    <row r="1596" spans="1:6" x14ac:dyDescent="0.3">
      <c r="A1596" s="931"/>
      <c r="B1596" s="954">
        <v>13</v>
      </c>
      <c r="C1596" s="933">
        <v>2</v>
      </c>
      <c r="D1596" s="978">
        <v>2558575</v>
      </c>
      <c r="E1596" s="935">
        <v>2</v>
      </c>
      <c r="F1596" s="1160">
        <v>2394175</v>
      </c>
    </row>
    <row r="1597" spans="1:6" x14ac:dyDescent="0.3">
      <c r="A1597" s="931"/>
      <c r="B1597" s="954">
        <v>14</v>
      </c>
      <c r="C1597" s="933">
        <v>3</v>
      </c>
      <c r="D1597" s="978">
        <v>4458840</v>
      </c>
      <c r="E1597" s="935">
        <v>3</v>
      </c>
      <c r="F1597" s="1160">
        <v>4246535</v>
      </c>
    </row>
    <row r="1598" spans="1:6" x14ac:dyDescent="0.3">
      <c r="A1598" s="931"/>
      <c r="B1598" s="954">
        <v>15</v>
      </c>
      <c r="C1598" s="933">
        <v>3</v>
      </c>
      <c r="D1598" s="978">
        <v>4555135</v>
      </c>
      <c r="E1598" s="935">
        <v>1</v>
      </c>
      <c r="F1598" s="1160">
        <v>1636635</v>
      </c>
    </row>
    <row r="1599" spans="1:6" ht="21" thickBot="1" x14ac:dyDescent="0.35">
      <c r="A1599" s="931"/>
      <c r="B1599" s="954">
        <v>16</v>
      </c>
      <c r="C1599" s="933">
        <v>1</v>
      </c>
      <c r="D1599" s="978">
        <v>2234130</v>
      </c>
      <c r="E1599" s="935">
        <v>0</v>
      </c>
      <c r="F1599" s="1160" t="s">
        <v>130</v>
      </c>
    </row>
    <row r="1600" spans="1:6" ht="21" thickBot="1" x14ac:dyDescent="0.35">
      <c r="A1600" s="937" t="s">
        <v>353</v>
      </c>
      <c r="B1600" s="938"/>
      <c r="C1600" s="968">
        <f>SUM(C1596:C1599)</f>
        <v>9</v>
      </c>
      <c r="D1600" s="940">
        <f>SUM(D1596:D1599)</f>
        <v>13806680</v>
      </c>
      <c r="E1600" s="1161">
        <f t="shared" ref="E1600" si="11">SUM(E1596:E1599)</f>
        <v>6</v>
      </c>
      <c r="F1600" s="1162">
        <f>SUM(F1596:F1599)</f>
        <v>8277345</v>
      </c>
    </row>
    <row r="1601" spans="1:6" ht="21" thickBot="1" x14ac:dyDescent="0.35">
      <c r="A1601" s="990" t="s">
        <v>354</v>
      </c>
      <c r="B1601" s="991"/>
      <c r="C1601" s="939">
        <f>SUM(C1600,C1595,C1589)</f>
        <v>31</v>
      </c>
      <c r="D1601" s="940">
        <f>SUM(D1600,D1595,D1589)</f>
        <v>28440880</v>
      </c>
      <c r="E1601" s="1161">
        <f t="shared" ref="E1601" si="12">SUM(E1600,E1595,E1589)</f>
        <v>23</v>
      </c>
      <c r="F1601" s="1162">
        <f>SUM(F1600,F1595,F1589)</f>
        <v>21211175</v>
      </c>
    </row>
    <row r="1602" spans="1:6" x14ac:dyDescent="0.3">
      <c r="A1602" s="964" t="s">
        <v>361</v>
      </c>
      <c r="B1602" s="954"/>
      <c r="C1602" s="933">
        <v>1</v>
      </c>
      <c r="D1602" s="978">
        <v>9709335</v>
      </c>
      <c r="E1602" s="935">
        <v>1</v>
      </c>
      <c r="F1602" s="1160">
        <v>9709335</v>
      </c>
    </row>
    <row r="1603" spans="1:6" ht="21" thickBot="1" x14ac:dyDescent="0.35">
      <c r="A1603" s="964" t="s">
        <v>362</v>
      </c>
      <c r="B1603" s="954"/>
      <c r="C1603" s="933"/>
      <c r="D1603" s="978">
        <v>3027560</v>
      </c>
      <c r="E1603" s="935"/>
      <c r="F1603" s="1160">
        <v>3027560</v>
      </c>
    </row>
    <row r="1604" spans="1:6" ht="21" thickBot="1" x14ac:dyDescent="0.35">
      <c r="A1604" s="950" t="s">
        <v>737</v>
      </c>
      <c r="B1604" s="1299"/>
      <c r="C1604" s="1078"/>
      <c r="D1604" s="1081">
        <f>SUM(D1601:D1603)</f>
        <v>41177775</v>
      </c>
      <c r="E1604" s="1161">
        <f t="shared" ref="E1604" si="13">SUM(E1601:E1603)</f>
        <v>24</v>
      </c>
      <c r="F1604" s="1162">
        <f>SUM(F1601:F1603)</f>
        <v>33948070</v>
      </c>
    </row>
    <row r="1605" spans="1:6" x14ac:dyDescent="0.3">
      <c r="A1605" s="964" t="s">
        <v>776</v>
      </c>
      <c r="B1605" s="954"/>
      <c r="C1605" s="933">
        <v>4</v>
      </c>
      <c r="D1605" s="978">
        <v>5000440</v>
      </c>
      <c r="E1605" s="935">
        <v>4</v>
      </c>
      <c r="F1605" s="1160">
        <v>5000440</v>
      </c>
    </row>
    <row r="1606" spans="1:6" ht="21" thickBot="1" x14ac:dyDescent="0.35">
      <c r="A1606" s="964" t="s">
        <v>777</v>
      </c>
      <c r="B1606" s="954"/>
      <c r="C1606" s="933"/>
      <c r="D1606" s="978">
        <v>23132480</v>
      </c>
      <c r="E1606" s="935"/>
      <c r="F1606" s="1160">
        <v>23132480</v>
      </c>
    </row>
    <row r="1607" spans="1:6" s="924" customFormat="1" ht="21" thickBot="1" x14ac:dyDescent="0.35">
      <c r="A1607" s="950" t="s">
        <v>737</v>
      </c>
      <c r="B1607" s="938"/>
      <c r="C1607" s="939">
        <f>SUM(C1605:C1606)</f>
        <v>4</v>
      </c>
      <c r="D1607" s="940">
        <f>SUM(D1605:D1606)</f>
        <v>28132920</v>
      </c>
      <c r="E1607" s="1161">
        <f t="shared" ref="E1607" si="14">SUM(E1605:E1606)</f>
        <v>4</v>
      </c>
      <c r="F1607" s="1162">
        <f>SUM(F1605:F1606)</f>
        <v>28132920</v>
      </c>
    </row>
    <row r="1608" spans="1:6" ht="21" thickBot="1" x14ac:dyDescent="0.35">
      <c r="A1608" s="950" t="s">
        <v>363</v>
      </c>
      <c r="B1608" s="938"/>
      <c r="C1608" s="939">
        <f>SUM(C1601,C1607)</f>
        <v>35</v>
      </c>
      <c r="D1608" s="940">
        <f>SUM(D1604,D1607)</f>
        <v>69310695</v>
      </c>
      <c r="E1608" s="1161">
        <f t="shared" ref="E1608" si="15">SUM(E1604,E1607)</f>
        <v>28</v>
      </c>
      <c r="F1608" s="1162">
        <f>SUM(F1604,F1607)</f>
        <v>62080990</v>
      </c>
    </row>
    <row r="1609" spans="1:6" x14ac:dyDescent="0.2">
      <c r="A1609" s="3545"/>
      <c r="B1609" s="3545"/>
      <c r="C1609" s="3545"/>
      <c r="D1609" s="3545"/>
      <c r="E1609" s="3545"/>
      <c r="F1609" s="3545"/>
    </row>
    <row r="1610" spans="1:6" x14ac:dyDescent="0.2">
      <c r="A1610" s="3545" t="s">
        <v>183</v>
      </c>
      <c r="B1610" s="3545"/>
      <c r="C1610" s="3545"/>
      <c r="D1610" s="3545"/>
      <c r="E1610" s="3545"/>
      <c r="F1610" s="3545"/>
    </row>
    <row r="1611" spans="1:6" ht="21" thickBot="1" x14ac:dyDescent="0.25">
      <c r="A1611" s="3546" t="s">
        <v>364</v>
      </c>
      <c r="B1611" s="3546"/>
      <c r="C1611" s="3546"/>
      <c r="D1611" s="3546"/>
      <c r="E1611" s="3546"/>
      <c r="F1611" s="3546"/>
    </row>
    <row r="1612" spans="1:6" s="988" customFormat="1" ht="41.25" thickBot="1" x14ac:dyDescent="0.25">
      <c r="A1612" s="920" t="s">
        <v>185</v>
      </c>
      <c r="B1612" s="921" t="s">
        <v>186</v>
      </c>
      <c r="C1612" s="922" t="s">
        <v>564</v>
      </c>
      <c r="D1612" s="923" t="s">
        <v>1128</v>
      </c>
      <c r="E1612" s="922" t="s">
        <v>1129</v>
      </c>
      <c r="F1612" s="923" t="s">
        <v>3096</v>
      </c>
    </row>
    <row r="1613" spans="1:6" x14ac:dyDescent="0.3">
      <c r="A1613" s="925"/>
      <c r="B1613" s="954">
        <v>1</v>
      </c>
      <c r="C1613" s="927" t="s">
        <v>179</v>
      </c>
      <c r="D1613" s="978" t="s">
        <v>130</v>
      </c>
      <c r="E1613" s="929">
        <v>13</v>
      </c>
      <c r="F1613" s="1160">
        <v>3713350</v>
      </c>
    </row>
    <row r="1614" spans="1:6" x14ac:dyDescent="0.3">
      <c r="A1614" s="931"/>
      <c r="B1614" s="954">
        <v>2</v>
      </c>
      <c r="C1614" s="933">
        <v>14</v>
      </c>
      <c r="D1614" s="978">
        <v>6302750</v>
      </c>
      <c r="E1614" s="935">
        <v>5</v>
      </c>
      <c r="F1614" s="1160">
        <v>6302750</v>
      </c>
    </row>
    <row r="1615" spans="1:6" x14ac:dyDescent="0.3">
      <c r="A1615" s="931"/>
      <c r="B1615" s="954">
        <v>3</v>
      </c>
      <c r="C1615" s="933">
        <v>1</v>
      </c>
      <c r="D1615" s="978">
        <v>293780</v>
      </c>
      <c r="E1615" s="935">
        <v>1</v>
      </c>
      <c r="F1615" s="1160">
        <v>293780</v>
      </c>
    </row>
    <row r="1616" spans="1:6" x14ac:dyDescent="0.3">
      <c r="A1616" s="931"/>
      <c r="B1616" s="954">
        <v>4</v>
      </c>
      <c r="C1616" s="933">
        <v>8</v>
      </c>
      <c r="D1616" s="978">
        <v>2515630</v>
      </c>
      <c r="E1616" s="935">
        <v>8</v>
      </c>
      <c r="F1616" s="1160">
        <v>2515630</v>
      </c>
    </row>
    <row r="1617" spans="1:6" x14ac:dyDescent="0.3">
      <c r="A1617" s="931"/>
      <c r="B1617" s="954">
        <v>5</v>
      </c>
      <c r="C1617" s="933">
        <v>4</v>
      </c>
      <c r="D1617" s="978">
        <v>1374240</v>
      </c>
      <c r="E1617" s="935">
        <v>4</v>
      </c>
      <c r="F1617" s="1160">
        <v>1374240</v>
      </c>
    </row>
    <row r="1618" spans="1:6" ht="21" thickBot="1" x14ac:dyDescent="0.35">
      <c r="A1618" s="931"/>
      <c r="B1618" s="954">
        <v>6</v>
      </c>
      <c r="C1618" s="933">
        <v>4</v>
      </c>
      <c r="D1618" s="978">
        <v>3165400</v>
      </c>
      <c r="E1618" s="935">
        <v>6</v>
      </c>
      <c r="F1618" s="1160">
        <v>3248100</v>
      </c>
    </row>
    <row r="1619" spans="1:6" ht="21" thickBot="1" x14ac:dyDescent="0.35">
      <c r="A1619" s="937" t="s">
        <v>351</v>
      </c>
      <c r="B1619" s="938"/>
      <c r="C1619" s="968">
        <f>SUM(C1613:C1618)</f>
        <v>31</v>
      </c>
      <c r="D1619" s="940">
        <f>SUM(D1613:D1618)</f>
        <v>13651800</v>
      </c>
      <c r="E1619" s="1161">
        <f t="shared" ref="E1619" si="16">SUM(E1613:E1618)</f>
        <v>37</v>
      </c>
      <c r="F1619" s="1162">
        <f>SUM(F1613:F1618)</f>
        <v>17447850</v>
      </c>
    </row>
    <row r="1620" spans="1:6" x14ac:dyDescent="0.3">
      <c r="A1620" s="931"/>
      <c r="B1620" s="954">
        <v>7</v>
      </c>
      <c r="C1620" s="933">
        <v>10</v>
      </c>
      <c r="D1620" s="978">
        <v>5589885</v>
      </c>
      <c r="E1620" s="935">
        <v>7</v>
      </c>
      <c r="F1620" s="1160">
        <v>6288620</v>
      </c>
    </row>
    <row r="1621" spans="1:6" x14ac:dyDescent="0.3">
      <c r="A1621" s="931"/>
      <c r="B1621" s="954">
        <v>8</v>
      </c>
      <c r="C1621" s="933">
        <v>5</v>
      </c>
      <c r="D1621" s="978">
        <v>3538000</v>
      </c>
      <c r="E1621" s="935">
        <v>2</v>
      </c>
      <c r="F1621" s="1160">
        <v>3538000</v>
      </c>
    </row>
    <row r="1622" spans="1:6" x14ac:dyDescent="0.3">
      <c r="A1622" s="931"/>
      <c r="B1622" s="954">
        <v>9</v>
      </c>
      <c r="C1622" s="933">
        <v>14</v>
      </c>
      <c r="D1622" s="978">
        <v>11652320</v>
      </c>
      <c r="E1622" s="935">
        <v>7</v>
      </c>
      <c r="F1622" s="1160">
        <v>11652320</v>
      </c>
    </row>
    <row r="1623" spans="1:6" x14ac:dyDescent="0.3">
      <c r="A1623" s="931"/>
      <c r="B1623" s="954">
        <v>10</v>
      </c>
      <c r="C1623" s="933">
        <v>15</v>
      </c>
      <c r="D1623" s="978">
        <v>12452830</v>
      </c>
      <c r="E1623" s="935">
        <v>15</v>
      </c>
      <c r="F1623" s="1160">
        <v>12452830</v>
      </c>
    </row>
    <row r="1624" spans="1:6" ht="21" thickBot="1" x14ac:dyDescent="0.35">
      <c r="A1624" s="931"/>
      <c r="B1624" s="954">
        <v>12</v>
      </c>
      <c r="C1624" s="933">
        <v>13</v>
      </c>
      <c r="D1624" s="978">
        <v>11763210</v>
      </c>
      <c r="E1624" s="935">
        <v>13</v>
      </c>
      <c r="F1624" s="1160">
        <v>11763210</v>
      </c>
    </row>
    <row r="1625" spans="1:6" ht="21" thickBot="1" x14ac:dyDescent="0.35">
      <c r="A1625" s="937" t="s">
        <v>352</v>
      </c>
      <c r="B1625" s="938"/>
      <c r="C1625" s="968">
        <f>SUM(C1620:C1624)</f>
        <v>57</v>
      </c>
      <c r="D1625" s="940">
        <f>SUM(D1620:D1624)</f>
        <v>44996245</v>
      </c>
      <c r="E1625" s="1161">
        <f t="shared" ref="E1625" si="17">SUM(E1620:E1624)</f>
        <v>44</v>
      </c>
      <c r="F1625" s="1162">
        <f>SUM(F1620:F1624)</f>
        <v>45694980</v>
      </c>
    </row>
    <row r="1626" spans="1:6" x14ac:dyDescent="0.3">
      <c r="A1626" s="931"/>
      <c r="B1626" s="954">
        <v>13</v>
      </c>
      <c r="C1626" s="933">
        <v>5</v>
      </c>
      <c r="D1626" s="978">
        <v>6086585</v>
      </c>
      <c r="E1626" s="935">
        <v>5</v>
      </c>
      <c r="F1626" s="1160">
        <v>6086585</v>
      </c>
    </row>
    <row r="1627" spans="1:6" x14ac:dyDescent="0.3">
      <c r="A1627" s="931"/>
      <c r="B1627" s="954">
        <v>14</v>
      </c>
      <c r="C1627" s="933">
        <v>18</v>
      </c>
      <c r="D1627" s="978">
        <v>15105200</v>
      </c>
      <c r="E1627" s="935">
        <v>18</v>
      </c>
      <c r="F1627" s="1160">
        <v>15105200</v>
      </c>
    </row>
    <row r="1628" spans="1:6" x14ac:dyDescent="0.3">
      <c r="A1628" s="931"/>
      <c r="B1628" s="954">
        <v>15</v>
      </c>
      <c r="C1628" s="933">
        <v>7</v>
      </c>
      <c r="D1628" s="978">
        <v>11142060</v>
      </c>
      <c r="E1628" s="935">
        <v>7</v>
      </c>
      <c r="F1628" s="1160">
        <v>11142060</v>
      </c>
    </row>
    <row r="1629" spans="1:6" x14ac:dyDescent="0.3">
      <c r="A1629" s="931"/>
      <c r="B1629" s="954">
        <v>16</v>
      </c>
      <c r="C1629" s="933">
        <v>10</v>
      </c>
      <c r="D1629" s="978">
        <v>19369005</v>
      </c>
      <c r="E1629" s="935">
        <v>6</v>
      </c>
      <c r="F1629" s="1160">
        <v>19369005</v>
      </c>
    </row>
    <row r="1630" spans="1:6" ht="21" thickBot="1" x14ac:dyDescent="0.35">
      <c r="A1630" s="931"/>
      <c r="B1630" s="954">
        <v>17</v>
      </c>
      <c r="C1630" s="933">
        <v>5</v>
      </c>
      <c r="D1630" s="978">
        <v>19423545</v>
      </c>
      <c r="E1630" s="935">
        <v>5</v>
      </c>
      <c r="F1630" s="1160">
        <v>19423545</v>
      </c>
    </row>
    <row r="1631" spans="1:6" ht="21" thickBot="1" x14ac:dyDescent="0.35">
      <c r="A1631" s="937" t="s">
        <v>353</v>
      </c>
      <c r="B1631" s="938"/>
      <c r="C1631" s="968">
        <f>SUM(C1626:C1630)</f>
        <v>45</v>
      </c>
      <c r="D1631" s="940">
        <f>SUM(D1626:D1630)</f>
        <v>71126395</v>
      </c>
      <c r="E1631" s="1161">
        <f t="shared" ref="E1631" si="18">SUM(E1626:E1630)</f>
        <v>41</v>
      </c>
      <c r="F1631" s="1162">
        <f>SUM(F1626:F1630)</f>
        <v>71126395</v>
      </c>
    </row>
    <row r="1632" spans="1:6" ht="21" thickBot="1" x14ac:dyDescent="0.35">
      <c r="A1632" s="990" t="s">
        <v>354</v>
      </c>
      <c r="B1632" s="991"/>
      <c r="C1632" s="992">
        <f>SUM(C1631,C1625,C1619)</f>
        <v>133</v>
      </c>
      <c r="D1632" s="969">
        <f>SUM(D1631,D1625,D1619)</f>
        <v>129774440</v>
      </c>
      <c r="E1632" s="1415">
        <v>122</v>
      </c>
      <c r="F1632" s="1387">
        <v>134133819</v>
      </c>
    </row>
    <row r="1633" spans="1:6" x14ac:dyDescent="0.3">
      <c r="A1633" s="964" t="s">
        <v>778</v>
      </c>
      <c r="B1633" s="954"/>
      <c r="C1633" s="933">
        <v>1</v>
      </c>
      <c r="D1633" s="978">
        <v>1337225</v>
      </c>
      <c r="E1633" s="935">
        <v>1</v>
      </c>
      <c r="F1633" s="1391">
        <v>1337225</v>
      </c>
    </row>
    <row r="1634" spans="1:6" x14ac:dyDescent="0.3">
      <c r="A1634" s="964" t="s">
        <v>779</v>
      </c>
      <c r="B1634" s="954"/>
      <c r="C1634" s="933"/>
      <c r="D1634" s="978">
        <v>4479705</v>
      </c>
      <c r="E1634" s="935"/>
      <c r="F1634" s="1160">
        <v>4479705</v>
      </c>
    </row>
    <row r="1635" spans="1:6" x14ac:dyDescent="0.3">
      <c r="A1635" s="964" t="s">
        <v>780</v>
      </c>
      <c r="B1635" s="954"/>
      <c r="C1635" s="933">
        <v>1</v>
      </c>
      <c r="D1635" s="978">
        <v>1247870</v>
      </c>
      <c r="E1635" s="935">
        <v>1</v>
      </c>
      <c r="F1635" s="1160" t="s">
        <v>1860</v>
      </c>
    </row>
    <row r="1636" spans="1:6" ht="21" thickBot="1" x14ac:dyDescent="0.35">
      <c r="A1636" s="964" t="s">
        <v>781</v>
      </c>
      <c r="B1636" s="954"/>
      <c r="C1636" s="933"/>
      <c r="D1636" s="978">
        <v>4180365</v>
      </c>
      <c r="E1636" s="935"/>
      <c r="F1636" s="1160" t="s">
        <v>1861</v>
      </c>
    </row>
    <row r="1637" spans="1:6" ht="21" thickBot="1" x14ac:dyDescent="0.35">
      <c r="A1637" s="950" t="s">
        <v>737</v>
      </c>
      <c r="B1637" s="938"/>
      <c r="C1637" s="968">
        <f>SUM(C1633:C1636)</f>
        <v>2</v>
      </c>
      <c r="D1637" s="940">
        <f>SUM(D1633:D1636)</f>
        <v>11245165</v>
      </c>
      <c r="E1637" s="1161">
        <f t="shared" ref="E1637" si="19">SUM(E1633:E1636)</f>
        <v>2</v>
      </c>
      <c r="F1637" s="1162">
        <v>11245165</v>
      </c>
    </row>
    <row r="1638" spans="1:6" ht="21" thickBot="1" x14ac:dyDescent="0.35">
      <c r="A1638" s="950" t="s">
        <v>365</v>
      </c>
      <c r="B1638" s="938"/>
      <c r="C1638" s="968">
        <f>SUM(C1632,C1637)</f>
        <v>135</v>
      </c>
      <c r="D1638" s="940">
        <f>SUM(D1632,D1637)</f>
        <v>141019605</v>
      </c>
      <c r="E1638" s="1161">
        <f t="shared" ref="E1638" si="20">SUM(E1632,E1637)</f>
        <v>124</v>
      </c>
      <c r="F1638" s="1162">
        <f>SUM(F1632,F1637)</f>
        <v>145378984</v>
      </c>
    </row>
    <row r="1639" spans="1:6" x14ac:dyDescent="0.2">
      <c r="A1639" s="3545"/>
      <c r="B1639" s="3545"/>
      <c r="C1639" s="3545"/>
      <c r="D1639" s="3545"/>
      <c r="E1639" s="3545"/>
      <c r="F1639" s="3545"/>
    </row>
    <row r="1640" spans="1:6" x14ac:dyDescent="0.2">
      <c r="A1640" s="3545" t="s">
        <v>183</v>
      </c>
      <c r="B1640" s="3545"/>
      <c r="C1640" s="3545"/>
      <c r="D1640" s="3545"/>
      <c r="E1640" s="3545"/>
      <c r="F1640" s="3545"/>
    </row>
    <row r="1641" spans="1:6" ht="21" thickBot="1" x14ac:dyDescent="0.25">
      <c r="A1641" s="3546" t="s">
        <v>366</v>
      </c>
      <c r="B1641" s="3546"/>
      <c r="C1641" s="3545"/>
      <c r="D1641" s="3545"/>
      <c r="E1641" s="3546"/>
      <c r="F1641" s="3546"/>
    </row>
    <row r="1642" spans="1:6" s="988" customFormat="1" ht="41.25" thickBot="1" x14ac:dyDescent="0.25">
      <c r="A1642" s="920" t="s">
        <v>185</v>
      </c>
      <c r="B1642" s="921" t="s">
        <v>186</v>
      </c>
      <c r="C1642" s="922" t="s">
        <v>564</v>
      </c>
      <c r="D1642" s="923" t="s">
        <v>1128</v>
      </c>
      <c r="E1642" s="922" t="s">
        <v>1129</v>
      </c>
      <c r="F1642" s="923" t="s">
        <v>3096</v>
      </c>
    </row>
    <row r="1643" spans="1:6" x14ac:dyDescent="0.3">
      <c r="A1643" s="925">
        <v>4331201</v>
      </c>
      <c r="B1643" s="954">
        <v>1</v>
      </c>
      <c r="C1643" s="927">
        <v>42</v>
      </c>
      <c r="D1643" s="978">
        <v>24930150</v>
      </c>
      <c r="E1643" s="929">
        <v>51</v>
      </c>
      <c r="F1643" s="1160">
        <v>34460670</v>
      </c>
    </row>
    <row r="1644" spans="1:6" x14ac:dyDescent="0.3">
      <c r="A1644" s="931"/>
      <c r="B1644" s="954">
        <v>2</v>
      </c>
      <c r="C1644" s="933">
        <v>167</v>
      </c>
      <c r="D1644" s="978">
        <v>66539050</v>
      </c>
      <c r="E1644" s="935">
        <v>208</v>
      </c>
      <c r="F1644" s="1160">
        <v>59266910</v>
      </c>
    </row>
    <row r="1645" spans="1:6" x14ac:dyDescent="0.3">
      <c r="A1645" s="931"/>
      <c r="B1645" s="954">
        <v>3</v>
      </c>
      <c r="C1645" s="933">
        <v>188</v>
      </c>
      <c r="D1645" s="978">
        <v>83641360</v>
      </c>
      <c r="E1645" s="935">
        <v>179</v>
      </c>
      <c r="F1645" s="1160">
        <v>82653630</v>
      </c>
    </row>
    <row r="1646" spans="1:6" x14ac:dyDescent="0.3">
      <c r="A1646" s="931"/>
      <c r="B1646" s="954">
        <v>4</v>
      </c>
      <c r="C1646" s="933">
        <v>148</v>
      </c>
      <c r="D1646" s="978">
        <v>74771105</v>
      </c>
      <c r="E1646" s="935">
        <v>138</v>
      </c>
      <c r="F1646" s="1160">
        <v>67033320</v>
      </c>
    </row>
    <row r="1647" spans="1:6" x14ac:dyDescent="0.3">
      <c r="A1647" s="931"/>
      <c r="B1647" s="954">
        <v>5</v>
      </c>
      <c r="C1647" s="933">
        <v>220</v>
      </c>
      <c r="D1647" s="978">
        <v>101303525</v>
      </c>
      <c r="E1647" s="935">
        <v>201</v>
      </c>
      <c r="F1647" s="1160">
        <v>91222585</v>
      </c>
    </row>
    <row r="1648" spans="1:6" ht="21" thickBot="1" x14ac:dyDescent="0.35">
      <c r="A1648" s="931"/>
      <c r="B1648" s="954">
        <v>6</v>
      </c>
      <c r="C1648" s="933">
        <v>483</v>
      </c>
      <c r="D1648" s="978">
        <v>199880630</v>
      </c>
      <c r="E1648" s="935">
        <v>471</v>
      </c>
      <c r="F1648" s="1160">
        <v>194933325</v>
      </c>
    </row>
    <row r="1649" spans="1:6" ht="21" thickBot="1" x14ac:dyDescent="0.35">
      <c r="A1649" s="937" t="s">
        <v>351</v>
      </c>
      <c r="B1649" s="938"/>
      <c r="C1649" s="968">
        <f>SUM(C1643:C1648)</f>
        <v>1248</v>
      </c>
      <c r="D1649" s="940">
        <f>SUM(D1643:D1648)</f>
        <v>551065820</v>
      </c>
      <c r="E1649" s="1161">
        <f t="shared" ref="E1649" si="21">SUM(E1643:E1648)</f>
        <v>1248</v>
      </c>
      <c r="F1649" s="1162">
        <f>SUM(F1643:F1648)</f>
        <v>529570440</v>
      </c>
    </row>
    <row r="1650" spans="1:6" x14ac:dyDescent="0.3">
      <c r="A1650" s="931"/>
      <c r="B1650" s="954">
        <v>7</v>
      </c>
      <c r="C1650" s="933">
        <v>164</v>
      </c>
      <c r="D1650" s="978">
        <v>128276620</v>
      </c>
      <c r="E1650" s="935">
        <v>266</v>
      </c>
      <c r="F1650" s="1160">
        <v>133254265</v>
      </c>
    </row>
    <row r="1651" spans="1:6" x14ac:dyDescent="0.3">
      <c r="A1651" s="931"/>
      <c r="B1651" s="954">
        <v>8</v>
      </c>
      <c r="C1651" s="933">
        <v>76</v>
      </c>
      <c r="D1651" s="978">
        <v>89359645</v>
      </c>
      <c r="E1651" s="935">
        <v>84</v>
      </c>
      <c r="F1651" s="1160">
        <v>56572080</v>
      </c>
    </row>
    <row r="1652" spans="1:6" x14ac:dyDescent="0.3">
      <c r="A1652" s="931"/>
      <c r="B1652" s="954">
        <v>9</v>
      </c>
      <c r="C1652" s="933">
        <v>57</v>
      </c>
      <c r="D1652" s="978">
        <v>98361500</v>
      </c>
      <c r="E1652" s="935">
        <v>39</v>
      </c>
      <c r="F1652" s="1160">
        <v>24456500</v>
      </c>
    </row>
    <row r="1653" spans="1:6" x14ac:dyDescent="0.3">
      <c r="A1653" s="931"/>
      <c r="B1653" s="954">
        <v>10</v>
      </c>
      <c r="C1653" s="933">
        <v>93</v>
      </c>
      <c r="D1653" s="978">
        <v>122314190</v>
      </c>
      <c r="E1653" s="935">
        <v>66</v>
      </c>
      <c r="F1653" s="1160">
        <v>54777350</v>
      </c>
    </row>
    <row r="1654" spans="1:6" ht="21" thickBot="1" x14ac:dyDescent="0.35">
      <c r="A1654" s="931"/>
      <c r="B1654" s="954">
        <v>12</v>
      </c>
      <c r="C1654" s="933">
        <v>46</v>
      </c>
      <c r="D1654" s="978">
        <v>99508035</v>
      </c>
      <c r="E1654" s="935">
        <v>54</v>
      </c>
      <c r="F1654" s="1160">
        <v>71755865</v>
      </c>
    </row>
    <row r="1655" spans="1:6" ht="21" thickBot="1" x14ac:dyDescent="0.35">
      <c r="A1655" s="937" t="s">
        <v>352</v>
      </c>
      <c r="B1655" s="938"/>
      <c r="C1655" s="968">
        <f>SUM(C1650:C1654)</f>
        <v>436</v>
      </c>
      <c r="D1655" s="940">
        <f>SUM(D1650:D1654)</f>
        <v>537819990</v>
      </c>
      <c r="E1655" s="1161">
        <f t="shared" ref="E1655" si="22">SUM(E1650:E1654)</f>
        <v>509</v>
      </c>
      <c r="F1655" s="1162">
        <f>SUM(F1650:F1654)</f>
        <v>340816060</v>
      </c>
    </row>
    <row r="1656" spans="1:6" x14ac:dyDescent="0.3">
      <c r="A1656" s="931"/>
      <c r="B1656" s="954">
        <v>13</v>
      </c>
      <c r="C1656" s="933">
        <v>89</v>
      </c>
      <c r="D1656" s="978">
        <v>114561425</v>
      </c>
      <c r="E1656" s="935">
        <v>39</v>
      </c>
      <c r="F1656" s="1160">
        <v>104640145</v>
      </c>
    </row>
    <row r="1657" spans="1:6" x14ac:dyDescent="0.3">
      <c r="A1657" s="931"/>
      <c r="B1657" s="954">
        <v>14</v>
      </c>
      <c r="C1657" s="933">
        <v>68</v>
      </c>
      <c r="D1657" s="978">
        <v>116017305</v>
      </c>
      <c r="E1657" s="935">
        <v>65</v>
      </c>
      <c r="F1657" s="1160">
        <v>72578280</v>
      </c>
    </row>
    <row r="1658" spans="1:6" x14ac:dyDescent="0.3">
      <c r="A1658" s="931"/>
      <c r="B1658" s="954">
        <v>15</v>
      </c>
      <c r="C1658" s="933">
        <v>44</v>
      </c>
      <c r="D1658" s="978">
        <v>64091030</v>
      </c>
      <c r="E1658" s="935">
        <v>24</v>
      </c>
      <c r="F1658" s="1160">
        <v>41821855</v>
      </c>
    </row>
    <row r="1659" spans="1:6" x14ac:dyDescent="0.3">
      <c r="A1659" s="931"/>
      <c r="B1659" s="954">
        <v>16</v>
      </c>
      <c r="C1659" s="933">
        <v>32</v>
      </c>
      <c r="D1659" s="978">
        <v>58552350</v>
      </c>
      <c r="E1659" s="935">
        <v>32</v>
      </c>
      <c r="F1659" s="1160">
        <v>60000395</v>
      </c>
    </row>
    <row r="1660" spans="1:6" ht="21" thickBot="1" x14ac:dyDescent="0.35">
      <c r="A1660" s="931"/>
      <c r="B1660" s="954">
        <v>17</v>
      </c>
      <c r="C1660" s="933">
        <v>3</v>
      </c>
      <c r="D1660" s="978">
        <v>13282330</v>
      </c>
      <c r="E1660" s="935">
        <v>3</v>
      </c>
      <c r="F1660" s="1416">
        <v>11873250</v>
      </c>
    </row>
    <row r="1661" spans="1:6" ht="21" thickBot="1" x14ac:dyDescent="0.35">
      <c r="A1661" s="937" t="s">
        <v>353</v>
      </c>
      <c r="B1661" s="938"/>
      <c r="C1661" s="968">
        <f>SUM(C1656:C1660)</f>
        <v>236</v>
      </c>
      <c r="D1661" s="940">
        <f>SUM(D1656:D1660)</f>
        <v>366504440</v>
      </c>
      <c r="E1661" s="1161">
        <f t="shared" ref="E1661" si="23">SUM(E1656:E1660)</f>
        <v>163</v>
      </c>
      <c r="F1661" s="1162">
        <f>SUM(F1656:F1660)</f>
        <v>290913925</v>
      </c>
    </row>
    <row r="1662" spans="1:6" ht="21" thickBot="1" x14ac:dyDescent="0.35">
      <c r="A1662" s="990" t="s">
        <v>354</v>
      </c>
      <c r="B1662" s="991"/>
      <c r="C1662" s="992">
        <f>SUM(C1661,C1655,C1649)</f>
        <v>1920</v>
      </c>
      <c r="D1662" s="969">
        <f>SUM(D1661,D1655,D1649)</f>
        <v>1455390250</v>
      </c>
      <c r="E1662" s="1415">
        <f t="shared" ref="E1662" si="24">SUM(E1661,E1655,E1649)</f>
        <v>1920</v>
      </c>
      <c r="F1662" s="1387">
        <f>SUM(F1661,F1655,F1649)</f>
        <v>1161300425</v>
      </c>
    </row>
    <row r="1663" spans="1:6" x14ac:dyDescent="0.3">
      <c r="A1663" s="964" t="s">
        <v>367</v>
      </c>
      <c r="B1663" s="954"/>
      <c r="C1663" s="933">
        <v>1</v>
      </c>
      <c r="D1663" s="978">
        <v>9709335</v>
      </c>
      <c r="E1663" s="935">
        <v>1</v>
      </c>
      <c r="F1663" s="1391">
        <v>9709335</v>
      </c>
    </row>
    <row r="1664" spans="1:6" ht="21" thickBot="1" x14ac:dyDescent="0.35">
      <c r="A1664" s="964" t="s">
        <v>368</v>
      </c>
      <c r="B1664" s="954"/>
      <c r="C1664" s="933"/>
      <c r="D1664" s="978">
        <v>2261485</v>
      </c>
      <c r="E1664" s="935"/>
      <c r="F1664" s="1160">
        <v>2261485</v>
      </c>
    </row>
    <row r="1665" spans="1:6" s="924" customFormat="1" ht="21" thickBot="1" x14ac:dyDescent="0.35">
      <c r="A1665" s="950" t="s">
        <v>737</v>
      </c>
      <c r="B1665" s="938"/>
      <c r="C1665" s="968">
        <f>SUM(C1663:C1664)</f>
        <v>1</v>
      </c>
      <c r="D1665" s="940">
        <f>SUM(D1663:D1664)</f>
        <v>11970820</v>
      </c>
      <c r="E1665" s="1161">
        <f t="shared" ref="E1665" si="25">SUM(E1663:E1664)</f>
        <v>1</v>
      </c>
      <c r="F1665" s="1162">
        <f>SUM(F1663:F1664)</f>
        <v>11970820</v>
      </c>
    </row>
    <row r="1666" spans="1:6" ht="21" thickBot="1" x14ac:dyDescent="0.35">
      <c r="A1666" s="950" t="s">
        <v>1144</v>
      </c>
      <c r="B1666" s="938"/>
      <c r="C1666" s="968">
        <f>SUM(C1662,C1665)</f>
        <v>1921</v>
      </c>
      <c r="D1666" s="940">
        <f>SUM(D1662,D1665)</f>
        <v>1467361070</v>
      </c>
      <c r="E1666" s="1161">
        <f t="shared" ref="E1666" si="26">SUM(E1662,E1665)</f>
        <v>1921</v>
      </c>
      <c r="F1666" s="1162">
        <f>SUM(F1662,F1665)</f>
        <v>1173271245</v>
      </c>
    </row>
    <row r="1667" spans="1:6" x14ac:dyDescent="0.2">
      <c r="A1667" s="3545"/>
      <c r="B1667" s="3545"/>
      <c r="C1667" s="3545"/>
      <c r="D1667" s="3545"/>
      <c r="E1667" s="3545"/>
      <c r="F1667" s="3545"/>
    </row>
    <row r="1668" spans="1:6" x14ac:dyDescent="0.2">
      <c r="A1668" s="3545" t="s">
        <v>183</v>
      </c>
      <c r="B1668" s="3545"/>
      <c r="C1668" s="3545"/>
      <c r="D1668" s="3545"/>
      <c r="E1668" s="3545"/>
      <c r="F1668" s="3545"/>
    </row>
    <row r="1669" spans="1:6" ht="21" thickBot="1" x14ac:dyDescent="0.25">
      <c r="A1669" s="3546" t="s">
        <v>369</v>
      </c>
      <c r="B1669" s="3546"/>
      <c r="C1669" s="3546"/>
      <c r="D1669" s="3546"/>
      <c r="E1669" s="3546"/>
      <c r="F1669" s="3546"/>
    </row>
    <row r="1670" spans="1:6" s="988" customFormat="1" ht="41.25" thickBot="1" x14ac:dyDescent="0.25">
      <c r="A1670" s="920" t="s">
        <v>185</v>
      </c>
      <c r="B1670" s="921" t="s">
        <v>186</v>
      </c>
      <c r="C1670" s="922" t="s">
        <v>564</v>
      </c>
      <c r="D1670" s="923" t="s">
        <v>1128</v>
      </c>
      <c r="E1670" s="922" t="s">
        <v>1129</v>
      </c>
      <c r="F1670" s="923" t="s">
        <v>3096</v>
      </c>
    </row>
    <row r="1671" spans="1:6" x14ac:dyDescent="0.3">
      <c r="A1671" s="925">
        <v>4331202</v>
      </c>
      <c r="B1671" s="954">
        <v>1</v>
      </c>
      <c r="C1671" s="927">
        <v>3</v>
      </c>
      <c r="D1671" s="928">
        <v>1004115</v>
      </c>
      <c r="E1671" s="929">
        <v>3</v>
      </c>
      <c r="F1671" s="1391">
        <v>1161300</v>
      </c>
    </row>
    <row r="1672" spans="1:6" x14ac:dyDescent="0.3">
      <c r="A1672" s="931"/>
      <c r="B1672" s="954">
        <v>2</v>
      </c>
      <c r="C1672" s="933">
        <v>8</v>
      </c>
      <c r="D1672" s="934">
        <v>2372245</v>
      </c>
      <c r="E1672" s="935">
        <v>9</v>
      </c>
      <c r="F1672" s="1160">
        <v>4479300</v>
      </c>
    </row>
    <row r="1673" spans="1:6" x14ac:dyDescent="0.3">
      <c r="A1673" s="931"/>
      <c r="B1673" s="954">
        <v>3</v>
      </c>
      <c r="C1673" s="933">
        <v>33</v>
      </c>
      <c r="D1673" s="934">
        <v>10379210</v>
      </c>
      <c r="E1673" s="935">
        <v>21</v>
      </c>
      <c r="F1673" s="1160">
        <v>6957846</v>
      </c>
    </row>
    <row r="1674" spans="1:6" x14ac:dyDescent="0.3">
      <c r="A1674" s="931"/>
      <c r="B1674" s="954">
        <v>4</v>
      </c>
      <c r="C1674" s="933">
        <v>24</v>
      </c>
      <c r="D1674" s="934">
        <v>8517410</v>
      </c>
      <c r="E1674" s="935">
        <v>38</v>
      </c>
      <c r="F1674" s="1160">
        <v>15902700</v>
      </c>
    </row>
    <row r="1675" spans="1:6" x14ac:dyDescent="0.3">
      <c r="A1675" s="931"/>
      <c r="B1675" s="954">
        <v>5</v>
      </c>
      <c r="C1675" s="933">
        <v>14</v>
      </c>
      <c r="D1675" s="934">
        <v>5080005</v>
      </c>
      <c r="E1675" s="935">
        <v>15</v>
      </c>
      <c r="F1675" s="1160">
        <v>7038900</v>
      </c>
    </row>
    <row r="1676" spans="1:6" ht="21" thickBot="1" x14ac:dyDescent="0.35">
      <c r="A1676" s="931"/>
      <c r="B1676" s="954">
        <v>6</v>
      </c>
      <c r="C1676" s="933">
        <v>22</v>
      </c>
      <c r="D1676" s="934">
        <v>10339075</v>
      </c>
      <c r="E1676" s="935">
        <v>26</v>
      </c>
      <c r="F1676" s="1160">
        <v>14819610</v>
      </c>
    </row>
    <row r="1677" spans="1:6" ht="21" thickBot="1" x14ac:dyDescent="0.35">
      <c r="A1677" s="937" t="s">
        <v>351</v>
      </c>
      <c r="B1677" s="938"/>
      <c r="C1677" s="968">
        <f>SUM(C1671:C1676)</f>
        <v>104</v>
      </c>
      <c r="D1677" s="940">
        <f>SUM(D1671:D1676)</f>
        <v>37692060</v>
      </c>
      <c r="E1677" s="1161">
        <f t="shared" ref="E1677" si="27">SUM(E1671:E1676)</f>
        <v>112</v>
      </c>
      <c r="F1677" s="1162">
        <f>SUM(F1671:F1676)</f>
        <v>50359656</v>
      </c>
    </row>
    <row r="1678" spans="1:6" x14ac:dyDescent="0.3">
      <c r="A1678" s="931"/>
      <c r="B1678" s="954">
        <v>7</v>
      </c>
      <c r="C1678" s="933">
        <v>17</v>
      </c>
      <c r="D1678" s="934">
        <v>11174045</v>
      </c>
      <c r="E1678" s="935">
        <v>30</v>
      </c>
      <c r="F1678" s="1160">
        <v>19068000</v>
      </c>
    </row>
    <row r="1679" spans="1:6" x14ac:dyDescent="0.3">
      <c r="A1679" s="931"/>
      <c r="B1679" s="954">
        <v>8</v>
      </c>
      <c r="C1679" s="933">
        <v>19</v>
      </c>
      <c r="D1679" s="934">
        <v>15793310</v>
      </c>
      <c r="E1679" s="935">
        <v>20</v>
      </c>
      <c r="F1679" s="1160">
        <v>13549752</v>
      </c>
    </row>
    <row r="1680" spans="1:6" x14ac:dyDescent="0.3">
      <c r="A1680" s="931"/>
      <c r="B1680" s="954">
        <v>9</v>
      </c>
      <c r="C1680" s="933">
        <v>13</v>
      </c>
      <c r="D1680" s="934">
        <v>12365730</v>
      </c>
      <c r="E1680" s="935">
        <v>11</v>
      </c>
      <c r="F1680" s="1160">
        <v>9222946.1280000005</v>
      </c>
    </row>
    <row r="1681" spans="1:6" x14ac:dyDescent="0.3">
      <c r="A1681" s="931"/>
      <c r="B1681" s="954">
        <v>10</v>
      </c>
      <c r="C1681" s="933">
        <v>5</v>
      </c>
      <c r="D1681" s="934">
        <v>5290265</v>
      </c>
      <c r="E1681" s="935">
        <v>4</v>
      </c>
      <c r="F1681" s="1160">
        <v>3825926.2079999996</v>
      </c>
    </row>
    <row r="1682" spans="1:6" ht="21" thickBot="1" x14ac:dyDescent="0.35">
      <c r="A1682" s="931"/>
      <c r="B1682" s="954">
        <v>12</v>
      </c>
      <c r="C1682" s="933">
        <v>7</v>
      </c>
      <c r="D1682" s="934">
        <v>8815605</v>
      </c>
      <c r="E1682" s="935">
        <v>7</v>
      </c>
      <c r="F1682" s="1160">
        <v>7830157.2479999997</v>
      </c>
    </row>
    <row r="1683" spans="1:6" ht="21" thickBot="1" x14ac:dyDescent="0.35">
      <c r="A1683" s="937" t="s">
        <v>352</v>
      </c>
      <c r="B1683" s="938"/>
      <c r="C1683" s="968">
        <f>SUM(C1678:C1682)</f>
        <v>61</v>
      </c>
      <c r="D1683" s="940">
        <f>SUM(D1678:D1682)</f>
        <v>53438955</v>
      </c>
      <c r="E1683" s="1161">
        <f t="shared" ref="E1683" si="28">SUM(E1678:E1682)</f>
        <v>72</v>
      </c>
      <c r="F1683" s="1162">
        <f>SUM(F1678:F1682)</f>
        <v>53496781.583999991</v>
      </c>
    </row>
    <row r="1684" spans="1:6" x14ac:dyDescent="0.3">
      <c r="A1684" s="931"/>
      <c r="B1684" s="954">
        <v>13</v>
      </c>
      <c r="C1684" s="933">
        <v>5</v>
      </c>
      <c r="D1684" s="934">
        <v>6804135</v>
      </c>
      <c r="E1684" s="935">
        <v>2</v>
      </c>
      <c r="F1684" s="1160">
        <v>2632129.344</v>
      </c>
    </row>
    <row r="1685" spans="1:6" x14ac:dyDescent="0.3">
      <c r="A1685" s="931"/>
      <c r="B1685" s="954">
        <v>14</v>
      </c>
      <c r="C1685" s="933">
        <v>4</v>
      </c>
      <c r="D1685" s="934">
        <v>6273090</v>
      </c>
      <c r="E1685" s="935">
        <v>5</v>
      </c>
      <c r="F1685" s="1160">
        <v>6604535.625</v>
      </c>
    </row>
    <row r="1686" spans="1:6" x14ac:dyDescent="0.3">
      <c r="A1686" s="931"/>
      <c r="B1686" s="954">
        <v>15</v>
      </c>
      <c r="C1686" s="933">
        <v>1</v>
      </c>
      <c r="D1686" s="934">
        <v>1995290</v>
      </c>
      <c r="E1686" s="935">
        <v>2</v>
      </c>
      <c r="F1686" s="1160">
        <v>3370289.872</v>
      </c>
    </row>
    <row r="1687" spans="1:6" ht="21" thickBot="1" x14ac:dyDescent="0.35">
      <c r="A1687" s="931"/>
      <c r="B1687" s="954">
        <v>16</v>
      </c>
      <c r="C1687" s="933">
        <v>3</v>
      </c>
      <c r="D1687" s="934"/>
      <c r="E1687" s="935">
        <v>3</v>
      </c>
      <c r="F1687" s="1160">
        <v>4234922.5920000002</v>
      </c>
    </row>
    <row r="1688" spans="1:6" ht="21" thickBot="1" x14ac:dyDescent="0.35">
      <c r="A1688" s="937" t="s">
        <v>353</v>
      </c>
      <c r="B1688" s="938"/>
      <c r="C1688" s="968">
        <f>SUM(C1684:C1687)</f>
        <v>13</v>
      </c>
      <c r="D1688" s="940">
        <f>SUM(D1684:D1687)</f>
        <v>15072515</v>
      </c>
      <c r="E1688" s="1161">
        <f t="shared" ref="E1688" si="29">SUM(E1684:E1687)</f>
        <v>12</v>
      </c>
      <c r="F1688" s="1162">
        <f>SUM(F1684:F1687)</f>
        <v>16841877.432999998</v>
      </c>
    </row>
    <row r="1689" spans="1:6" ht="21" thickBot="1" x14ac:dyDescent="0.35">
      <c r="A1689" s="990" t="s">
        <v>354</v>
      </c>
      <c r="B1689" s="991"/>
      <c r="C1689" s="992">
        <f>SUM(C1688,C1683,C1677)</f>
        <v>178</v>
      </c>
      <c r="D1689" s="1417">
        <f>SUM(D1688,D1683,D1677)</f>
        <v>106203530</v>
      </c>
      <c r="E1689" s="1415">
        <f t="shared" ref="E1689" si="30">SUM(E1688,E1683,E1677)</f>
        <v>196</v>
      </c>
      <c r="F1689" s="1387">
        <f>SUM(F1688,F1683,F1677)</f>
        <v>120698315.01699999</v>
      </c>
    </row>
    <row r="1690" spans="1:6" x14ac:dyDescent="0.3">
      <c r="A1690" s="964" t="s">
        <v>370</v>
      </c>
      <c r="B1690" s="954"/>
      <c r="C1690" s="955">
        <v>1</v>
      </c>
      <c r="D1690" s="1173">
        <v>6709335</v>
      </c>
      <c r="E1690" s="935">
        <v>1</v>
      </c>
      <c r="F1690" s="1391">
        <v>6709335</v>
      </c>
    </row>
    <row r="1691" spans="1:6" x14ac:dyDescent="0.3">
      <c r="A1691" s="964" t="s">
        <v>368</v>
      </c>
      <c r="B1691" s="954"/>
      <c r="C1691" s="955"/>
      <c r="D1691" s="1174">
        <v>2743610</v>
      </c>
      <c r="E1691" s="935"/>
      <c r="F1691" s="1160">
        <v>2743610</v>
      </c>
    </row>
    <row r="1692" spans="1:6" ht="21" thickBot="1" x14ac:dyDescent="0.35">
      <c r="A1692" s="964" t="s">
        <v>371</v>
      </c>
      <c r="B1692" s="954"/>
      <c r="C1692" s="955"/>
      <c r="D1692" s="1174">
        <v>22046260</v>
      </c>
      <c r="E1692" s="1345">
        <v>6</v>
      </c>
      <c r="F1692" s="1160">
        <v>22046260.16</v>
      </c>
    </row>
    <row r="1693" spans="1:6" ht="21" thickBot="1" x14ac:dyDescent="0.35">
      <c r="A1693" s="950" t="s">
        <v>737</v>
      </c>
      <c r="B1693" s="938"/>
      <c r="C1693" s="959">
        <f>SUM(C1690:C1692)</f>
        <v>1</v>
      </c>
      <c r="D1693" s="1418">
        <f>SUM(D1690:D1692)</f>
        <v>31499205</v>
      </c>
      <c r="E1693" s="943">
        <f t="shared" ref="E1693" si="31">SUM(E1690:E1692)</f>
        <v>7</v>
      </c>
      <c r="F1693" s="1162">
        <f>SUM(F1690:F1692)</f>
        <v>31499205.16</v>
      </c>
    </row>
    <row r="1694" spans="1:6" ht="21" thickBot="1" x14ac:dyDescent="0.35">
      <c r="A1694" s="950" t="s">
        <v>1143</v>
      </c>
      <c r="B1694" s="938"/>
      <c r="C1694" s="939">
        <f>SUM(C1689,C1693)</f>
        <v>179</v>
      </c>
      <c r="D1694" s="1191">
        <f>SUM(D1689,D1693)</f>
        <v>137702735</v>
      </c>
      <c r="E1694" s="943">
        <f t="shared" ref="E1694" si="32">SUM(E1689,E1693)</f>
        <v>203</v>
      </c>
      <c r="F1694" s="1162">
        <f>SUM(F1689,F1693)</f>
        <v>152197520.17699999</v>
      </c>
    </row>
    <row r="1695" spans="1:6" x14ac:dyDescent="0.2">
      <c r="A1695" s="3545"/>
      <c r="B1695" s="3545"/>
      <c r="C1695" s="3545"/>
      <c r="D1695" s="3545"/>
      <c r="E1695" s="3545"/>
      <c r="F1695" s="3545"/>
    </row>
    <row r="1696" spans="1:6" x14ac:dyDescent="0.2">
      <c r="A1696" s="3545" t="s">
        <v>183</v>
      </c>
      <c r="B1696" s="3545"/>
      <c r="C1696" s="3545"/>
      <c r="D1696" s="3545"/>
      <c r="E1696" s="3545"/>
      <c r="F1696" s="3545"/>
    </row>
    <row r="1697" spans="1:6" ht="21" thickBot="1" x14ac:dyDescent="0.25">
      <c r="A1697" s="3546" t="s">
        <v>3062</v>
      </c>
      <c r="B1697" s="3546"/>
      <c r="C1697" s="3546"/>
      <c r="D1697" s="3546"/>
      <c r="E1697" s="3546"/>
      <c r="F1697" s="3546"/>
    </row>
    <row r="1698" spans="1:6" s="988" customFormat="1" ht="41.25" thickBot="1" x14ac:dyDescent="0.25">
      <c r="A1698" s="920" t="s">
        <v>185</v>
      </c>
      <c r="B1698" s="921" t="s">
        <v>186</v>
      </c>
      <c r="C1698" s="922" t="s">
        <v>564</v>
      </c>
      <c r="D1698" s="923" t="s">
        <v>1128</v>
      </c>
      <c r="E1698" s="922" t="s">
        <v>1129</v>
      </c>
      <c r="F1698" s="923" t="s">
        <v>3096</v>
      </c>
    </row>
    <row r="1699" spans="1:6" x14ac:dyDescent="0.2">
      <c r="A1699" s="925">
        <v>4331202</v>
      </c>
      <c r="B1699" s="954">
        <v>1</v>
      </c>
      <c r="C1699" s="927"/>
      <c r="D1699" s="928"/>
      <c r="E1699" s="927">
        <v>0</v>
      </c>
      <c r="F1699" s="928">
        <v>0</v>
      </c>
    </row>
    <row r="1700" spans="1:6" x14ac:dyDescent="0.2">
      <c r="A1700" s="931"/>
      <c r="B1700" s="954">
        <v>2</v>
      </c>
      <c r="C1700" s="933"/>
      <c r="D1700" s="934"/>
      <c r="E1700" s="933">
        <v>0</v>
      </c>
      <c r="F1700" s="934">
        <v>0</v>
      </c>
    </row>
    <row r="1701" spans="1:6" x14ac:dyDescent="0.2">
      <c r="A1701" s="931"/>
      <c r="B1701" s="954">
        <v>3</v>
      </c>
      <c r="C1701" s="933"/>
      <c r="D1701" s="934"/>
      <c r="E1701" s="933">
        <v>0</v>
      </c>
      <c r="F1701" s="934">
        <v>0</v>
      </c>
    </row>
    <row r="1702" spans="1:6" x14ac:dyDescent="0.2">
      <c r="A1702" s="931"/>
      <c r="B1702" s="954">
        <v>4</v>
      </c>
      <c r="C1702" s="933"/>
      <c r="D1702" s="934"/>
      <c r="E1702" s="933">
        <v>6</v>
      </c>
      <c r="F1702" s="934">
        <v>4045632</v>
      </c>
    </row>
    <row r="1703" spans="1:6" x14ac:dyDescent="0.2">
      <c r="A1703" s="931"/>
      <c r="B1703" s="954">
        <v>5</v>
      </c>
      <c r="C1703" s="933"/>
      <c r="D1703" s="934"/>
      <c r="E1703" s="933">
        <v>0</v>
      </c>
      <c r="F1703" s="934">
        <v>0</v>
      </c>
    </row>
    <row r="1704" spans="1:6" ht="21" thickBot="1" x14ac:dyDescent="0.25">
      <c r="A1704" s="931"/>
      <c r="B1704" s="954">
        <v>6</v>
      </c>
      <c r="C1704" s="933"/>
      <c r="D1704" s="934"/>
      <c r="E1704" s="933">
        <v>1</v>
      </c>
      <c r="F1704" s="934">
        <v>2374014</v>
      </c>
    </row>
    <row r="1705" spans="1:6" ht="21" thickBot="1" x14ac:dyDescent="0.25">
      <c r="A1705" s="937" t="s">
        <v>351</v>
      </c>
      <c r="B1705" s="938"/>
      <c r="C1705" s="968">
        <f>SUM(C1699:C1704)</f>
        <v>0</v>
      </c>
      <c r="D1705" s="940">
        <f>SUM(D1699:D1704)</f>
        <v>0</v>
      </c>
      <c r="E1705" s="968">
        <v>7</v>
      </c>
      <c r="F1705" s="940">
        <v>6419646</v>
      </c>
    </row>
    <row r="1706" spans="1:6" x14ac:dyDescent="0.2">
      <c r="A1706" s="931"/>
      <c r="B1706" s="954">
        <v>7</v>
      </c>
      <c r="C1706" s="933"/>
      <c r="D1706" s="934"/>
      <c r="E1706" s="933">
        <v>3</v>
      </c>
      <c r="F1706" s="934">
        <v>3563346</v>
      </c>
    </row>
    <row r="1707" spans="1:6" x14ac:dyDescent="0.2">
      <c r="A1707" s="931"/>
      <c r="B1707" s="954">
        <v>8</v>
      </c>
      <c r="C1707" s="933"/>
      <c r="D1707" s="934"/>
      <c r="E1707" s="933">
        <v>1</v>
      </c>
      <c r="F1707" s="934">
        <v>2664476</v>
      </c>
    </row>
    <row r="1708" spans="1:6" x14ac:dyDescent="0.2">
      <c r="A1708" s="931"/>
      <c r="B1708" s="954">
        <v>9</v>
      </c>
      <c r="C1708" s="933"/>
      <c r="D1708" s="934"/>
      <c r="E1708" s="933">
        <v>0</v>
      </c>
      <c r="F1708" s="934">
        <v>0</v>
      </c>
    </row>
    <row r="1709" spans="1:6" x14ac:dyDescent="0.2">
      <c r="A1709" s="931"/>
      <c r="B1709" s="954">
        <v>10</v>
      </c>
      <c r="C1709" s="933"/>
      <c r="D1709" s="934"/>
      <c r="E1709" s="933">
        <v>5</v>
      </c>
      <c r="F1709" s="934">
        <v>7584009</v>
      </c>
    </row>
    <row r="1710" spans="1:6" ht="21" thickBot="1" x14ac:dyDescent="0.25">
      <c r="A1710" s="931"/>
      <c r="B1710" s="954">
        <v>12</v>
      </c>
      <c r="C1710" s="933"/>
      <c r="D1710" s="934"/>
      <c r="E1710" s="933">
        <v>0</v>
      </c>
      <c r="F1710" s="934">
        <v>0</v>
      </c>
    </row>
    <row r="1711" spans="1:6" ht="21" thickBot="1" x14ac:dyDescent="0.25">
      <c r="A1711" s="937" t="s">
        <v>352</v>
      </c>
      <c r="B1711" s="938"/>
      <c r="C1711" s="968">
        <f>SUM(C1706:C1710)</f>
        <v>0</v>
      </c>
      <c r="D1711" s="940">
        <f>SUM(D1706:D1710)</f>
        <v>0</v>
      </c>
      <c r="E1711" s="940">
        <f>SUM(E1706:E1710)</f>
        <v>9</v>
      </c>
      <c r="F1711" s="940">
        <f>SUM(F1706:F1710)</f>
        <v>13811831</v>
      </c>
    </row>
    <row r="1712" spans="1:6" x14ac:dyDescent="0.2">
      <c r="A1712" s="931"/>
      <c r="B1712" s="954">
        <v>13</v>
      </c>
      <c r="C1712" s="933"/>
      <c r="D1712" s="934"/>
      <c r="E1712" s="933">
        <v>0</v>
      </c>
      <c r="F1712" s="934">
        <v>0</v>
      </c>
    </row>
    <row r="1713" spans="1:6" x14ac:dyDescent="0.2">
      <c r="A1713" s="931"/>
      <c r="B1713" s="954">
        <v>14</v>
      </c>
      <c r="C1713" s="933"/>
      <c r="D1713" s="934"/>
      <c r="E1713" s="933">
        <v>1</v>
      </c>
      <c r="F1713" s="934">
        <v>3289185</v>
      </c>
    </row>
    <row r="1714" spans="1:6" x14ac:dyDescent="0.2">
      <c r="A1714" s="931"/>
      <c r="B1714" s="954">
        <v>15</v>
      </c>
      <c r="C1714" s="933"/>
      <c r="D1714" s="934"/>
      <c r="E1714" s="933">
        <v>0</v>
      </c>
      <c r="F1714" s="934">
        <v>0</v>
      </c>
    </row>
    <row r="1715" spans="1:6" ht="21" thickBot="1" x14ac:dyDescent="0.25">
      <c r="A1715" s="931"/>
      <c r="B1715" s="954">
        <v>16</v>
      </c>
      <c r="C1715" s="933"/>
      <c r="D1715" s="934"/>
      <c r="E1715" s="933">
        <v>0</v>
      </c>
      <c r="F1715" s="934">
        <v>0</v>
      </c>
    </row>
    <row r="1716" spans="1:6" ht="21" thickBot="1" x14ac:dyDescent="0.25">
      <c r="A1716" s="937" t="s">
        <v>353</v>
      </c>
      <c r="B1716" s="938"/>
      <c r="C1716" s="968">
        <f>SUM(C1712:C1715)</f>
        <v>0</v>
      </c>
      <c r="D1716" s="940">
        <f>SUM(D1712:D1715)</f>
        <v>0</v>
      </c>
      <c r="E1716" s="968">
        <v>1</v>
      </c>
      <c r="F1716" s="940">
        <f>SUM(F1712:F1715)</f>
        <v>3289185</v>
      </c>
    </row>
    <row r="1717" spans="1:6" ht="21" thickBot="1" x14ac:dyDescent="0.25">
      <c r="A1717" s="990" t="s">
        <v>354</v>
      </c>
      <c r="B1717" s="991"/>
      <c r="C1717" s="992">
        <f>SUM(C1716,C1711,C1705)</f>
        <v>0</v>
      </c>
      <c r="D1717" s="940">
        <v>28694405</v>
      </c>
      <c r="E1717" s="992">
        <f>SUM(E1716,E1711,E1705)</f>
        <v>17</v>
      </c>
      <c r="F1717" s="940">
        <f>SUM(F1716,F1711,F1705)</f>
        <v>23520662</v>
      </c>
    </row>
    <row r="1718" spans="1:6" ht="21" thickBot="1" x14ac:dyDescent="0.25">
      <c r="A1718" s="964" t="s">
        <v>1767</v>
      </c>
      <c r="B1718" s="954"/>
      <c r="C1718" s="955"/>
      <c r="D1718" s="1174">
        <v>22046260</v>
      </c>
      <c r="E1718" s="933"/>
      <c r="F1718" s="1188">
        <v>22046260</v>
      </c>
    </row>
    <row r="1719" spans="1:6" ht="21" thickBot="1" x14ac:dyDescent="0.25">
      <c r="A1719" s="950" t="s">
        <v>737</v>
      </c>
      <c r="B1719" s="938"/>
      <c r="C1719" s="959">
        <f>SUM(C1718:C1718)</f>
        <v>0</v>
      </c>
      <c r="D1719" s="1081">
        <f>SUM(D1718:D1718)</f>
        <v>22046260</v>
      </c>
      <c r="E1719" s="939">
        <f>SUM(E1718:E1718)</f>
        <v>0</v>
      </c>
      <c r="F1719" s="1081">
        <f>SUM(F1718:F1718)</f>
        <v>22046260</v>
      </c>
    </row>
    <row r="1720" spans="1:6" ht="21" thickBot="1" x14ac:dyDescent="0.25">
      <c r="A1720" s="950" t="s">
        <v>3147</v>
      </c>
      <c r="B1720" s="938"/>
      <c r="C1720" s="939">
        <f>SUM(C1717,C1719)</f>
        <v>0</v>
      </c>
      <c r="D1720" s="1191">
        <f>SUM(D1717,D1719)</f>
        <v>50740665</v>
      </c>
      <c r="E1720" s="992">
        <f>SUM(E1717,E1719)</f>
        <v>17</v>
      </c>
      <c r="F1720" s="1192">
        <f>SUM(F1717,F1719)</f>
        <v>45566922</v>
      </c>
    </row>
    <row r="1721" spans="1:6" x14ac:dyDescent="0.2">
      <c r="A1721" s="3545" t="s">
        <v>183</v>
      </c>
      <c r="B1721" s="3545"/>
      <c r="C1721" s="3545"/>
      <c r="D1721" s="3545"/>
      <c r="E1721" s="3545"/>
      <c r="F1721" s="3545"/>
    </row>
    <row r="1722" spans="1:6" ht="21" thickBot="1" x14ac:dyDescent="0.25">
      <c r="A1722" s="3546" t="s">
        <v>782</v>
      </c>
      <c r="B1722" s="3546"/>
      <c r="C1722" s="3546"/>
      <c r="D1722" s="3546"/>
      <c r="E1722" s="3546"/>
      <c r="F1722" s="3546"/>
    </row>
    <row r="1723" spans="1:6" s="988" customFormat="1" ht="41.25" thickBot="1" x14ac:dyDescent="0.25">
      <c r="A1723" s="920" t="s">
        <v>185</v>
      </c>
      <c r="B1723" s="921" t="s">
        <v>186</v>
      </c>
      <c r="C1723" s="922" t="s">
        <v>564</v>
      </c>
      <c r="D1723" s="923" t="s">
        <v>1128</v>
      </c>
      <c r="E1723" s="922" t="s">
        <v>1129</v>
      </c>
      <c r="F1723" s="923" t="s">
        <v>3096</v>
      </c>
    </row>
    <row r="1724" spans="1:6" s="975" customFormat="1" ht="18.75" x14ac:dyDescent="0.2">
      <c r="A1724" s="970"/>
      <c r="B1724" s="1029">
        <v>1</v>
      </c>
      <c r="C1724" s="972">
        <v>12</v>
      </c>
      <c r="D1724" s="1419">
        <v>4642600</v>
      </c>
      <c r="E1724" s="972">
        <v>3</v>
      </c>
      <c r="F1724" s="1420">
        <v>1160650</v>
      </c>
    </row>
    <row r="1725" spans="1:6" s="975" customFormat="1" ht="18.75" x14ac:dyDescent="0.2">
      <c r="A1725" s="976"/>
      <c r="B1725" s="1029">
        <v>2</v>
      </c>
      <c r="C1725" s="977">
        <v>7</v>
      </c>
      <c r="D1725" s="1419">
        <v>3407985</v>
      </c>
      <c r="E1725" s="977">
        <v>8</v>
      </c>
      <c r="F1725" s="1420">
        <v>3894840</v>
      </c>
    </row>
    <row r="1726" spans="1:6" s="975" customFormat="1" ht="18.75" x14ac:dyDescent="0.2">
      <c r="A1726" s="976"/>
      <c r="B1726" s="1029">
        <v>3</v>
      </c>
      <c r="C1726" s="977">
        <v>17</v>
      </c>
      <c r="D1726" s="1419">
        <v>6247640</v>
      </c>
      <c r="E1726" s="977">
        <v>9</v>
      </c>
      <c r="F1726" s="1420">
        <v>3307574</v>
      </c>
    </row>
    <row r="1727" spans="1:6" s="975" customFormat="1" ht="18.75" x14ac:dyDescent="0.2">
      <c r="A1727" s="976"/>
      <c r="B1727" s="1029">
        <v>4</v>
      </c>
      <c r="C1727" s="977">
        <v>23</v>
      </c>
      <c r="D1727" s="1419">
        <v>8457765</v>
      </c>
      <c r="E1727" s="977">
        <v>14</v>
      </c>
      <c r="F1727" s="1420">
        <v>5148205</v>
      </c>
    </row>
    <row r="1728" spans="1:6" s="975" customFormat="1" ht="18.75" x14ac:dyDescent="0.2">
      <c r="A1728" s="976"/>
      <c r="B1728" s="1029">
        <v>5</v>
      </c>
      <c r="C1728" s="977">
        <v>5</v>
      </c>
      <c r="D1728" s="1419">
        <v>3059255</v>
      </c>
      <c r="E1728" s="977"/>
      <c r="F1728" s="1420">
        <v>0</v>
      </c>
    </row>
    <row r="1729" spans="1:6" s="975" customFormat="1" ht="19.5" thickBot="1" x14ac:dyDescent="0.25">
      <c r="A1729" s="976"/>
      <c r="B1729" s="1029">
        <v>6</v>
      </c>
      <c r="C1729" s="977">
        <v>12</v>
      </c>
      <c r="D1729" s="1419">
        <v>6276300</v>
      </c>
      <c r="E1729" s="977">
        <v>9</v>
      </c>
      <c r="F1729" s="1420">
        <v>4707225</v>
      </c>
    </row>
    <row r="1730" spans="1:6" ht="21" thickBot="1" x14ac:dyDescent="0.25">
      <c r="A1730" s="937" t="s">
        <v>187</v>
      </c>
      <c r="B1730" s="938"/>
      <c r="C1730" s="968">
        <f>SUM(C1724:C1729)</f>
        <v>76</v>
      </c>
      <c r="D1730" s="940">
        <f>SUM(D1724:D1729)</f>
        <v>32091545</v>
      </c>
      <c r="E1730" s="968">
        <f>SUM(E1724:E1729)</f>
        <v>43</v>
      </c>
      <c r="F1730" s="940">
        <f>SUM(F1724:F1729)</f>
        <v>18218494</v>
      </c>
    </row>
    <row r="1731" spans="1:6" s="975" customFormat="1" ht="18.75" x14ac:dyDescent="0.2">
      <c r="A1731" s="976"/>
      <c r="B1731" s="1029">
        <v>7</v>
      </c>
      <c r="C1731" s="977">
        <v>42</v>
      </c>
      <c r="D1731" s="1419">
        <v>25752935</v>
      </c>
      <c r="E1731" s="977">
        <v>20</v>
      </c>
      <c r="F1731" s="1420">
        <v>12263302</v>
      </c>
    </row>
    <row r="1732" spans="1:6" s="975" customFormat="1" ht="18.75" x14ac:dyDescent="0.2">
      <c r="A1732" s="976"/>
      <c r="B1732" s="1029">
        <v>8</v>
      </c>
      <c r="C1732" s="977">
        <v>17</v>
      </c>
      <c r="D1732" s="1419">
        <v>14523045</v>
      </c>
      <c r="E1732" s="977">
        <v>16</v>
      </c>
      <c r="F1732" s="1420">
        <v>13668748</v>
      </c>
    </row>
    <row r="1733" spans="1:6" s="975" customFormat="1" ht="18.75" x14ac:dyDescent="0.2">
      <c r="A1733" s="976"/>
      <c r="B1733" s="1029">
        <v>9</v>
      </c>
      <c r="C1733" s="977">
        <v>9</v>
      </c>
      <c r="D1733" s="1419">
        <v>10977600</v>
      </c>
      <c r="E1733" s="977">
        <v>4</v>
      </c>
      <c r="F1733" s="1420">
        <v>4878933</v>
      </c>
    </row>
    <row r="1734" spans="1:6" s="975" customFormat="1" ht="18.75" x14ac:dyDescent="0.2">
      <c r="A1734" s="976"/>
      <c r="B1734" s="1029">
        <v>10</v>
      </c>
      <c r="C1734" s="977">
        <v>4</v>
      </c>
      <c r="D1734" s="1419">
        <v>6417910</v>
      </c>
      <c r="E1734" s="977">
        <v>4</v>
      </c>
      <c r="F1734" s="1420">
        <v>6417910</v>
      </c>
    </row>
    <row r="1735" spans="1:6" s="975" customFormat="1" ht="19.5" thickBot="1" x14ac:dyDescent="0.25">
      <c r="A1735" s="976"/>
      <c r="B1735" s="1029">
        <v>12</v>
      </c>
      <c r="C1735" s="977">
        <v>9</v>
      </c>
      <c r="D1735" s="1419">
        <v>12861765</v>
      </c>
      <c r="E1735" s="977">
        <v>3</v>
      </c>
      <c r="F1735" s="1420">
        <v>4287255</v>
      </c>
    </row>
    <row r="1736" spans="1:6" ht="21" thickBot="1" x14ac:dyDescent="0.25">
      <c r="A1736" s="937" t="s">
        <v>188</v>
      </c>
      <c r="B1736" s="938"/>
      <c r="C1736" s="968">
        <f>SUM(C1731:C1735)</f>
        <v>81</v>
      </c>
      <c r="D1736" s="940">
        <f>SUM(D1731:D1735)</f>
        <v>70533255</v>
      </c>
      <c r="E1736" s="968">
        <f>SUM(E1731:E1735)</f>
        <v>47</v>
      </c>
      <c r="F1736" s="940">
        <f>SUM(F1731:F1735)</f>
        <v>41516148</v>
      </c>
    </row>
    <row r="1737" spans="1:6" s="975" customFormat="1" ht="18.75" x14ac:dyDescent="0.2">
      <c r="A1737" s="976"/>
      <c r="B1737" s="1029">
        <v>13</v>
      </c>
      <c r="C1737" s="977">
        <v>6</v>
      </c>
      <c r="D1737" s="1419">
        <v>12235525</v>
      </c>
      <c r="E1737" s="977">
        <v>4</v>
      </c>
      <c r="F1737" s="1420">
        <v>8157017</v>
      </c>
    </row>
    <row r="1738" spans="1:6" s="975" customFormat="1" ht="18.75" x14ac:dyDescent="0.2">
      <c r="A1738" s="976"/>
      <c r="B1738" s="1029">
        <v>14</v>
      </c>
      <c r="C1738" s="977">
        <v>28</v>
      </c>
      <c r="D1738" s="1419">
        <v>38515465</v>
      </c>
      <c r="E1738" s="977">
        <v>15</v>
      </c>
      <c r="F1738" s="1420">
        <v>20633285</v>
      </c>
    </row>
    <row r="1739" spans="1:6" s="975" customFormat="1" ht="18.75" x14ac:dyDescent="0.2">
      <c r="A1739" s="976"/>
      <c r="B1739" s="1029">
        <v>15</v>
      </c>
      <c r="C1739" s="977">
        <v>5</v>
      </c>
      <c r="D1739" s="1419">
        <v>14197170</v>
      </c>
      <c r="E1739" s="977">
        <v>6</v>
      </c>
      <c r="F1739" s="1420">
        <v>17036604</v>
      </c>
    </row>
    <row r="1740" spans="1:6" s="975" customFormat="1" ht="19.5" thickBot="1" x14ac:dyDescent="0.25">
      <c r="A1740" s="976"/>
      <c r="B1740" s="1029">
        <v>16</v>
      </c>
      <c r="C1740" s="977">
        <v>6</v>
      </c>
      <c r="D1740" s="1419">
        <v>17215945</v>
      </c>
      <c r="E1740" s="977">
        <v>6</v>
      </c>
      <c r="F1740" s="1420">
        <v>17215945</v>
      </c>
    </row>
    <row r="1741" spans="1:6" ht="21" thickBot="1" x14ac:dyDescent="0.25">
      <c r="A1741" s="937" t="s">
        <v>189</v>
      </c>
      <c r="B1741" s="938"/>
      <c r="C1741" s="968">
        <f>SUM(C1737:C1740)</f>
        <v>45</v>
      </c>
      <c r="D1741" s="940">
        <f>SUM(D1737:D1740)</f>
        <v>82164105</v>
      </c>
      <c r="E1741" s="968">
        <f>SUM(E1737:E1740)</f>
        <v>31</v>
      </c>
      <c r="F1741" s="940">
        <f>SUM(F1737:F1740)</f>
        <v>63042851</v>
      </c>
    </row>
    <row r="1742" spans="1:6" ht="21" thickBot="1" x14ac:dyDescent="0.25">
      <c r="A1742" s="937" t="s">
        <v>190</v>
      </c>
      <c r="B1742" s="938"/>
      <c r="C1742" s="939">
        <f>SUM(C1741,C1736,C1730)</f>
        <v>202</v>
      </c>
      <c r="D1742" s="940">
        <f>SUM(D1741,D1736,D1730)</f>
        <v>184788905</v>
      </c>
      <c r="E1742" s="939">
        <f>SUM(E1741,E1736,E1730)</f>
        <v>121</v>
      </c>
      <c r="F1742" s="940">
        <f>SUM(F1741,F1736,F1730)</f>
        <v>122777493</v>
      </c>
    </row>
    <row r="1743" spans="1:6" x14ac:dyDescent="0.2">
      <c r="A1743" s="919" t="s">
        <v>3148</v>
      </c>
      <c r="C1743" s="933"/>
      <c r="D1743" s="1421">
        <v>73610135</v>
      </c>
      <c r="E1743" s="933"/>
      <c r="F1743" s="1179">
        <v>73610135</v>
      </c>
    </row>
    <row r="1744" spans="1:6" ht="21" thickBot="1" x14ac:dyDescent="0.25">
      <c r="A1744" s="919" t="s">
        <v>1517</v>
      </c>
      <c r="C1744" s="933"/>
      <c r="D1744" s="1421"/>
      <c r="E1744" s="933"/>
      <c r="F1744" s="1179">
        <v>192000000</v>
      </c>
    </row>
    <row r="1745" spans="1:6" ht="21" thickBot="1" x14ac:dyDescent="0.25">
      <c r="A1745" s="950" t="s">
        <v>117</v>
      </c>
      <c r="B1745" s="1077"/>
      <c r="C1745" s="1078"/>
      <c r="D1745" s="1422">
        <f>SUM(D1742:D1743)</f>
        <v>258399040</v>
      </c>
      <c r="E1745" s="1078"/>
      <c r="F1745" s="1423">
        <f>SUM(F1743:F1744)</f>
        <v>265610135</v>
      </c>
    </row>
    <row r="1746" spans="1:6" x14ac:dyDescent="0.2">
      <c r="A1746" s="919" t="s">
        <v>528</v>
      </c>
      <c r="C1746" s="933">
        <v>1</v>
      </c>
      <c r="D1746" s="1421">
        <v>1337225</v>
      </c>
      <c r="E1746" s="933">
        <v>1</v>
      </c>
      <c r="F1746" s="1179">
        <v>1337225</v>
      </c>
    </row>
    <row r="1747" spans="1:6" x14ac:dyDescent="0.2">
      <c r="A1747" s="919" t="s">
        <v>529</v>
      </c>
      <c r="C1747" s="933"/>
      <c r="D1747" s="1421">
        <v>4479705</v>
      </c>
      <c r="E1747" s="933"/>
      <c r="F1747" s="1179">
        <v>4479705</v>
      </c>
    </row>
    <row r="1748" spans="1:6" x14ac:dyDescent="0.2">
      <c r="A1748" s="919" t="s">
        <v>771</v>
      </c>
      <c r="C1748" s="933">
        <v>1</v>
      </c>
      <c r="D1748" s="1421">
        <v>1247870</v>
      </c>
      <c r="E1748" s="933">
        <v>1</v>
      </c>
      <c r="F1748" s="1179">
        <v>1247870</v>
      </c>
    </row>
    <row r="1749" spans="1:6" ht="21" thickBot="1" x14ac:dyDescent="0.25">
      <c r="A1749" s="919" t="s">
        <v>530</v>
      </c>
      <c r="C1749" s="933"/>
      <c r="D1749" s="1421">
        <v>4180365</v>
      </c>
      <c r="E1749" s="933"/>
      <c r="F1749" s="1179">
        <v>4180365</v>
      </c>
    </row>
    <row r="1750" spans="1:6" s="924" customFormat="1" ht="21" thickBot="1" x14ac:dyDescent="0.25">
      <c r="A1750" s="950" t="s">
        <v>117</v>
      </c>
      <c r="B1750" s="938"/>
      <c r="C1750" s="939">
        <f>SUM(C1746:C1749)</f>
        <v>2</v>
      </c>
      <c r="D1750" s="940">
        <f>SUM(D1746:D1749)</f>
        <v>11245165</v>
      </c>
      <c r="E1750" s="939">
        <f>SUM(E1746:E1749)</f>
        <v>2</v>
      </c>
      <c r="F1750" s="940">
        <f>SUM(F1746:F1749)</f>
        <v>11245165</v>
      </c>
    </row>
    <row r="1751" spans="1:6" ht="21" thickBot="1" x14ac:dyDescent="0.25">
      <c r="A1751" s="950" t="s">
        <v>783</v>
      </c>
      <c r="B1751" s="938"/>
      <c r="C1751" s="939">
        <f>SUM(C1742,C1750)</f>
        <v>204</v>
      </c>
      <c r="D1751" s="940">
        <f>SUM(D1745,D1750)</f>
        <v>269644205</v>
      </c>
      <c r="E1751" s="939">
        <f>SUM(E1742,E1750)</f>
        <v>123</v>
      </c>
      <c r="F1751" s="940">
        <f>SUM(F1745,F1750)</f>
        <v>276855300</v>
      </c>
    </row>
    <row r="1752" spans="1:6" x14ac:dyDescent="0.2">
      <c r="A1752" s="3545"/>
      <c r="B1752" s="3545"/>
      <c r="C1752" s="3545"/>
      <c r="D1752" s="3545"/>
      <c r="E1752" s="3545"/>
      <c r="F1752" s="3545"/>
    </row>
    <row r="1753" spans="1:6" s="905" customFormat="1" x14ac:dyDescent="0.3">
      <c r="A1753" s="3543" t="s">
        <v>183</v>
      </c>
      <c r="B1753" s="3543"/>
      <c r="C1753" s="3543"/>
      <c r="D1753" s="3543"/>
      <c r="E1753" s="3543"/>
      <c r="F1753" s="914"/>
    </row>
    <row r="1754" spans="1:6" s="905" customFormat="1" ht="21" thickBot="1" x14ac:dyDescent="0.35">
      <c r="A1754" s="3544" t="s">
        <v>1763</v>
      </c>
      <c r="B1754" s="3544"/>
      <c r="C1754" s="3544"/>
      <c r="D1754" s="3544"/>
      <c r="E1754" s="3544"/>
      <c r="F1754" s="914"/>
    </row>
    <row r="1755" spans="1:6" s="916" customFormat="1" ht="41.25" thickBot="1" x14ac:dyDescent="0.35">
      <c r="A1755" s="1048" t="s">
        <v>185</v>
      </c>
      <c r="B1755" s="1049" t="s">
        <v>186</v>
      </c>
      <c r="C1755" s="1298" t="s">
        <v>564</v>
      </c>
      <c r="D1755" s="1424" t="s">
        <v>1482</v>
      </c>
      <c r="E1755" s="1298" t="s">
        <v>1129</v>
      </c>
      <c r="F1755" s="923" t="s">
        <v>3096</v>
      </c>
    </row>
    <row r="1756" spans="1:6" s="905" customFormat="1" x14ac:dyDescent="0.3">
      <c r="A1756" s="908"/>
      <c r="B1756" s="965">
        <v>1</v>
      </c>
      <c r="C1756" s="1120"/>
      <c r="D1756" s="1425" t="s">
        <v>179</v>
      </c>
      <c r="E1756" s="1111"/>
      <c r="F1756" s="1426" t="s">
        <v>179</v>
      </c>
    </row>
    <row r="1757" spans="1:6" s="905" customFormat="1" x14ac:dyDescent="0.3">
      <c r="A1757" s="1052"/>
      <c r="B1757" s="965">
        <v>2</v>
      </c>
      <c r="C1757" s="1109"/>
      <c r="D1757" s="1427" t="s">
        <v>179</v>
      </c>
      <c r="E1757" s="948" t="s">
        <v>179</v>
      </c>
      <c r="F1757" s="1428" t="s">
        <v>179</v>
      </c>
    </row>
    <row r="1758" spans="1:6" s="905" customFormat="1" x14ac:dyDescent="0.3">
      <c r="A1758" s="1052"/>
      <c r="B1758" s="965">
        <v>3</v>
      </c>
      <c r="C1758" s="1109"/>
      <c r="D1758" s="1427" t="s">
        <v>130</v>
      </c>
      <c r="E1758" s="948" t="s">
        <v>179</v>
      </c>
      <c r="F1758" s="1428" t="s">
        <v>130</v>
      </c>
    </row>
    <row r="1759" spans="1:6" s="905" customFormat="1" x14ac:dyDescent="0.3">
      <c r="A1759" s="1052"/>
      <c r="B1759" s="965">
        <v>4</v>
      </c>
      <c r="C1759" s="1109"/>
      <c r="D1759" s="1427" t="s">
        <v>130</v>
      </c>
      <c r="E1759" s="948"/>
      <c r="F1759" s="1428" t="s">
        <v>130</v>
      </c>
    </row>
    <row r="1760" spans="1:6" s="905" customFormat="1" x14ac:dyDescent="0.3">
      <c r="A1760" s="1052"/>
      <c r="B1760" s="965">
        <v>5</v>
      </c>
      <c r="C1760" s="1109"/>
      <c r="D1760" s="1427" t="s">
        <v>130</v>
      </c>
      <c r="E1760" s="948"/>
      <c r="F1760" s="1428" t="s">
        <v>130</v>
      </c>
    </row>
    <row r="1761" spans="1:6" s="905" customFormat="1" ht="21" thickBot="1" x14ac:dyDescent="0.35">
      <c r="A1761" s="1052"/>
      <c r="B1761" s="965">
        <v>6</v>
      </c>
      <c r="C1761" s="1109"/>
      <c r="D1761" s="1427" t="s">
        <v>130</v>
      </c>
      <c r="E1761" s="948"/>
      <c r="F1761" s="1428" t="s">
        <v>130</v>
      </c>
    </row>
    <row r="1762" spans="1:6" s="905" customFormat="1" ht="21" thickBot="1" x14ac:dyDescent="0.35">
      <c r="A1762" s="1056" t="s">
        <v>187</v>
      </c>
      <c r="B1762" s="1057"/>
      <c r="C1762" s="1115"/>
      <c r="D1762" s="1429" t="s">
        <v>130</v>
      </c>
      <c r="E1762" s="1430"/>
      <c r="F1762" s="1431" t="s">
        <v>130</v>
      </c>
    </row>
    <row r="1763" spans="1:6" s="905" customFormat="1" x14ac:dyDescent="0.3">
      <c r="A1763" s="1052"/>
      <c r="B1763" s="965">
        <v>7</v>
      </c>
      <c r="C1763" s="1109"/>
      <c r="D1763" s="1432">
        <v>440100</v>
      </c>
      <c r="E1763" s="1433">
        <v>1</v>
      </c>
      <c r="F1763" s="1428">
        <v>511340</v>
      </c>
    </row>
    <row r="1764" spans="1:6" s="905" customFormat="1" x14ac:dyDescent="0.3">
      <c r="A1764" s="1052"/>
      <c r="B1764" s="965">
        <v>8</v>
      </c>
      <c r="C1764" s="1109"/>
      <c r="D1764" s="1434" t="s">
        <v>130</v>
      </c>
      <c r="E1764" s="1433">
        <v>0</v>
      </c>
      <c r="F1764" s="1428" t="s">
        <v>130</v>
      </c>
    </row>
    <row r="1765" spans="1:6" s="905" customFormat="1" x14ac:dyDescent="0.3">
      <c r="A1765" s="1052"/>
      <c r="B1765" s="965">
        <v>9</v>
      </c>
      <c r="C1765" s="1109"/>
      <c r="D1765" s="1432">
        <v>836300</v>
      </c>
      <c r="E1765" s="1433">
        <v>1</v>
      </c>
      <c r="F1765" s="1428">
        <v>878470</v>
      </c>
    </row>
    <row r="1766" spans="1:6" s="905" customFormat="1" x14ac:dyDescent="0.3">
      <c r="A1766" s="1052"/>
      <c r="B1766" s="965">
        <v>10</v>
      </c>
      <c r="C1766" s="1109"/>
      <c r="D1766" s="1432">
        <v>2705000</v>
      </c>
      <c r="E1766" s="1433">
        <v>3</v>
      </c>
      <c r="F1766" s="1428">
        <v>2096860</v>
      </c>
    </row>
    <row r="1767" spans="1:6" s="905" customFormat="1" ht="21" thickBot="1" x14ac:dyDescent="0.35">
      <c r="A1767" s="1052"/>
      <c r="B1767" s="965">
        <v>12</v>
      </c>
      <c r="C1767" s="1109"/>
      <c r="D1767" s="1432">
        <v>1198200</v>
      </c>
      <c r="E1767" s="1433">
        <v>4</v>
      </c>
      <c r="F1767" s="1428">
        <v>1304420</v>
      </c>
    </row>
    <row r="1768" spans="1:6" s="905" customFormat="1" ht="21" thickBot="1" x14ac:dyDescent="0.35">
      <c r="A1768" s="1056" t="s">
        <v>188</v>
      </c>
      <c r="B1768" s="1057"/>
      <c r="C1768" s="1115"/>
      <c r="D1768" s="1435">
        <f>SUM(D1763:D1767)</f>
        <v>5179600</v>
      </c>
      <c r="E1768" s="1436">
        <f>SUM(E1763:E1767)</f>
        <v>9</v>
      </c>
      <c r="F1768" s="1431">
        <f>SUM(F1763:F1767)</f>
        <v>4791090</v>
      </c>
    </row>
    <row r="1769" spans="1:6" s="905" customFormat="1" x14ac:dyDescent="0.3">
      <c r="A1769" s="1052"/>
      <c r="B1769" s="965">
        <v>13</v>
      </c>
      <c r="C1769" s="1109"/>
      <c r="D1769" s="1437"/>
      <c r="E1769" s="948"/>
      <c r="F1769" s="1438" t="s">
        <v>130</v>
      </c>
    </row>
    <row r="1770" spans="1:6" s="905" customFormat="1" x14ac:dyDescent="0.3">
      <c r="A1770" s="1052"/>
      <c r="B1770" s="965">
        <v>14</v>
      </c>
      <c r="C1770" s="1109"/>
      <c r="D1770" s="1427"/>
      <c r="E1770" s="1439">
        <v>10</v>
      </c>
      <c r="F1770" s="1428">
        <v>9439140</v>
      </c>
    </row>
    <row r="1771" spans="1:6" s="905" customFormat="1" x14ac:dyDescent="0.3">
      <c r="A1771" s="1052"/>
      <c r="B1771" s="965">
        <v>15</v>
      </c>
      <c r="C1771" s="1109"/>
      <c r="D1771" s="1427" t="s">
        <v>1764</v>
      </c>
      <c r="E1771" s="948"/>
      <c r="F1771" s="1428">
        <v>3566730</v>
      </c>
    </row>
    <row r="1772" spans="1:6" s="905" customFormat="1" ht="21" thickBot="1" x14ac:dyDescent="0.35">
      <c r="A1772" s="1052"/>
      <c r="B1772" s="965">
        <v>16</v>
      </c>
      <c r="C1772" s="1109"/>
      <c r="D1772" s="1340">
        <v>7428100</v>
      </c>
      <c r="E1772" s="948"/>
      <c r="F1772" s="1428" t="s">
        <v>130</v>
      </c>
    </row>
    <row r="1773" spans="1:6" s="906" customFormat="1" ht="21" thickBot="1" x14ac:dyDescent="0.35">
      <c r="A1773" s="1056" t="s">
        <v>189</v>
      </c>
      <c r="B1773" s="1057"/>
      <c r="C1773" s="1440"/>
      <c r="D1773" s="1342">
        <v>1937800</v>
      </c>
      <c r="E1773" s="1436">
        <f>SUM(E1770:E1772)</f>
        <v>10</v>
      </c>
      <c r="F1773" s="1431">
        <f>SUM(F1770:F1772)</f>
        <v>13005870</v>
      </c>
    </row>
    <row r="1774" spans="1:6" s="906" customFormat="1" ht="21" thickBot="1" x14ac:dyDescent="0.35">
      <c r="A1774" s="1062" t="s">
        <v>190</v>
      </c>
      <c r="B1774" s="1063"/>
      <c r="C1774" s="1124"/>
      <c r="D1774" s="1441"/>
      <c r="E1774" s="1436">
        <f>SUM(E1768,E1773)</f>
        <v>19</v>
      </c>
      <c r="F1774" s="1431">
        <f>SUM(F1768,F1773)</f>
        <v>17796960</v>
      </c>
    </row>
    <row r="1775" spans="1:6" s="905" customFormat="1" x14ac:dyDescent="0.3">
      <c r="A1775" s="905" t="s">
        <v>1765</v>
      </c>
      <c r="B1775" s="965"/>
      <c r="C1775" s="1109"/>
      <c r="D1775" s="1340">
        <v>2378120</v>
      </c>
      <c r="E1775" s="948">
        <v>1</v>
      </c>
      <c r="F1775" s="1428">
        <v>2378120</v>
      </c>
    </row>
    <row r="1776" spans="1:6" s="905" customFormat="1" ht="21" thickBot="1" x14ac:dyDescent="0.35">
      <c r="A1776" s="905" t="s">
        <v>1766</v>
      </c>
      <c r="B1776" s="965"/>
      <c r="C1776" s="1127"/>
      <c r="D1776" s="1340">
        <v>594530</v>
      </c>
      <c r="E1776" s="948"/>
      <c r="F1776" s="1428">
        <v>594530</v>
      </c>
    </row>
    <row r="1777" spans="1:6" s="906" customFormat="1" ht="21" thickBot="1" x14ac:dyDescent="0.35">
      <c r="A1777" s="1066" t="s">
        <v>117</v>
      </c>
      <c r="B1777" s="1057"/>
      <c r="C1777" s="1124"/>
      <c r="D1777" s="1342">
        <f>SUM(D1775:D1776)</f>
        <v>2972650</v>
      </c>
      <c r="E1777" s="1436">
        <f>SUM(E1775:E1776)</f>
        <v>1</v>
      </c>
      <c r="F1777" s="1431">
        <f>SUM(F1775:F1776)</f>
        <v>2972650</v>
      </c>
    </row>
    <row r="1778" spans="1:6" s="906" customFormat="1" ht="21" thickBot="1" x14ac:dyDescent="0.35">
      <c r="A1778" s="1140" t="s">
        <v>2619</v>
      </c>
      <c r="B1778" s="1057"/>
      <c r="C1778" s="1133"/>
      <c r="D1778" s="1442">
        <v>18834750</v>
      </c>
      <c r="E1778" s="1443">
        <f>E1774+E1777</f>
        <v>20</v>
      </c>
      <c r="F1778" s="1444">
        <f>F1774+F1777</f>
        <v>20769610</v>
      </c>
    </row>
    <row r="1779" spans="1:6" s="906" customFormat="1" x14ac:dyDescent="0.3">
      <c r="A1779" s="1203"/>
      <c r="B1779" s="1069"/>
      <c r="C1779" s="1445"/>
      <c r="D1779" s="1446"/>
      <c r="E1779" s="1437"/>
      <c r="F1779" s="1205"/>
    </row>
    <row r="1780" spans="1:6" x14ac:dyDescent="0.2">
      <c r="A1780" s="3545" t="s">
        <v>183</v>
      </c>
      <c r="B1780" s="3545"/>
      <c r="C1780" s="3545"/>
      <c r="D1780" s="3545"/>
      <c r="E1780" s="3545"/>
      <c r="F1780" s="3545"/>
    </row>
    <row r="1781" spans="1:6" ht="21" thickBot="1" x14ac:dyDescent="0.25">
      <c r="A1781" s="3546" t="s">
        <v>1054</v>
      </c>
      <c r="B1781" s="3546"/>
      <c r="C1781" s="3546"/>
      <c r="D1781" s="3546"/>
      <c r="E1781" s="3546"/>
      <c r="F1781" s="3546"/>
    </row>
    <row r="1782" spans="1:6" s="988" customFormat="1" ht="41.25" thickBot="1" x14ac:dyDescent="0.25">
      <c r="A1782" s="920" t="s">
        <v>185</v>
      </c>
      <c r="B1782" s="921" t="s">
        <v>186</v>
      </c>
      <c r="C1782" s="922" t="s">
        <v>564</v>
      </c>
      <c r="D1782" s="923" t="s">
        <v>1128</v>
      </c>
      <c r="E1782" s="922" t="s">
        <v>1129</v>
      </c>
      <c r="F1782" s="923" t="s">
        <v>3096</v>
      </c>
    </row>
    <row r="1783" spans="1:6" x14ac:dyDescent="0.2">
      <c r="A1783" s="925"/>
      <c r="B1783" s="932">
        <v>1</v>
      </c>
      <c r="C1783" s="927"/>
      <c r="D1783" s="1421"/>
      <c r="E1783" s="927"/>
      <c r="F1783" s="1179"/>
    </row>
    <row r="1784" spans="1:6" x14ac:dyDescent="0.2">
      <c r="A1784" s="931"/>
      <c r="B1784" s="932">
        <v>2</v>
      </c>
      <c r="C1784" s="933"/>
      <c r="D1784" s="1421"/>
      <c r="E1784" s="933"/>
      <c r="F1784" s="1179"/>
    </row>
    <row r="1785" spans="1:6" x14ac:dyDescent="0.2">
      <c r="A1785" s="931"/>
      <c r="B1785" s="932">
        <v>3</v>
      </c>
      <c r="C1785" s="933"/>
      <c r="D1785" s="1421"/>
      <c r="E1785" s="1405">
        <v>5</v>
      </c>
      <c r="F1785" s="1149">
        <v>1830000</v>
      </c>
    </row>
    <row r="1786" spans="1:6" x14ac:dyDescent="0.2">
      <c r="A1786" s="931"/>
      <c r="B1786" s="932">
        <v>4</v>
      </c>
      <c r="C1786" s="933">
        <v>10</v>
      </c>
      <c r="D1786" s="1421">
        <v>987445</v>
      </c>
      <c r="E1786" s="1405">
        <v>10</v>
      </c>
      <c r="F1786" s="1149">
        <v>3744000</v>
      </c>
    </row>
    <row r="1787" spans="1:6" x14ac:dyDescent="0.2">
      <c r="A1787" s="931"/>
      <c r="B1787" s="932">
        <v>5</v>
      </c>
      <c r="C1787" s="933"/>
      <c r="D1787" s="1421" t="s">
        <v>765</v>
      </c>
      <c r="E1787" s="1405">
        <v>7</v>
      </c>
      <c r="F1787" s="1149">
        <v>821508</v>
      </c>
    </row>
    <row r="1788" spans="1:6" ht="21" thickBot="1" x14ac:dyDescent="0.25">
      <c r="A1788" s="931"/>
      <c r="B1788" s="932">
        <v>6</v>
      </c>
      <c r="C1788" s="933">
        <v>4</v>
      </c>
      <c r="D1788" s="1421">
        <v>1731070</v>
      </c>
      <c r="E1788" s="1405">
        <v>2</v>
      </c>
      <c r="F1788" s="1447">
        <v>900372</v>
      </c>
    </row>
    <row r="1789" spans="1:6" ht="21" thickBot="1" x14ac:dyDescent="0.25">
      <c r="A1789" s="937" t="s">
        <v>187</v>
      </c>
      <c r="B1789" s="938"/>
      <c r="C1789" s="968">
        <f>SUM(C1783:C1788)</f>
        <v>14</v>
      </c>
      <c r="D1789" s="940">
        <f>SUM(D1783:D1788)</f>
        <v>2718515</v>
      </c>
      <c r="E1789" s="968">
        <f>SUM(E1783:E1788)</f>
        <v>24</v>
      </c>
      <c r="F1789" s="940">
        <f>SUM(F1783:F1788)</f>
        <v>7295880</v>
      </c>
    </row>
    <row r="1790" spans="1:6" x14ac:dyDescent="0.2">
      <c r="A1790" s="931"/>
      <c r="B1790" s="932">
        <v>7</v>
      </c>
      <c r="C1790" s="1448">
        <v>6</v>
      </c>
      <c r="D1790" s="1089">
        <v>3471012</v>
      </c>
      <c r="E1790" s="1449">
        <v>10</v>
      </c>
      <c r="F1790" s="1428">
        <v>4961725</v>
      </c>
    </row>
    <row r="1791" spans="1:6" x14ac:dyDescent="0.2">
      <c r="A1791" s="931"/>
      <c r="B1791" s="932">
        <v>8</v>
      </c>
      <c r="C1791" s="1339">
        <v>10</v>
      </c>
      <c r="D1791" s="1450"/>
      <c r="E1791" s="1451"/>
      <c r="F1791" s="1452"/>
    </row>
    <row r="1792" spans="1:6" x14ac:dyDescent="0.2">
      <c r="A1792" s="931"/>
      <c r="B1792" s="932">
        <v>9</v>
      </c>
      <c r="C1792" s="1339">
        <v>4</v>
      </c>
      <c r="D1792" s="1089">
        <v>3428912</v>
      </c>
      <c r="E1792" s="1449">
        <v>10</v>
      </c>
      <c r="F1792" s="1428">
        <v>6192000</v>
      </c>
    </row>
    <row r="1793" spans="1:6" x14ac:dyDescent="0.2">
      <c r="A1793" s="931"/>
      <c r="B1793" s="932">
        <v>10</v>
      </c>
      <c r="C1793" s="1339">
        <v>3</v>
      </c>
      <c r="D1793" s="1450"/>
      <c r="E1793" s="1449"/>
      <c r="F1793" s="1452"/>
    </row>
    <row r="1794" spans="1:6" ht="21" thickBot="1" x14ac:dyDescent="0.25">
      <c r="A1794" s="931"/>
      <c r="B1794" s="932">
        <v>12</v>
      </c>
      <c r="C1794" s="1453">
        <v>5</v>
      </c>
      <c r="D1794" s="1454">
        <v>1235326</v>
      </c>
      <c r="E1794" s="1455">
        <v>1</v>
      </c>
      <c r="F1794" s="1456">
        <v>866015</v>
      </c>
    </row>
    <row r="1795" spans="1:6" ht="21" thickBot="1" x14ac:dyDescent="0.25">
      <c r="A1795" s="937" t="s">
        <v>188</v>
      </c>
      <c r="B1795" s="938"/>
      <c r="C1795" s="968">
        <f>SUM(C1790:C1794)</f>
        <v>28</v>
      </c>
      <c r="D1795" s="1081">
        <f>SUM(D1790:D1794)</f>
        <v>8135250</v>
      </c>
      <c r="E1795" s="968">
        <f>SUM(E1790:E1794)</f>
        <v>21</v>
      </c>
      <c r="F1795" s="940">
        <f>SUM(F1790:F1794)</f>
        <v>12019740</v>
      </c>
    </row>
    <row r="1796" spans="1:6" x14ac:dyDescent="0.2">
      <c r="A1796" s="931"/>
      <c r="B1796" s="932">
        <v>13</v>
      </c>
      <c r="C1796" s="933">
        <v>3</v>
      </c>
      <c r="D1796" s="1421">
        <v>1359930</v>
      </c>
      <c r="E1796" s="1405">
        <v>2</v>
      </c>
      <c r="F1796" s="1428">
        <v>2236985</v>
      </c>
    </row>
    <row r="1797" spans="1:6" x14ac:dyDescent="0.2">
      <c r="A1797" s="931"/>
      <c r="B1797" s="932">
        <v>14</v>
      </c>
      <c r="C1797" s="933">
        <v>8</v>
      </c>
      <c r="D1797" s="1421">
        <v>6989825</v>
      </c>
      <c r="E1797" s="1405">
        <v>5</v>
      </c>
      <c r="F1797" s="1428">
        <v>7430080</v>
      </c>
    </row>
    <row r="1798" spans="1:6" x14ac:dyDescent="0.2">
      <c r="A1798" s="931"/>
      <c r="B1798" s="932">
        <v>15</v>
      </c>
      <c r="C1798" s="933"/>
      <c r="D1798" s="1421" t="s">
        <v>765</v>
      </c>
      <c r="E1798" s="1405">
        <v>1</v>
      </c>
      <c r="F1798" s="1428">
        <v>1936201</v>
      </c>
    </row>
    <row r="1799" spans="1:6" ht="21" thickBot="1" x14ac:dyDescent="0.25">
      <c r="A1799" s="931"/>
      <c r="B1799" s="932">
        <v>16</v>
      </c>
      <c r="C1799" s="933">
        <v>3</v>
      </c>
      <c r="D1799" s="1421">
        <v>4612240</v>
      </c>
      <c r="E1799" s="1405">
        <v>2</v>
      </c>
      <c r="F1799" s="1428">
        <v>4900438</v>
      </c>
    </row>
    <row r="1800" spans="1:6" ht="21" thickBot="1" x14ac:dyDescent="0.25">
      <c r="A1800" s="937" t="s">
        <v>189</v>
      </c>
      <c r="B1800" s="938"/>
      <c r="C1800" s="968">
        <f>SUM(C1796:C1799)</f>
        <v>14</v>
      </c>
      <c r="D1800" s="1457">
        <f>SUM(D1796:D1799)</f>
        <v>12961995</v>
      </c>
      <c r="E1800" s="968">
        <f>SUM(E1796:E1799)</f>
        <v>10</v>
      </c>
      <c r="F1800" s="940">
        <f>SUM(F1796:F1799)</f>
        <v>16503704</v>
      </c>
    </row>
    <row r="1801" spans="1:6" ht="21" thickBot="1" x14ac:dyDescent="0.25">
      <c r="A1801" s="937" t="s">
        <v>190</v>
      </c>
      <c r="B1801" s="938"/>
      <c r="C1801" s="939">
        <f>SUM(C1800,C1795,C1789)</f>
        <v>56</v>
      </c>
      <c r="D1801" s="1182">
        <f>SUM(D1800,D1795,D1789)</f>
        <v>23815760</v>
      </c>
      <c r="E1801" s="939">
        <f>SUM(E1800,E1795,E1789)</f>
        <v>55</v>
      </c>
      <c r="F1801" s="940">
        <f>SUM(F1800,F1795,F1789)</f>
        <v>35819324</v>
      </c>
    </row>
    <row r="1802" spans="1:6" x14ac:dyDescent="0.2">
      <c r="A1802" s="964" t="s">
        <v>200</v>
      </c>
      <c r="B1802" s="954"/>
      <c r="C1802" s="933">
        <v>1</v>
      </c>
      <c r="D1802" s="978">
        <v>1250110</v>
      </c>
      <c r="E1802" s="933">
        <v>1</v>
      </c>
      <c r="F1802" s="934">
        <v>1250110</v>
      </c>
    </row>
    <row r="1803" spans="1:6" x14ac:dyDescent="0.2">
      <c r="A1803" s="964" t="s">
        <v>527</v>
      </c>
      <c r="B1803" s="954"/>
      <c r="C1803" s="933"/>
      <c r="D1803" s="978">
        <v>4479705</v>
      </c>
      <c r="E1803" s="933"/>
      <c r="F1803" s="934">
        <v>4479705</v>
      </c>
    </row>
    <row r="1804" spans="1:6" x14ac:dyDescent="0.2">
      <c r="A1804" s="919" t="s">
        <v>216</v>
      </c>
      <c r="C1804" s="933">
        <v>1</v>
      </c>
      <c r="D1804" s="1421">
        <v>1247870</v>
      </c>
      <c r="E1804" s="933">
        <v>1</v>
      </c>
      <c r="F1804" s="1179">
        <v>1247870</v>
      </c>
    </row>
    <row r="1805" spans="1:6" ht="21" thickBot="1" x14ac:dyDescent="0.25">
      <c r="A1805" s="919" t="s">
        <v>530</v>
      </c>
      <c r="C1805" s="933"/>
      <c r="D1805" s="1421">
        <v>4180365</v>
      </c>
      <c r="E1805" s="933"/>
      <c r="F1805" s="1181">
        <v>4180365</v>
      </c>
    </row>
    <row r="1806" spans="1:6" s="924" customFormat="1" ht="21" thickBot="1" x14ac:dyDescent="0.25">
      <c r="A1806" s="950" t="s">
        <v>117</v>
      </c>
      <c r="B1806" s="938"/>
      <c r="C1806" s="939">
        <f>SUM(C1802:C1805)</f>
        <v>2</v>
      </c>
      <c r="D1806" s="940">
        <f>SUM(D1802:D1805)</f>
        <v>11158050</v>
      </c>
      <c r="E1806" s="939">
        <f>SUM(E1802:E1805)</f>
        <v>2</v>
      </c>
      <c r="F1806" s="940">
        <f>SUM(F1802:F1805)</f>
        <v>11158050</v>
      </c>
    </row>
    <row r="1807" spans="1:6" ht="21" thickBot="1" x14ac:dyDescent="0.25">
      <c r="A1807" s="950" t="s">
        <v>1142</v>
      </c>
      <c r="B1807" s="938"/>
      <c r="C1807" s="939">
        <f>SUM(C1801,C1806)</f>
        <v>58</v>
      </c>
      <c r="D1807" s="940">
        <f>SUM(D1801,D1806)</f>
        <v>34973810</v>
      </c>
      <c r="E1807" s="939">
        <f>SUM(E1801,E1806)</f>
        <v>57</v>
      </c>
      <c r="F1807" s="940">
        <f>SUM(F1801,F1806)</f>
        <v>46977374</v>
      </c>
    </row>
    <row r="1808" spans="1:6" x14ac:dyDescent="0.2">
      <c r="A1808" s="3545"/>
      <c r="B1808" s="3545"/>
      <c r="C1808" s="3545"/>
      <c r="D1808" s="3545"/>
      <c r="E1808" s="3545"/>
      <c r="F1808" s="3545"/>
    </row>
    <row r="1809" spans="1:6" x14ac:dyDescent="0.2">
      <c r="A1809" s="3545" t="s">
        <v>183</v>
      </c>
      <c r="B1809" s="3545"/>
      <c r="C1809" s="3545"/>
      <c r="D1809" s="3545"/>
      <c r="E1809" s="3545"/>
      <c r="F1809" s="3545"/>
    </row>
    <row r="1810" spans="1:6" ht="21" thickBot="1" x14ac:dyDescent="0.25">
      <c r="A1810" s="3546" t="s">
        <v>372</v>
      </c>
      <c r="B1810" s="3546"/>
      <c r="C1810" s="3546"/>
      <c r="D1810" s="3546"/>
      <c r="E1810" s="3546"/>
      <c r="F1810" s="3546"/>
    </row>
    <row r="1811" spans="1:6" s="988" customFormat="1" ht="41.25" thickBot="1" x14ac:dyDescent="0.25">
      <c r="A1811" s="920" t="s">
        <v>185</v>
      </c>
      <c r="B1811" s="921" t="s">
        <v>186</v>
      </c>
      <c r="C1811" s="922" t="s">
        <v>564</v>
      </c>
      <c r="D1811" s="923" t="s">
        <v>1128</v>
      </c>
      <c r="E1811" s="922" t="s">
        <v>1129</v>
      </c>
      <c r="F1811" s="923" t="s">
        <v>3096</v>
      </c>
    </row>
    <row r="1812" spans="1:6" x14ac:dyDescent="0.3">
      <c r="A1812" s="925"/>
      <c r="B1812" s="954">
        <v>1</v>
      </c>
      <c r="C1812" s="927" t="s">
        <v>179</v>
      </c>
      <c r="D1812" s="978" t="s">
        <v>179</v>
      </c>
      <c r="E1812" s="929" t="s">
        <v>179</v>
      </c>
      <c r="F1812" s="958" t="s">
        <v>179</v>
      </c>
    </row>
    <row r="1813" spans="1:6" x14ac:dyDescent="0.3">
      <c r="A1813" s="931"/>
      <c r="B1813" s="954">
        <v>2</v>
      </c>
      <c r="C1813" s="933">
        <v>3</v>
      </c>
      <c r="D1813" s="978">
        <v>750700</v>
      </c>
      <c r="E1813" s="935">
        <v>3</v>
      </c>
      <c r="F1813" s="958">
        <v>750700</v>
      </c>
    </row>
    <row r="1814" spans="1:6" x14ac:dyDescent="0.3">
      <c r="A1814" s="931"/>
      <c r="B1814" s="954">
        <v>3</v>
      </c>
      <c r="C1814" s="933">
        <v>10</v>
      </c>
      <c r="D1814" s="978">
        <v>2583300</v>
      </c>
      <c r="E1814" s="935">
        <v>10</v>
      </c>
      <c r="F1814" s="958">
        <v>2583300</v>
      </c>
    </row>
    <row r="1815" spans="1:6" x14ac:dyDescent="0.3">
      <c r="A1815" s="931"/>
      <c r="B1815" s="954">
        <v>4</v>
      </c>
      <c r="C1815" s="933">
        <v>21</v>
      </c>
      <c r="D1815" s="978">
        <v>6137900</v>
      </c>
      <c r="E1815" s="935">
        <v>20</v>
      </c>
      <c r="F1815" s="958">
        <v>6137900</v>
      </c>
    </row>
    <row r="1816" spans="1:6" x14ac:dyDescent="0.3">
      <c r="A1816" s="931"/>
      <c r="B1816" s="954">
        <v>5</v>
      </c>
      <c r="C1816" s="933">
        <v>1</v>
      </c>
      <c r="D1816" s="978">
        <v>299500</v>
      </c>
      <c r="E1816" s="935">
        <v>1</v>
      </c>
      <c r="F1816" s="958">
        <v>299500</v>
      </c>
    </row>
    <row r="1817" spans="1:6" ht="21" thickBot="1" x14ac:dyDescent="0.35">
      <c r="A1817" s="931"/>
      <c r="B1817" s="954">
        <v>6</v>
      </c>
      <c r="C1817" s="933">
        <v>7</v>
      </c>
      <c r="D1817" s="978">
        <v>2522800</v>
      </c>
      <c r="E1817" s="935">
        <v>7</v>
      </c>
      <c r="F1817" s="958">
        <v>2522800</v>
      </c>
    </row>
    <row r="1818" spans="1:6" ht="21" thickBot="1" x14ac:dyDescent="0.35">
      <c r="A1818" s="937" t="s">
        <v>187</v>
      </c>
      <c r="B1818" s="938"/>
      <c r="C1818" s="968">
        <f>C1817+C1816+C1815+C1814+C1813</f>
        <v>42</v>
      </c>
      <c r="D1818" s="940">
        <f>D1817+D1816+D1815+D1814+D1813</f>
        <v>12294200</v>
      </c>
      <c r="E1818" s="1058">
        <f t="shared" ref="E1818" si="33">SUM(E1813:E1817)</f>
        <v>41</v>
      </c>
      <c r="F1818" s="961">
        <f>SUM(F1813:F1817)</f>
        <v>12294200</v>
      </c>
    </row>
    <row r="1819" spans="1:6" x14ac:dyDescent="0.3">
      <c r="A1819" s="931"/>
      <c r="B1819" s="954">
        <v>7</v>
      </c>
      <c r="C1819" s="933">
        <v>16</v>
      </c>
      <c r="D1819" s="978">
        <v>7728000</v>
      </c>
      <c r="E1819" s="935">
        <v>16</v>
      </c>
      <c r="F1819" s="958">
        <v>7728000</v>
      </c>
    </row>
    <row r="1820" spans="1:6" x14ac:dyDescent="0.3">
      <c r="A1820" s="931"/>
      <c r="B1820" s="954">
        <v>8</v>
      </c>
      <c r="C1820" s="933">
        <v>0</v>
      </c>
      <c r="D1820" s="978">
        <v>0</v>
      </c>
      <c r="E1820" s="935">
        <v>4</v>
      </c>
      <c r="F1820" s="958">
        <v>2403588</v>
      </c>
    </row>
    <row r="1821" spans="1:6" x14ac:dyDescent="0.3">
      <c r="A1821" s="931"/>
      <c r="B1821" s="954">
        <v>9</v>
      </c>
      <c r="C1821" s="933">
        <v>3</v>
      </c>
      <c r="D1821" s="978">
        <v>2178300</v>
      </c>
      <c r="E1821" s="935">
        <v>3</v>
      </c>
      <c r="F1821" s="958">
        <v>2178300</v>
      </c>
    </row>
    <row r="1822" spans="1:6" x14ac:dyDescent="0.3">
      <c r="A1822" s="931"/>
      <c r="B1822" s="954">
        <v>10</v>
      </c>
      <c r="C1822" s="933">
        <v>7</v>
      </c>
      <c r="D1822" s="978">
        <v>6123200</v>
      </c>
      <c r="E1822" s="935">
        <v>7</v>
      </c>
      <c r="F1822" s="958">
        <v>6123200</v>
      </c>
    </row>
    <row r="1823" spans="1:6" ht="21" thickBot="1" x14ac:dyDescent="0.35">
      <c r="A1823" s="931"/>
      <c r="B1823" s="954">
        <v>12</v>
      </c>
      <c r="C1823" s="933">
        <v>6</v>
      </c>
      <c r="D1823" s="978">
        <v>6073800</v>
      </c>
      <c r="E1823" s="935">
        <v>6</v>
      </c>
      <c r="F1823" s="958">
        <v>6073800</v>
      </c>
    </row>
    <row r="1824" spans="1:6" ht="21" thickBot="1" x14ac:dyDescent="0.35">
      <c r="A1824" s="937" t="s">
        <v>188</v>
      </c>
      <c r="B1824" s="938"/>
      <c r="C1824" s="968">
        <f>C1823+C1822+C1821+C1820+C1819</f>
        <v>32</v>
      </c>
      <c r="D1824" s="940">
        <f>D1823+D1822+D1821+D1820+D1819</f>
        <v>22103300</v>
      </c>
      <c r="E1824" s="1058">
        <f t="shared" ref="E1824" si="34">SUM(E1819:E1823)</f>
        <v>36</v>
      </c>
      <c r="F1824" s="961">
        <f>SUM(F1819:F1823)</f>
        <v>24506888</v>
      </c>
    </row>
    <row r="1825" spans="1:6" x14ac:dyDescent="0.3">
      <c r="A1825" s="931"/>
      <c r="B1825" s="954">
        <v>13</v>
      </c>
      <c r="C1825" s="933">
        <v>6</v>
      </c>
      <c r="D1825" s="1089">
        <v>6720300</v>
      </c>
      <c r="E1825" s="935">
        <v>6</v>
      </c>
      <c r="F1825" s="1149">
        <v>6720300</v>
      </c>
    </row>
    <row r="1826" spans="1:6" x14ac:dyDescent="0.3">
      <c r="A1826" s="931"/>
      <c r="B1826" s="954">
        <v>14</v>
      </c>
      <c r="C1826" s="933">
        <v>11</v>
      </c>
      <c r="D1826" s="1089">
        <v>10597295</v>
      </c>
      <c r="E1826" s="935">
        <v>11</v>
      </c>
      <c r="F1826" s="1149">
        <v>10597295</v>
      </c>
    </row>
    <row r="1827" spans="1:6" x14ac:dyDescent="0.3">
      <c r="A1827" s="931"/>
      <c r="B1827" s="954">
        <v>15</v>
      </c>
      <c r="C1827" s="933">
        <v>2</v>
      </c>
      <c r="D1827" s="1089">
        <v>3396200</v>
      </c>
      <c r="E1827" s="935">
        <v>2</v>
      </c>
      <c r="F1827" s="1149">
        <v>3396200</v>
      </c>
    </row>
    <row r="1828" spans="1:6" ht="21" thickBot="1" x14ac:dyDescent="0.35">
      <c r="A1828" s="931"/>
      <c r="B1828" s="954">
        <v>16</v>
      </c>
      <c r="C1828" s="933">
        <v>1</v>
      </c>
      <c r="D1828" s="1454">
        <v>2090100</v>
      </c>
      <c r="E1828" s="935">
        <v>1</v>
      </c>
      <c r="F1828" s="1458">
        <v>2090100</v>
      </c>
    </row>
    <row r="1829" spans="1:6" ht="21" thickBot="1" x14ac:dyDescent="0.25">
      <c r="A1829" s="937" t="s">
        <v>189</v>
      </c>
      <c r="B1829" s="938"/>
      <c r="C1829" s="968">
        <f>SUM(C1825:C1828)</f>
        <v>20</v>
      </c>
      <c r="D1829" s="940">
        <f>SUM(D1825:D1828)</f>
        <v>22803895</v>
      </c>
      <c r="E1829" s="968">
        <f>SUM(E1825:E1828)</f>
        <v>20</v>
      </c>
      <c r="F1829" s="940">
        <f>SUM(F1825:F1828)</f>
        <v>22803895</v>
      </c>
    </row>
    <row r="1830" spans="1:6" ht="21" thickBot="1" x14ac:dyDescent="0.25">
      <c r="A1830" s="937" t="s">
        <v>190</v>
      </c>
      <c r="B1830" s="938"/>
      <c r="C1830" s="939">
        <f>SUM(C1829,C1824,C1818)</f>
        <v>94</v>
      </c>
      <c r="D1830" s="940">
        <f>SUM(D1829,D1824,D1818)</f>
        <v>57201395</v>
      </c>
      <c r="E1830" s="939">
        <f>SUM(E1829,E1824,E1818)</f>
        <v>97</v>
      </c>
      <c r="F1830" s="940">
        <f>SUM(F1829,F1824,F1818)</f>
        <v>59604983</v>
      </c>
    </row>
    <row r="1831" spans="1:6" x14ac:dyDescent="0.2">
      <c r="A1831" s="964" t="s">
        <v>528</v>
      </c>
      <c r="B1831" s="954"/>
      <c r="C1831" s="933">
        <v>1</v>
      </c>
      <c r="D1831" s="978">
        <v>1337225</v>
      </c>
      <c r="E1831" s="933">
        <v>1</v>
      </c>
      <c r="F1831" s="928">
        <v>1337225</v>
      </c>
    </row>
    <row r="1832" spans="1:6" x14ac:dyDescent="0.2">
      <c r="A1832" s="964" t="s">
        <v>529</v>
      </c>
      <c r="B1832" s="954"/>
      <c r="C1832" s="933"/>
      <c r="D1832" s="978">
        <v>4479705</v>
      </c>
      <c r="E1832" s="933"/>
      <c r="F1832" s="934">
        <v>4479705</v>
      </c>
    </row>
    <row r="1833" spans="1:6" x14ac:dyDescent="0.2">
      <c r="A1833" s="964" t="s">
        <v>771</v>
      </c>
      <c r="B1833" s="954"/>
      <c r="C1833" s="933">
        <v>1</v>
      </c>
      <c r="D1833" s="978">
        <v>1247870</v>
      </c>
      <c r="E1833" s="933">
        <v>1</v>
      </c>
      <c r="F1833" s="934">
        <v>1247870</v>
      </c>
    </row>
    <row r="1834" spans="1:6" ht="21" thickBot="1" x14ac:dyDescent="0.25">
      <c r="A1834" s="964" t="s">
        <v>530</v>
      </c>
      <c r="B1834" s="954"/>
      <c r="C1834" s="933"/>
      <c r="D1834" s="978">
        <v>4180365</v>
      </c>
      <c r="E1834" s="933"/>
      <c r="F1834" s="934">
        <v>4180365</v>
      </c>
    </row>
    <row r="1835" spans="1:6" ht="21" thickBot="1" x14ac:dyDescent="0.25">
      <c r="A1835" s="1459" t="s">
        <v>117</v>
      </c>
      <c r="B1835" s="1077"/>
      <c r="C1835" s="1078">
        <f>SUM(C1831:C1834)</f>
        <v>2</v>
      </c>
      <c r="D1835" s="1460">
        <f>SUM(D1831:D1834)</f>
        <v>11245165</v>
      </c>
      <c r="E1835" s="1078">
        <f>SUM(E1831:E1834)</f>
        <v>2</v>
      </c>
      <c r="F1835" s="1080">
        <f>SUM(F1831:F1834)</f>
        <v>11245165</v>
      </c>
    </row>
    <row r="1836" spans="1:6" ht="21" thickBot="1" x14ac:dyDescent="0.25">
      <c r="A1836" s="950" t="s">
        <v>212</v>
      </c>
      <c r="B1836" s="938"/>
      <c r="C1836" s="939">
        <f>SUM(C1830,C1835)</f>
        <v>96</v>
      </c>
      <c r="D1836" s="940">
        <f>SUM(D1830,D1835)</f>
        <v>68446560</v>
      </c>
      <c r="E1836" s="939">
        <f>SUM(E1830,E1835)</f>
        <v>99</v>
      </c>
      <c r="F1836" s="940">
        <f>SUM(F1830,F1835)</f>
        <v>70850148</v>
      </c>
    </row>
    <row r="1837" spans="1:6" x14ac:dyDescent="0.2">
      <c r="A1837" s="3545"/>
      <c r="B1837" s="3545"/>
      <c r="C1837" s="3545"/>
      <c r="D1837" s="3545"/>
      <c r="E1837" s="3545"/>
      <c r="F1837" s="3545"/>
    </row>
    <row r="1838" spans="1:6" x14ac:dyDescent="0.2">
      <c r="A1838" s="3545" t="s">
        <v>183</v>
      </c>
      <c r="B1838" s="3545"/>
      <c r="C1838" s="3545"/>
      <c r="D1838" s="3545"/>
      <c r="E1838" s="3545"/>
      <c r="F1838" s="3545"/>
    </row>
    <row r="1839" spans="1:6" ht="21" thickBot="1" x14ac:dyDescent="0.25">
      <c r="A1839" s="3546" t="s">
        <v>373</v>
      </c>
      <c r="B1839" s="3546"/>
      <c r="C1839" s="3546"/>
      <c r="D1839" s="3546"/>
      <c r="E1839" s="3546"/>
      <c r="F1839" s="3546"/>
    </row>
    <row r="1840" spans="1:6" s="988" customFormat="1" ht="48.75" customHeight="1" thickBot="1" x14ac:dyDescent="0.25">
      <c r="A1840" s="920" t="s">
        <v>185</v>
      </c>
      <c r="B1840" s="921" t="s">
        <v>186</v>
      </c>
      <c r="C1840" s="922" t="s">
        <v>564</v>
      </c>
      <c r="D1840" s="923" t="s">
        <v>1128</v>
      </c>
      <c r="E1840" s="922" t="s">
        <v>1129</v>
      </c>
      <c r="F1840" s="923" t="s">
        <v>3096</v>
      </c>
    </row>
    <row r="1841" spans="1:6" x14ac:dyDescent="0.3">
      <c r="A1841" s="925"/>
      <c r="B1841" s="954">
        <v>1</v>
      </c>
      <c r="C1841" s="927">
        <v>0</v>
      </c>
      <c r="D1841" s="978" t="s">
        <v>179</v>
      </c>
      <c r="E1841" s="929"/>
      <c r="F1841" s="958"/>
    </row>
    <row r="1842" spans="1:6" x14ac:dyDescent="0.3">
      <c r="A1842" s="931"/>
      <c r="B1842" s="954">
        <v>2</v>
      </c>
      <c r="C1842" s="933">
        <v>0</v>
      </c>
      <c r="D1842" s="978">
        <v>0</v>
      </c>
      <c r="E1842" s="935"/>
      <c r="F1842" s="958"/>
    </row>
    <row r="1843" spans="1:6" x14ac:dyDescent="0.3">
      <c r="A1843" s="931"/>
      <c r="B1843" s="954">
        <v>3</v>
      </c>
      <c r="C1843" s="933">
        <v>0</v>
      </c>
      <c r="D1843" s="978">
        <v>0</v>
      </c>
      <c r="E1843" s="935"/>
      <c r="F1843" s="958"/>
    </row>
    <row r="1844" spans="1:6" x14ac:dyDescent="0.3">
      <c r="A1844" s="931"/>
      <c r="B1844" s="954">
        <v>4</v>
      </c>
      <c r="C1844" s="933">
        <v>19</v>
      </c>
      <c r="D1844" s="978">
        <v>4855310</v>
      </c>
      <c r="E1844" s="935">
        <v>16</v>
      </c>
      <c r="F1844" s="958">
        <v>4855312</v>
      </c>
    </row>
    <row r="1845" spans="1:6" x14ac:dyDescent="0.3">
      <c r="A1845" s="931"/>
      <c r="B1845" s="954">
        <v>5</v>
      </c>
      <c r="C1845" s="933">
        <v>2</v>
      </c>
      <c r="D1845" s="978">
        <v>721480</v>
      </c>
      <c r="E1845" s="935">
        <v>2</v>
      </c>
      <c r="F1845" s="958">
        <v>1442960</v>
      </c>
    </row>
    <row r="1846" spans="1:6" ht="21" thickBot="1" x14ac:dyDescent="0.35">
      <c r="A1846" s="931"/>
      <c r="B1846" s="954">
        <v>6</v>
      </c>
      <c r="C1846" s="933">
        <v>2</v>
      </c>
      <c r="D1846" s="978">
        <v>2265850</v>
      </c>
      <c r="E1846" s="935">
        <v>2</v>
      </c>
      <c r="F1846" s="958">
        <v>2265850</v>
      </c>
    </row>
    <row r="1847" spans="1:6" ht="21" thickBot="1" x14ac:dyDescent="0.35">
      <c r="A1847" s="937" t="s">
        <v>187</v>
      </c>
      <c r="B1847" s="938"/>
      <c r="C1847" s="968">
        <f>SUM(C1841:C1846)</f>
        <v>23</v>
      </c>
      <c r="D1847" s="940">
        <f>SUM(D1841:D1846)</f>
        <v>7842640</v>
      </c>
      <c r="E1847" s="1058">
        <f>SUM(E1841:E1846)</f>
        <v>20</v>
      </c>
      <c r="F1847" s="961">
        <f>SUM(F1841:F1846)</f>
        <v>8564122</v>
      </c>
    </row>
    <row r="1848" spans="1:6" x14ac:dyDescent="0.3">
      <c r="A1848" s="931"/>
      <c r="B1848" s="954">
        <v>7</v>
      </c>
      <c r="C1848" s="933">
        <v>5</v>
      </c>
      <c r="D1848" s="978">
        <v>2334690</v>
      </c>
      <c r="E1848" s="935">
        <v>5</v>
      </c>
      <c r="F1848" s="958">
        <v>2334690</v>
      </c>
    </row>
    <row r="1849" spans="1:6" x14ac:dyDescent="0.3">
      <c r="A1849" s="931"/>
      <c r="B1849" s="954">
        <v>8</v>
      </c>
      <c r="C1849" s="933">
        <v>2</v>
      </c>
      <c r="D1849" s="978">
        <v>3087010</v>
      </c>
      <c r="E1849" s="935">
        <v>1</v>
      </c>
      <c r="F1849" s="958">
        <v>543505</v>
      </c>
    </row>
    <row r="1850" spans="1:6" x14ac:dyDescent="0.3">
      <c r="A1850" s="931"/>
      <c r="B1850" s="954">
        <v>9</v>
      </c>
      <c r="C1850" s="933">
        <v>0</v>
      </c>
      <c r="D1850" s="978" t="s">
        <v>765</v>
      </c>
      <c r="E1850" s="935">
        <v>1</v>
      </c>
      <c r="F1850" s="958">
        <v>601245</v>
      </c>
    </row>
    <row r="1851" spans="1:6" x14ac:dyDescent="0.3">
      <c r="A1851" s="931"/>
      <c r="B1851" s="954">
        <v>10</v>
      </c>
      <c r="C1851" s="933">
        <v>4</v>
      </c>
      <c r="D1851" s="978">
        <v>4364525</v>
      </c>
      <c r="E1851" s="935">
        <v>1</v>
      </c>
      <c r="F1851" s="958">
        <v>2182263</v>
      </c>
    </row>
    <row r="1852" spans="1:6" ht="21" thickBot="1" x14ac:dyDescent="0.35">
      <c r="A1852" s="931"/>
      <c r="B1852" s="954">
        <v>12</v>
      </c>
      <c r="C1852" s="933">
        <v>0</v>
      </c>
      <c r="D1852" s="978" t="s">
        <v>765</v>
      </c>
      <c r="E1852" s="935" t="s">
        <v>1980</v>
      </c>
      <c r="F1852" s="981" t="s">
        <v>1980</v>
      </c>
    </row>
    <row r="1853" spans="1:6" ht="21" thickBot="1" x14ac:dyDescent="0.35">
      <c r="A1853" s="937" t="s">
        <v>188</v>
      </c>
      <c r="B1853" s="938"/>
      <c r="C1853" s="968">
        <f>SUM(C1848:C1852)</f>
        <v>11</v>
      </c>
      <c r="D1853" s="940">
        <f>SUM(D1848:D1852)</f>
        <v>9786225</v>
      </c>
      <c r="E1853" s="1058">
        <f>SUM(E1848:E1852)</f>
        <v>8</v>
      </c>
      <c r="F1853" s="961">
        <f>SUM(F1848:F1852)</f>
        <v>5661703</v>
      </c>
    </row>
    <row r="1854" spans="1:6" x14ac:dyDescent="0.3">
      <c r="A1854" s="931"/>
      <c r="B1854" s="954">
        <v>13</v>
      </c>
      <c r="C1854" s="933">
        <v>4</v>
      </c>
      <c r="D1854" s="978">
        <v>4566780</v>
      </c>
      <c r="E1854" s="935">
        <v>2</v>
      </c>
      <c r="F1854" s="957">
        <v>4566780</v>
      </c>
    </row>
    <row r="1855" spans="1:6" x14ac:dyDescent="0.3">
      <c r="A1855" s="931"/>
      <c r="B1855" s="954">
        <v>14</v>
      </c>
      <c r="C1855" s="933">
        <v>1</v>
      </c>
      <c r="D1855" s="978">
        <v>1818410</v>
      </c>
      <c r="E1855" s="935">
        <v>6</v>
      </c>
      <c r="F1855" s="958">
        <v>10092225</v>
      </c>
    </row>
    <row r="1856" spans="1:6" x14ac:dyDescent="0.3">
      <c r="A1856" s="931"/>
      <c r="B1856" s="954">
        <v>15</v>
      </c>
      <c r="C1856" s="933">
        <v>2</v>
      </c>
      <c r="D1856" s="978">
        <v>4443560</v>
      </c>
      <c r="E1856" s="935">
        <v>2</v>
      </c>
      <c r="F1856" s="958">
        <v>4443560</v>
      </c>
    </row>
    <row r="1857" spans="1:6" ht="21" thickBot="1" x14ac:dyDescent="0.35">
      <c r="A1857" s="931"/>
      <c r="B1857" s="954">
        <v>16</v>
      </c>
      <c r="C1857" s="933">
        <v>2</v>
      </c>
      <c r="D1857" s="978">
        <v>3267405</v>
      </c>
      <c r="E1857" s="935">
        <v>1</v>
      </c>
      <c r="F1857" s="958">
        <v>3267405</v>
      </c>
    </row>
    <row r="1858" spans="1:6" ht="21" thickBot="1" x14ac:dyDescent="0.25">
      <c r="A1858" s="937" t="s">
        <v>189</v>
      </c>
      <c r="B1858" s="938"/>
      <c r="C1858" s="968">
        <f>SUM(C1854:C1857)</f>
        <v>9</v>
      </c>
      <c r="D1858" s="940">
        <f>SUM(D1854:D1857)</f>
        <v>14096155</v>
      </c>
      <c r="E1858" s="968">
        <f>SUM(E1854:E1857)</f>
        <v>11</v>
      </c>
      <c r="F1858" s="940">
        <f>SUM(F1854:F1857)</f>
        <v>22369970</v>
      </c>
    </row>
    <row r="1859" spans="1:6" ht="21" thickBot="1" x14ac:dyDescent="0.25">
      <c r="A1859" s="990" t="s">
        <v>190</v>
      </c>
      <c r="B1859" s="991"/>
      <c r="C1859" s="992">
        <f>SUM(C1858,C1853,C1847)</f>
        <v>43</v>
      </c>
      <c r="D1859" s="969">
        <f>SUM(D1858,D1853,D1847)</f>
        <v>31725020</v>
      </c>
      <c r="E1859" s="992">
        <f>SUM(E1858,E1853,E1847)</f>
        <v>39</v>
      </c>
      <c r="F1859" s="969">
        <f>SUM(F1858,F1853,F1847)</f>
        <v>36595795</v>
      </c>
    </row>
    <row r="1860" spans="1:6" x14ac:dyDescent="0.2">
      <c r="A1860" s="964" t="s">
        <v>200</v>
      </c>
      <c r="B1860" s="954"/>
      <c r="C1860" s="933">
        <v>1</v>
      </c>
      <c r="D1860" s="978">
        <v>1250110</v>
      </c>
      <c r="E1860" s="933">
        <v>1</v>
      </c>
      <c r="F1860" s="928">
        <v>1250110</v>
      </c>
    </row>
    <row r="1861" spans="1:6" ht="21" thickBot="1" x14ac:dyDescent="0.25">
      <c r="A1861" s="964" t="s">
        <v>201</v>
      </c>
      <c r="B1861" s="954"/>
      <c r="C1861" s="933"/>
      <c r="D1861" s="978">
        <v>4479705</v>
      </c>
      <c r="E1861" s="933"/>
      <c r="F1861" s="934">
        <v>4479705</v>
      </c>
    </row>
    <row r="1862" spans="1:6" ht="21" thickBot="1" x14ac:dyDescent="0.25">
      <c r="A1862" s="1459" t="s">
        <v>117</v>
      </c>
      <c r="B1862" s="1077"/>
      <c r="C1862" s="1078">
        <f>SUM(C1860:C1861)</f>
        <v>1</v>
      </c>
      <c r="D1862" s="1460">
        <f>SUM(D1860:D1861)</f>
        <v>5729815</v>
      </c>
      <c r="E1862" s="1078">
        <f>SUM(E1860:E1861)</f>
        <v>1</v>
      </c>
      <c r="F1862" s="1080">
        <f>SUM(F1860:F1861)</f>
        <v>5729815</v>
      </c>
    </row>
    <row r="1863" spans="1:6" ht="21" thickBot="1" x14ac:dyDescent="0.25">
      <c r="A1863" s="950" t="s">
        <v>213</v>
      </c>
      <c r="B1863" s="938"/>
      <c r="C1863" s="939">
        <f>SUM(C1859,C1862)</f>
        <v>44</v>
      </c>
      <c r="D1863" s="1032">
        <f>SUM(D1859,D1862)</f>
        <v>37454835</v>
      </c>
      <c r="E1863" s="939">
        <f>SUM(E1859,E1862)</f>
        <v>40</v>
      </c>
      <c r="F1863" s="940">
        <f>SUM(F1859,F1862)</f>
        <v>42325610</v>
      </c>
    </row>
    <row r="1864" spans="1:6" x14ac:dyDescent="0.2">
      <c r="A1864" s="1461"/>
      <c r="B1864" s="1461"/>
      <c r="C1864" s="1462"/>
      <c r="D1864" s="1461"/>
      <c r="E1864" s="1461"/>
      <c r="F1864" s="1463"/>
    </row>
    <row r="1865" spans="1:6" x14ac:dyDescent="0.2">
      <c r="A1865" s="3545" t="s">
        <v>183</v>
      </c>
      <c r="B1865" s="3545"/>
      <c r="C1865" s="3545"/>
      <c r="D1865" s="3545"/>
      <c r="E1865" s="3545"/>
      <c r="F1865" s="3545"/>
    </row>
    <row r="1866" spans="1:6" ht="21" thickBot="1" x14ac:dyDescent="0.25">
      <c r="A1866" s="3546" t="s">
        <v>1222</v>
      </c>
      <c r="B1866" s="3546"/>
      <c r="C1866" s="3546"/>
      <c r="D1866" s="3546"/>
      <c r="E1866" s="3546"/>
      <c r="F1866" s="3546"/>
    </row>
    <row r="1867" spans="1:6" s="1303" customFormat="1" ht="38.25" thickBot="1" x14ac:dyDescent="0.25">
      <c r="A1867" s="999" t="s">
        <v>185</v>
      </c>
      <c r="B1867" s="1000" t="s">
        <v>186</v>
      </c>
      <c r="C1867" s="1001" t="s">
        <v>564</v>
      </c>
      <c r="D1867" s="1003" t="s">
        <v>1128</v>
      </c>
      <c r="E1867" s="1001" t="s">
        <v>1129</v>
      </c>
      <c r="F1867" s="1003" t="s">
        <v>3096</v>
      </c>
    </row>
    <row r="1868" spans="1:6" s="1470" customFormat="1" ht="16.5" x14ac:dyDescent="0.2">
      <c r="A1868" s="1464"/>
      <c r="B1868" s="1465">
        <v>3</v>
      </c>
      <c r="C1868" s="1466">
        <v>15</v>
      </c>
      <c r="D1868" s="1467">
        <v>10152010</v>
      </c>
      <c r="E1868" s="1468">
        <v>15</v>
      </c>
      <c r="F1868" s="1469">
        <v>10659610</v>
      </c>
    </row>
    <row r="1869" spans="1:6" s="1470" customFormat="1" ht="16.5" x14ac:dyDescent="0.2">
      <c r="A1869" s="1464"/>
      <c r="B1869" s="1465">
        <v>4</v>
      </c>
      <c r="C1869" s="1466">
        <v>35</v>
      </c>
      <c r="D1869" s="1467">
        <v>15316980</v>
      </c>
      <c r="E1869" s="1468">
        <v>35</v>
      </c>
      <c r="F1869" s="1469">
        <v>16082829</v>
      </c>
    </row>
    <row r="1870" spans="1:6" s="1470" customFormat="1" ht="16.5" x14ac:dyDescent="0.2">
      <c r="A1870" s="1464"/>
      <c r="B1870" s="1465">
        <v>5</v>
      </c>
      <c r="C1870" s="1466">
        <v>10</v>
      </c>
      <c r="D1870" s="1467">
        <v>6096745</v>
      </c>
      <c r="E1870" s="1468">
        <v>10</v>
      </c>
      <c r="F1870" s="1469">
        <v>6401582</v>
      </c>
    </row>
    <row r="1871" spans="1:6" s="1470" customFormat="1" ht="17.25" thickBot="1" x14ac:dyDescent="0.25">
      <c r="A1871" s="1464"/>
      <c r="B1871" s="1465">
        <v>6</v>
      </c>
      <c r="C1871" s="1466">
        <v>16</v>
      </c>
      <c r="D1871" s="1471">
        <v>7687125</v>
      </c>
      <c r="E1871" s="1468">
        <v>16</v>
      </c>
      <c r="F1871" s="1472">
        <v>8071481</v>
      </c>
    </row>
    <row r="1872" spans="1:6" s="975" customFormat="1" ht="19.5" thickBot="1" x14ac:dyDescent="0.25">
      <c r="A1872" s="1304" t="s">
        <v>187</v>
      </c>
      <c r="B1872" s="1305"/>
      <c r="C1872" s="1306">
        <f>SUM(C1868:C1871)</f>
        <v>76</v>
      </c>
      <c r="D1872" s="1308">
        <f>SUM(D1868:D1871)</f>
        <v>39252860</v>
      </c>
      <c r="E1872" s="1473">
        <f>SUM(E1868:E1871)</f>
        <v>76</v>
      </c>
      <c r="F1872" s="1308">
        <f>SUM(F1868:F1871)</f>
        <v>41215502</v>
      </c>
    </row>
    <row r="1873" spans="1:6" s="1470" customFormat="1" ht="16.5" x14ac:dyDescent="0.2">
      <c r="A1873" s="1464"/>
      <c r="B1873" s="1465">
        <v>7</v>
      </c>
      <c r="C1873" s="1466">
        <v>20</v>
      </c>
      <c r="D1873" s="1474">
        <v>17933495</v>
      </c>
      <c r="E1873" s="1468">
        <v>20</v>
      </c>
      <c r="F1873" s="1475">
        <v>18830169</v>
      </c>
    </row>
    <row r="1874" spans="1:6" s="1470" customFormat="1" ht="16.5" x14ac:dyDescent="0.2">
      <c r="A1874" s="1464"/>
      <c r="B1874" s="1465">
        <v>8</v>
      </c>
      <c r="C1874" s="1466">
        <v>15</v>
      </c>
      <c r="D1874" s="1474">
        <v>18634295</v>
      </c>
      <c r="E1874" s="1468">
        <v>15</v>
      </c>
      <c r="F1874" s="1475">
        <v>19566009</v>
      </c>
    </row>
    <row r="1875" spans="1:6" s="1470" customFormat="1" ht="16.5" x14ac:dyDescent="0.2">
      <c r="A1875" s="1464"/>
      <c r="B1875" s="1465">
        <v>9</v>
      </c>
      <c r="C1875" s="1466">
        <v>10</v>
      </c>
      <c r="D1875" s="1474">
        <v>4915260</v>
      </c>
      <c r="E1875" s="1468">
        <v>10</v>
      </c>
      <c r="F1875" s="1475">
        <v>5160023</v>
      </c>
    </row>
    <row r="1876" spans="1:6" s="1470" customFormat="1" ht="16.5" x14ac:dyDescent="0.2">
      <c r="A1876" s="1464"/>
      <c r="B1876" s="1465">
        <v>10</v>
      </c>
      <c r="C1876" s="1466">
        <v>5</v>
      </c>
      <c r="D1876" s="1474">
        <v>4334595</v>
      </c>
      <c r="E1876" s="1468">
        <v>5</v>
      </c>
      <c r="F1876" s="1475">
        <v>4551324</v>
      </c>
    </row>
    <row r="1877" spans="1:6" s="1470" customFormat="1" ht="17.25" thickBot="1" x14ac:dyDescent="0.25">
      <c r="A1877" s="1464"/>
      <c r="B1877" s="1465">
        <v>12</v>
      </c>
      <c r="C1877" s="1466">
        <v>6</v>
      </c>
      <c r="D1877" s="1474">
        <v>2334595</v>
      </c>
      <c r="E1877" s="1468">
        <v>6</v>
      </c>
      <c r="F1877" s="1475">
        <v>2451324</v>
      </c>
    </row>
    <row r="1878" spans="1:6" s="975" customFormat="1" ht="19.5" thickBot="1" x14ac:dyDescent="0.25">
      <c r="A1878" s="1304" t="s">
        <v>188</v>
      </c>
      <c r="B1878" s="1305"/>
      <c r="C1878" s="1306">
        <f>SUM(C1873:C1877)</f>
        <v>56</v>
      </c>
      <c r="D1878" s="1308">
        <f>SUM(D1873:D1877)</f>
        <v>48152240</v>
      </c>
      <c r="E1878" s="1473">
        <f>SUM(E1873:E1877)</f>
        <v>56</v>
      </c>
      <c r="F1878" s="1308">
        <f>SUM(F1873:F1877)</f>
        <v>50558849</v>
      </c>
    </row>
    <row r="1879" spans="1:6" s="1470" customFormat="1" ht="16.5" x14ac:dyDescent="0.2">
      <c r="A1879" s="1464"/>
      <c r="B1879" s="1465">
        <v>13</v>
      </c>
      <c r="C1879" s="1466">
        <v>20</v>
      </c>
      <c r="D1879" s="1474">
        <v>18863830</v>
      </c>
      <c r="E1879" s="1468">
        <v>20</v>
      </c>
      <c r="F1879" s="1475">
        <v>19807021</v>
      </c>
    </row>
    <row r="1880" spans="1:6" s="1470" customFormat="1" ht="16.5" x14ac:dyDescent="0.2">
      <c r="A1880" s="1464"/>
      <c r="B1880" s="1465">
        <v>14</v>
      </c>
      <c r="C1880" s="1466">
        <v>18</v>
      </c>
      <c r="D1880" s="1474">
        <v>22462165</v>
      </c>
      <c r="E1880" s="1468">
        <v>18</v>
      </c>
      <c r="F1880" s="1475">
        <v>23585273</v>
      </c>
    </row>
    <row r="1881" spans="1:6" s="1470" customFormat="1" ht="16.5" x14ac:dyDescent="0.2">
      <c r="A1881" s="1464"/>
      <c r="B1881" s="1465">
        <v>15</v>
      </c>
      <c r="C1881" s="1466">
        <v>5</v>
      </c>
      <c r="D1881" s="1474">
        <v>11575180</v>
      </c>
      <c r="E1881" s="1468">
        <v>5</v>
      </c>
      <c r="F1881" s="1475">
        <v>12153939</v>
      </c>
    </row>
    <row r="1882" spans="1:6" s="1470" customFormat="1" ht="17.25" thickBot="1" x14ac:dyDescent="0.25">
      <c r="A1882" s="1464"/>
      <c r="B1882" s="1465">
        <v>16</v>
      </c>
      <c r="C1882" s="1466">
        <v>8</v>
      </c>
      <c r="D1882" s="1474">
        <v>12145980</v>
      </c>
      <c r="E1882" s="1468">
        <v>8</v>
      </c>
      <c r="F1882" s="1475">
        <v>12753279</v>
      </c>
    </row>
    <row r="1883" spans="1:6" s="975" customFormat="1" ht="19.5" thickBot="1" x14ac:dyDescent="0.25">
      <c r="A1883" s="1304" t="s">
        <v>189</v>
      </c>
      <c r="B1883" s="1305"/>
      <c r="C1883" s="1306">
        <f>SUM(C1879:C1882)</f>
        <v>51</v>
      </c>
      <c r="D1883" s="1308">
        <f>SUM(D1879:D1882)</f>
        <v>65047155</v>
      </c>
      <c r="E1883" s="1473">
        <f>SUM(E1879:E1882)</f>
        <v>51</v>
      </c>
      <c r="F1883" s="1308">
        <f>SUM(F1879:F1882)</f>
        <v>68299512</v>
      </c>
    </row>
    <row r="1884" spans="1:6" s="975" customFormat="1" ht="19.5" thickBot="1" x14ac:dyDescent="0.25">
      <c r="A1884" s="1309" t="s">
        <v>190</v>
      </c>
      <c r="B1884" s="1024"/>
      <c r="C1884" s="1310">
        <f>SUM(C1883,C1878,C1872)</f>
        <v>183</v>
      </c>
      <c r="D1884" s="1026">
        <f>SUM(D1883,D1878,D1872)</f>
        <v>152452255</v>
      </c>
      <c r="E1884" s="1476">
        <f>SUM(E1883,E1878,E1872)</f>
        <v>183</v>
      </c>
      <c r="F1884" s="1026">
        <f>SUM(F1883,F1878,F1872)</f>
        <v>160073863</v>
      </c>
    </row>
    <row r="1885" spans="1:6" s="975" customFormat="1" ht="18.75" x14ac:dyDescent="0.2">
      <c r="A1885" s="975" t="s">
        <v>202</v>
      </c>
      <c r="B1885" s="1477"/>
      <c r="C1885" s="1478"/>
      <c r="D1885" s="1479">
        <v>24249200</v>
      </c>
      <c r="E1885" s="1480"/>
      <c r="F1885" s="1481">
        <v>24249200</v>
      </c>
    </row>
    <row r="1886" spans="1:6" s="975" customFormat="1" ht="18.75" x14ac:dyDescent="0.2">
      <c r="A1886" s="975" t="s">
        <v>787</v>
      </c>
      <c r="B1886" s="1482"/>
      <c r="C1886" s="1483"/>
      <c r="D1886" s="1479">
        <v>19280000</v>
      </c>
      <c r="E1886" s="1480"/>
      <c r="F1886" s="1481">
        <v>19280000</v>
      </c>
    </row>
    <row r="1887" spans="1:6" s="975" customFormat="1" ht="18.75" x14ac:dyDescent="0.2">
      <c r="A1887" s="975" t="s">
        <v>788</v>
      </c>
      <c r="B1887" s="1482"/>
      <c r="C1887" s="1483"/>
      <c r="D1887" s="1479">
        <v>12000000</v>
      </c>
      <c r="E1887" s="1480"/>
      <c r="F1887" s="1481">
        <v>12000000</v>
      </c>
    </row>
    <row r="1888" spans="1:6" s="975" customFormat="1" ht="18.75" x14ac:dyDescent="0.2">
      <c r="A1888" s="975" t="s">
        <v>789</v>
      </c>
      <c r="B1888" s="1482"/>
      <c r="C1888" s="1483"/>
      <c r="D1888" s="1479">
        <v>10164000</v>
      </c>
      <c r="E1888" s="1480"/>
      <c r="F1888" s="1481">
        <v>10164000</v>
      </c>
    </row>
    <row r="1889" spans="1:6" s="975" customFormat="1" ht="18.75" x14ac:dyDescent="0.2">
      <c r="A1889" s="975" t="s">
        <v>203</v>
      </c>
      <c r="B1889" s="1482"/>
      <c r="C1889" s="1483"/>
      <c r="D1889" s="1479">
        <v>3720000</v>
      </c>
      <c r="E1889" s="1480"/>
      <c r="F1889" s="1481">
        <v>3720000</v>
      </c>
    </row>
    <row r="1890" spans="1:6" s="975" customFormat="1" ht="19.5" thickBot="1" x14ac:dyDescent="0.25">
      <c r="A1890" s="975" t="s">
        <v>790</v>
      </c>
      <c r="B1890" s="1482"/>
      <c r="C1890" s="1483"/>
      <c r="D1890" s="1479">
        <v>2880000</v>
      </c>
      <c r="E1890" s="1480"/>
      <c r="F1890" s="1481">
        <v>2880000</v>
      </c>
    </row>
    <row r="1891" spans="1:6" s="975" customFormat="1" ht="19.5" thickBot="1" x14ac:dyDescent="0.25">
      <c r="A1891" s="1169" t="s">
        <v>117</v>
      </c>
      <c r="B1891" s="1484"/>
      <c r="C1891" s="1485"/>
      <c r="D1891" s="1486">
        <f>SUM(D1884:D1890)</f>
        <v>224745455</v>
      </c>
      <c r="E1891" s="1487"/>
      <c r="F1891" s="1488">
        <f>SUM(F1884:F1890)</f>
        <v>232367063</v>
      </c>
    </row>
    <row r="1892" spans="1:6" s="975" customFormat="1" ht="18.75" x14ac:dyDescent="0.2">
      <c r="A1892" s="975" t="s">
        <v>200</v>
      </c>
      <c r="B1892" s="1482"/>
      <c r="C1892" s="1483">
        <v>1</v>
      </c>
      <c r="D1892" s="1479">
        <v>1250110</v>
      </c>
      <c r="E1892" s="1480">
        <v>1</v>
      </c>
      <c r="F1892" s="1481">
        <v>1250110</v>
      </c>
    </row>
    <row r="1893" spans="1:6" s="975" customFormat="1" ht="18.75" x14ac:dyDescent="0.2">
      <c r="A1893" s="975" t="s">
        <v>527</v>
      </c>
      <c r="B1893" s="1482"/>
      <c r="C1893" s="1483"/>
      <c r="D1893" s="1479">
        <v>4479705</v>
      </c>
      <c r="E1893" s="1480"/>
      <c r="F1893" s="1481">
        <v>4479705</v>
      </c>
    </row>
    <row r="1894" spans="1:6" s="975" customFormat="1" ht="18.75" x14ac:dyDescent="0.2">
      <c r="A1894" s="975" t="s">
        <v>216</v>
      </c>
      <c r="B1894" s="1482"/>
      <c r="C1894" s="1483">
        <v>1</v>
      </c>
      <c r="D1894" s="1479">
        <v>1247870</v>
      </c>
      <c r="E1894" s="1480">
        <v>1</v>
      </c>
      <c r="F1894" s="1481">
        <v>1247870</v>
      </c>
    </row>
    <row r="1895" spans="1:6" s="975" customFormat="1" ht="19.5" thickBot="1" x14ac:dyDescent="0.25">
      <c r="A1895" s="975" t="s">
        <v>530</v>
      </c>
      <c r="B1895" s="1482"/>
      <c r="C1895" s="1483"/>
      <c r="D1895" s="1479">
        <v>4180365</v>
      </c>
      <c r="E1895" s="1480"/>
      <c r="F1895" s="1481">
        <v>4180365</v>
      </c>
    </row>
    <row r="1896" spans="1:6" s="975" customFormat="1" ht="19.5" thickBot="1" x14ac:dyDescent="0.25">
      <c r="A1896" s="1169" t="s">
        <v>117</v>
      </c>
      <c r="B1896" s="1484"/>
      <c r="C1896" s="1489">
        <f>SUM(C1892:C1895)</f>
        <v>2</v>
      </c>
      <c r="D1896" s="1313">
        <f>SUM(D1892:D1895)</f>
        <v>11158050</v>
      </c>
      <c r="E1896" s="1490">
        <f>SUM(E1892:E1895)</f>
        <v>2</v>
      </c>
      <c r="F1896" s="1308">
        <f>SUM(F1892:F1895)</f>
        <v>11158050</v>
      </c>
    </row>
    <row r="1897" spans="1:6" ht="21" thickBot="1" x14ac:dyDescent="0.25">
      <c r="A1897" s="950" t="s">
        <v>2694</v>
      </c>
      <c r="B1897" s="938"/>
      <c r="C1897" s="968">
        <f>SUM(C1884,C1896)</f>
        <v>185</v>
      </c>
      <c r="D1897" s="1081">
        <f>SUM(D1891,D1896)</f>
        <v>235903505</v>
      </c>
      <c r="E1897" s="962">
        <f>SUM(E1884,E1896)</f>
        <v>185</v>
      </c>
      <c r="F1897" s="940">
        <f>SUM(F1891,F1896)</f>
        <v>243525113</v>
      </c>
    </row>
    <row r="1898" spans="1:6" s="1470" customFormat="1" ht="16.5" x14ac:dyDescent="0.2">
      <c r="A1898" s="3553" t="s">
        <v>183</v>
      </c>
      <c r="B1898" s="3553"/>
      <c r="C1898" s="3553"/>
      <c r="D1898" s="3553"/>
      <c r="E1898" s="3553"/>
      <c r="F1898" s="3553"/>
    </row>
    <row r="1899" spans="1:6" s="1470" customFormat="1" ht="17.25" thickBot="1" x14ac:dyDescent="0.25">
      <c r="A1899" s="3554" t="s">
        <v>1838</v>
      </c>
      <c r="B1899" s="3554"/>
      <c r="C1899" s="3554"/>
      <c r="D1899" s="3554"/>
      <c r="E1899" s="3554"/>
      <c r="F1899" s="3554"/>
    </row>
    <row r="1900" spans="1:6" s="1495" customFormat="1" ht="35.25" thickBot="1" x14ac:dyDescent="0.25">
      <c r="A1900" s="1491" t="s">
        <v>185</v>
      </c>
      <c r="B1900" s="1492" t="s">
        <v>186</v>
      </c>
      <c r="C1900" s="1493" t="s">
        <v>564</v>
      </c>
      <c r="D1900" s="1494" t="s">
        <v>1128</v>
      </c>
      <c r="E1900" s="1493" t="s">
        <v>1129</v>
      </c>
      <c r="F1900" s="1494" t="s">
        <v>3096</v>
      </c>
    </row>
    <row r="1901" spans="1:6" s="1501" customFormat="1" ht="17.25" x14ac:dyDescent="0.2">
      <c r="A1901" s="1496">
        <v>4231201</v>
      </c>
      <c r="B1901" s="1497">
        <v>1</v>
      </c>
      <c r="C1901" s="1498">
        <v>54</v>
      </c>
      <c r="D1901" s="1499">
        <v>15424710</v>
      </c>
      <c r="E1901" s="1498">
        <v>53</v>
      </c>
      <c r="F1901" s="1500">
        <v>20949840</v>
      </c>
    </row>
    <row r="1902" spans="1:6" s="1501" customFormat="1" ht="17.25" x14ac:dyDescent="0.2">
      <c r="A1902" s="1496"/>
      <c r="B1902" s="1497">
        <v>2</v>
      </c>
      <c r="C1902" s="1498">
        <v>59</v>
      </c>
      <c r="D1902" s="1499">
        <v>18167150</v>
      </c>
      <c r="E1902" s="1498">
        <v>50</v>
      </c>
      <c r="F1902" s="1500">
        <v>20528000</v>
      </c>
    </row>
    <row r="1903" spans="1:6" s="1501" customFormat="1" ht="17.25" x14ac:dyDescent="0.2">
      <c r="A1903" s="1496"/>
      <c r="B1903" s="1497">
        <v>3</v>
      </c>
      <c r="C1903" s="1498">
        <v>81</v>
      </c>
      <c r="D1903" s="1499">
        <v>26667410</v>
      </c>
      <c r="E1903" s="1498">
        <v>65</v>
      </c>
      <c r="F1903" s="1500">
        <v>28022800</v>
      </c>
    </row>
    <row r="1904" spans="1:6" s="1501" customFormat="1" ht="17.25" x14ac:dyDescent="0.2">
      <c r="A1904" s="1496"/>
      <c r="B1904" s="1497">
        <v>4</v>
      </c>
      <c r="C1904" s="1498">
        <v>256</v>
      </c>
      <c r="D1904" s="1499">
        <v>91932140</v>
      </c>
      <c r="E1904" s="1498">
        <v>203</v>
      </c>
      <c r="F1904" s="1500">
        <v>92028629</v>
      </c>
    </row>
    <row r="1905" spans="1:6" s="1501" customFormat="1" ht="17.25" x14ac:dyDescent="0.2">
      <c r="A1905" s="1496"/>
      <c r="B1905" s="1497">
        <v>5</v>
      </c>
      <c r="C1905" s="1498">
        <v>101</v>
      </c>
      <c r="D1905" s="1499">
        <v>40042975</v>
      </c>
      <c r="E1905" s="1498">
        <v>149</v>
      </c>
      <c r="F1905" s="1500">
        <v>71479472</v>
      </c>
    </row>
    <row r="1906" spans="1:6" s="1501" customFormat="1" ht="18" thickBot="1" x14ac:dyDescent="0.25">
      <c r="A1906" s="1496"/>
      <c r="B1906" s="1497">
        <v>6</v>
      </c>
      <c r="C1906" s="1498">
        <v>223</v>
      </c>
      <c r="D1906" s="1499">
        <v>107267675</v>
      </c>
      <c r="E1906" s="1498">
        <v>125</v>
      </c>
      <c r="F1906" s="1500">
        <v>63812000</v>
      </c>
    </row>
    <row r="1907" spans="1:6" s="1506" customFormat="1" ht="18" thickBot="1" x14ac:dyDescent="0.25">
      <c r="A1907" s="1502" t="s">
        <v>351</v>
      </c>
      <c r="B1907" s="1503"/>
      <c r="C1907" s="1504">
        <f>SUM(C1901:C1906)</f>
        <v>774</v>
      </c>
      <c r="D1907" s="1505">
        <f>SUM(D1901:D1906)</f>
        <v>299502060</v>
      </c>
      <c r="E1907" s="1504">
        <f>SUM(E1901:E1906)</f>
        <v>645</v>
      </c>
      <c r="F1907" s="1505">
        <f>SUM(F1901:F1906)</f>
        <v>296820741</v>
      </c>
    </row>
    <row r="1908" spans="1:6" s="1501" customFormat="1" ht="17.25" x14ac:dyDescent="0.2">
      <c r="A1908" s="1496"/>
      <c r="B1908" s="1497">
        <v>7</v>
      </c>
      <c r="C1908" s="1498">
        <v>386</v>
      </c>
      <c r="D1908" s="1499">
        <v>193693760</v>
      </c>
      <c r="E1908" s="1498">
        <v>529</v>
      </c>
      <c r="F1908" s="1500">
        <v>319416548</v>
      </c>
    </row>
    <row r="1909" spans="1:6" s="1501" customFormat="1" ht="17.25" x14ac:dyDescent="0.2">
      <c r="A1909" s="1496"/>
      <c r="B1909" s="1497">
        <v>8</v>
      </c>
      <c r="C1909" s="1498">
        <v>957</v>
      </c>
      <c r="D1909" s="1499">
        <v>610357375</v>
      </c>
      <c r="E1909" s="1498">
        <v>768</v>
      </c>
      <c r="F1909" s="1500">
        <v>553942528</v>
      </c>
    </row>
    <row r="1910" spans="1:6" s="1501" customFormat="1" ht="17.25" x14ac:dyDescent="0.2">
      <c r="A1910" s="1496"/>
      <c r="B1910" s="1497">
        <v>9</v>
      </c>
      <c r="C1910" s="1498">
        <v>1434</v>
      </c>
      <c r="D1910" s="1499">
        <v>1068769135</v>
      </c>
      <c r="E1910" s="1498">
        <v>1068</v>
      </c>
      <c r="F1910" s="1500">
        <v>838215572</v>
      </c>
    </row>
    <row r="1911" spans="1:6" s="1501" customFormat="1" ht="17.25" x14ac:dyDescent="0.2">
      <c r="A1911" s="1496"/>
      <c r="B1911" s="1497">
        <v>10</v>
      </c>
      <c r="C1911" s="1498">
        <v>950</v>
      </c>
      <c r="D1911" s="1499">
        <v>837628335</v>
      </c>
      <c r="E1911" s="1498">
        <v>1362</v>
      </c>
      <c r="F1911" s="1500">
        <v>1329605198</v>
      </c>
    </row>
    <row r="1912" spans="1:6" s="1501" customFormat="1" ht="18" thickBot="1" x14ac:dyDescent="0.25">
      <c r="A1912" s="1496"/>
      <c r="B1912" s="1497">
        <v>12</v>
      </c>
      <c r="C1912" s="1498">
        <v>1026</v>
      </c>
      <c r="D1912" s="1499">
        <v>1036511790</v>
      </c>
      <c r="E1912" s="1498">
        <v>954</v>
      </c>
      <c r="F1912" s="1500">
        <v>1108956881</v>
      </c>
    </row>
    <row r="1913" spans="1:6" s="1506" customFormat="1" ht="18" thickBot="1" x14ac:dyDescent="0.25">
      <c r="A1913" s="1502" t="s">
        <v>374</v>
      </c>
      <c r="B1913" s="1503"/>
      <c r="C1913" s="1504">
        <f>SUM(C1908:C1912)</f>
        <v>4753</v>
      </c>
      <c r="D1913" s="1505">
        <f>SUM(D1908:D1912)</f>
        <v>3746960395</v>
      </c>
      <c r="E1913" s="1504">
        <f>SUM(E1908:E1912)</f>
        <v>4681</v>
      </c>
      <c r="F1913" s="1505">
        <f>SUM(F1908:F1912)</f>
        <v>4150136727</v>
      </c>
    </row>
    <row r="1914" spans="1:6" s="1501" customFormat="1" ht="17.25" x14ac:dyDescent="0.2">
      <c r="A1914" s="1496"/>
      <c r="B1914" s="1497">
        <v>13</v>
      </c>
      <c r="C1914" s="1498">
        <v>451</v>
      </c>
      <c r="D1914" s="1499">
        <v>522867280</v>
      </c>
      <c r="E1914" s="1498">
        <v>568</v>
      </c>
      <c r="F1914" s="1500">
        <v>769224792</v>
      </c>
    </row>
    <row r="1915" spans="1:6" s="1501" customFormat="1" ht="17.25" x14ac:dyDescent="0.2">
      <c r="A1915" s="1496"/>
      <c r="B1915" s="1497">
        <v>14</v>
      </c>
      <c r="C1915" s="1498">
        <v>596</v>
      </c>
      <c r="D1915" s="1499">
        <v>754650430</v>
      </c>
      <c r="E1915" s="1498">
        <v>490</v>
      </c>
      <c r="F1915" s="1500">
        <v>728147840</v>
      </c>
    </row>
    <row r="1916" spans="1:6" s="1501" customFormat="1" ht="17.25" x14ac:dyDescent="0.2">
      <c r="A1916" s="1496"/>
      <c r="B1916" s="1497">
        <v>15</v>
      </c>
      <c r="C1916" s="1498">
        <v>269</v>
      </c>
      <c r="D1916" s="1499">
        <v>472911135</v>
      </c>
      <c r="E1916" s="1498">
        <v>178</v>
      </c>
      <c r="F1916" s="1500">
        <v>355308470</v>
      </c>
    </row>
    <row r="1917" spans="1:6" s="1501" customFormat="1" ht="18" thickBot="1" x14ac:dyDescent="0.25">
      <c r="A1917" s="1496"/>
      <c r="B1917" s="1497">
        <v>16</v>
      </c>
      <c r="C1917" s="1498">
        <v>482</v>
      </c>
      <c r="D1917" s="1499">
        <v>1042143765</v>
      </c>
      <c r="E1917" s="1498">
        <v>387</v>
      </c>
      <c r="F1917" s="1500">
        <v>948182271</v>
      </c>
    </row>
    <row r="1918" spans="1:6" s="1506" customFormat="1" ht="18" thickBot="1" x14ac:dyDescent="0.25">
      <c r="A1918" s="1502" t="s">
        <v>353</v>
      </c>
      <c r="B1918" s="1503"/>
      <c r="C1918" s="1507">
        <f>SUM(C1914:C1917)</f>
        <v>1798</v>
      </c>
      <c r="D1918" s="1505">
        <f>SUM(D1914:D1917)</f>
        <v>2792572610</v>
      </c>
      <c r="E1918" s="1507">
        <f>SUM(E1914:E1917)</f>
        <v>1623</v>
      </c>
      <c r="F1918" s="1505">
        <f>SUM(F1914:F1917)</f>
        <v>2800863373</v>
      </c>
    </row>
    <row r="1919" spans="1:6" s="1506" customFormat="1" ht="18" thickBot="1" x14ac:dyDescent="0.25">
      <c r="A1919" s="1502" t="s">
        <v>354</v>
      </c>
      <c r="B1919" s="1508"/>
      <c r="C1919" s="1509">
        <f>SUM(C1918,C1913,C1907)</f>
        <v>7325</v>
      </c>
      <c r="D1919" s="1505">
        <f>SUM(D1907,D1913,D1918)</f>
        <v>6839035065</v>
      </c>
      <c r="E1919" s="1509">
        <f>SUM(E1918,E1913,E1907)</f>
        <v>6949</v>
      </c>
      <c r="F1919" s="1505">
        <f>SUM(F1907,F1913,F1918)</f>
        <v>7247820841</v>
      </c>
    </row>
    <row r="1920" spans="1:6" s="1506" customFormat="1" ht="17.25" x14ac:dyDescent="0.2">
      <c r="A1920" s="1510" t="s">
        <v>735</v>
      </c>
      <c r="B1920" s="1511"/>
      <c r="C1920" s="1509"/>
      <c r="D1920" s="1512"/>
      <c r="E1920" s="1509"/>
      <c r="F1920" s="1513"/>
    </row>
    <row r="1921" spans="1:6" s="1501" customFormat="1" ht="17.25" x14ac:dyDescent="0.2">
      <c r="A1921" s="1510" t="s">
        <v>376</v>
      </c>
      <c r="B1921" s="1514"/>
      <c r="C1921" s="1498"/>
      <c r="D1921" s="1515">
        <v>22580840</v>
      </c>
      <c r="E1921" s="1498"/>
      <c r="F1921" s="1516"/>
    </row>
    <row r="1922" spans="1:6" s="1501" customFormat="1" ht="17.25" x14ac:dyDescent="0.2">
      <c r="A1922" s="1510" t="s">
        <v>377</v>
      </c>
      <c r="B1922" s="1514"/>
      <c r="C1922" s="1498"/>
      <c r="D1922" s="1517">
        <v>211900775</v>
      </c>
      <c r="E1922" s="1498"/>
      <c r="F1922" s="1518"/>
    </row>
    <row r="1923" spans="1:6" s="1501" customFormat="1" ht="17.25" x14ac:dyDescent="0.2">
      <c r="A1923" s="1510" t="s">
        <v>611</v>
      </c>
      <c r="B1923" s="1514"/>
      <c r="C1923" s="1498"/>
      <c r="D1923" s="1517">
        <v>113768200</v>
      </c>
      <c r="E1923" s="1498"/>
      <c r="F1923" s="1518"/>
    </row>
    <row r="1924" spans="1:6" s="1501" customFormat="1" ht="17.25" x14ac:dyDescent="0.2">
      <c r="A1924" s="1510" t="s">
        <v>1857</v>
      </c>
      <c r="B1924" s="1514"/>
      <c r="C1924" s="1498"/>
      <c r="D1924" s="1499">
        <v>600000000</v>
      </c>
      <c r="E1924" s="1498"/>
      <c r="F1924" s="1500">
        <v>600000000</v>
      </c>
    </row>
    <row r="1925" spans="1:6" s="1501" customFormat="1" ht="18" thickBot="1" x14ac:dyDescent="0.25">
      <c r="A1925" s="1510" t="s">
        <v>784</v>
      </c>
      <c r="B1925" s="1519"/>
      <c r="C1925" s="1520">
        <v>1000</v>
      </c>
      <c r="D1925" s="1499">
        <v>166833600</v>
      </c>
      <c r="E1925" s="1521">
        <v>1000</v>
      </c>
      <c r="F1925" s="1500">
        <v>158133600</v>
      </c>
    </row>
    <row r="1926" spans="1:6" s="1501" customFormat="1" ht="18" thickBot="1" x14ac:dyDescent="0.25">
      <c r="A1926" s="1522" t="s">
        <v>737</v>
      </c>
      <c r="B1926" s="1523"/>
      <c r="C1926" s="1520"/>
      <c r="D1926" s="1524">
        <f>SUM(D1919:D1925)</f>
        <v>7954118480</v>
      </c>
      <c r="E1926" s="1507">
        <f>SUM(E1919:E1925)</f>
        <v>7949</v>
      </c>
      <c r="F1926" s="1505">
        <f>SUM(F1919:F1925)</f>
        <v>8005954441</v>
      </c>
    </row>
    <row r="1927" spans="1:6" s="1501" customFormat="1" ht="17.25" x14ac:dyDescent="0.2">
      <c r="A1927" s="1510" t="s">
        <v>528</v>
      </c>
      <c r="B1927" s="1525"/>
      <c r="C1927" s="1498">
        <v>1</v>
      </c>
      <c r="D1927" s="1499">
        <v>1337225</v>
      </c>
      <c r="E1927" s="1498">
        <v>1</v>
      </c>
      <c r="F1927" s="1500">
        <v>1337225</v>
      </c>
    </row>
    <row r="1928" spans="1:6" s="1501" customFormat="1" ht="17.25" x14ac:dyDescent="0.2">
      <c r="A1928" s="1510" t="s">
        <v>529</v>
      </c>
      <c r="B1928" s="1525"/>
      <c r="C1928" s="1498"/>
      <c r="D1928" s="1499">
        <v>4479705</v>
      </c>
      <c r="E1928" s="1498"/>
      <c r="F1928" s="1500">
        <v>4479705</v>
      </c>
    </row>
    <row r="1929" spans="1:6" s="1501" customFormat="1" ht="17.25" x14ac:dyDescent="0.2">
      <c r="A1929" s="1510" t="s">
        <v>216</v>
      </c>
      <c r="B1929" s="1525"/>
      <c r="C1929" s="1498">
        <v>1</v>
      </c>
      <c r="D1929" s="1499">
        <v>1247870</v>
      </c>
      <c r="E1929" s="1498">
        <v>1</v>
      </c>
      <c r="F1929" s="1500">
        <v>1247870</v>
      </c>
    </row>
    <row r="1930" spans="1:6" s="1501" customFormat="1" ht="18" thickBot="1" x14ac:dyDescent="0.25">
      <c r="A1930" s="1510" t="s">
        <v>530</v>
      </c>
      <c r="B1930" s="1525"/>
      <c r="C1930" s="1498"/>
      <c r="D1930" s="1499">
        <v>4180365</v>
      </c>
      <c r="E1930" s="1498"/>
      <c r="F1930" s="1500">
        <v>4180365</v>
      </c>
    </row>
    <row r="1931" spans="1:6" s="1501" customFormat="1" ht="18" thickBot="1" x14ac:dyDescent="0.25">
      <c r="A1931" s="1526" t="s">
        <v>737</v>
      </c>
      <c r="B1931" s="1527"/>
      <c r="C1931" s="1504">
        <f>SUM(C1927:C1930)</f>
        <v>2</v>
      </c>
      <c r="D1931" s="1528">
        <f>SUM(D1927:D1930)</f>
        <v>11245165</v>
      </c>
      <c r="E1931" s="1504">
        <f>SUM(E1927:E1930)</f>
        <v>2</v>
      </c>
      <c r="F1931" s="1528">
        <f>SUM(F1927:F1930)</f>
        <v>11245165</v>
      </c>
    </row>
    <row r="1932" spans="1:6" s="1501" customFormat="1" ht="18" thickBot="1" x14ac:dyDescent="0.25">
      <c r="A1932" s="3565" t="s">
        <v>2695</v>
      </c>
      <c r="B1932" s="3566"/>
      <c r="C1932" s="1529">
        <v>8382</v>
      </c>
      <c r="D1932" s="1524">
        <f>SUM(D1926,D1931)</f>
        <v>7965363645</v>
      </c>
      <c r="E1932" s="1507">
        <f>SUM(E1926,E1931)</f>
        <v>7951</v>
      </c>
      <c r="F1932" s="1505">
        <f>SUM(F1926,F1931)</f>
        <v>8017199606</v>
      </c>
    </row>
    <row r="1933" spans="1:6" x14ac:dyDescent="0.2">
      <c r="A1933" s="3545"/>
      <c r="B1933" s="3545"/>
      <c r="C1933" s="3545"/>
      <c r="D1933" s="3545"/>
      <c r="E1933" s="3545"/>
      <c r="F1933" s="3545"/>
    </row>
    <row r="1934" spans="1:6" s="905" customFormat="1" x14ac:dyDescent="0.3">
      <c r="A1934" s="3543" t="s">
        <v>183</v>
      </c>
      <c r="B1934" s="3543"/>
      <c r="C1934" s="3543"/>
      <c r="D1934" s="3543"/>
      <c r="E1934" s="3543"/>
      <c r="F1934" s="3543"/>
    </row>
    <row r="1935" spans="1:6" s="905" customFormat="1" ht="21" thickBot="1" x14ac:dyDescent="0.35">
      <c r="A1935" s="3544" t="s">
        <v>2698</v>
      </c>
      <c r="B1935" s="3544"/>
      <c r="C1935" s="3544"/>
      <c r="D1935" s="3544"/>
      <c r="E1935" s="3544"/>
      <c r="F1935" s="3544"/>
    </row>
    <row r="1936" spans="1:6" s="905" customFormat="1" ht="41.25" thickBot="1" x14ac:dyDescent="0.35">
      <c r="A1936" s="1048" t="s">
        <v>185</v>
      </c>
      <c r="B1936" s="1049" t="s">
        <v>186</v>
      </c>
      <c r="C1936" s="1316" t="s">
        <v>1482</v>
      </c>
      <c r="D1936" s="920" t="s">
        <v>1667</v>
      </c>
      <c r="E1936" s="922" t="s">
        <v>1129</v>
      </c>
      <c r="F1936" s="923" t="s">
        <v>3096</v>
      </c>
    </row>
    <row r="1937" spans="1:6" s="905" customFormat="1" x14ac:dyDescent="0.3">
      <c r="A1937" s="908"/>
      <c r="B1937" s="965">
        <v>1</v>
      </c>
      <c r="C1937" s="1530">
        <v>0</v>
      </c>
      <c r="D1937" s="1531">
        <f>C1937/12*8</f>
        <v>0</v>
      </c>
      <c r="E1937" s="929">
        <v>9</v>
      </c>
      <c r="F1937" s="1532">
        <v>0</v>
      </c>
    </row>
    <row r="1938" spans="1:6" s="905" customFormat="1" x14ac:dyDescent="0.3">
      <c r="A1938" s="1052"/>
      <c r="B1938" s="965">
        <v>2</v>
      </c>
      <c r="C1938" s="1113">
        <v>267542.51</v>
      </c>
      <c r="D1938" s="1533">
        <f>C1938/12*8</f>
        <v>178361.67333333334</v>
      </c>
      <c r="E1938" s="935">
        <v>10</v>
      </c>
      <c r="F1938" s="1534">
        <v>267542.51</v>
      </c>
    </row>
    <row r="1939" spans="1:6" s="905" customFormat="1" x14ac:dyDescent="0.3">
      <c r="A1939" s="1052"/>
      <c r="B1939" s="965">
        <v>3</v>
      </c>
      <c r="C1939" s="1113">
        <v>3397995.2</v>
      </c>
      <c r="D1939" s="1533">
        <f t="shared" ref="D1939:D1941" si="35">C1939/12*8</f>
        <v>2265330.1333333333</v>
      </c>
      <c r="E1939" s="935">
        <v>11</v>
      </c>
      <c r="F1939" s="1534">
        <v>2413515.73</v>
      </c>
    </row>
    <row r="1940" spans="1:6" s="905" customFormat="1" x14ac:dyDescent="0.3">
      <c r="A1940" s="1052"/>
      <c r="B1940" s="965">
        <v>4</v>
      </c>
      <c r="C1940" s="1113">
        <v>4088714</v>
      </c>
      <c r="D1940" s="1533">
        <f>C1940/12*8</f>
        <v>2725809.3333333335</v>
      </c>
      <c r="E1940" s="935">
        <v>17</v>
      </c>
      <c r="F1940" s="1534">
        <v>4088714</v>
      </c>
    </row>
    <row r="1941" spans="1:6" s="905" customFormat="1" x14ac:dyDescent="0.3">
      <c r="A1941" s="1052"/>
      <c r="B1941" s="965">
        <v>5</v>
      </c>
      <c r="C1941" s="1113">
        <v>327200.03999999998</v>
      </c>
      <c r="D1941" s="1533">
        <f t="shared" si="35"/>
        <v>218133.36</v>
      </c>
      <c r="E1941" s="935">
        <v>4</v>
      </c>
      <c r="F1941" s="1534">
        <v>327200.03999999998</v>
      </c>
    </row>
    <row r="1942" spans="1:6" s="905" customFormat="1" ht="21" thickBot="1" x14ac:dyDescent="0.35">
      <c r="A1942" s="1052"/>
      <c r="B1942" s="965">
        <v>6</v>
      </c>
      <c r="C1942" s="1113">
        <v>793177.92</v>
      </c>
      <c r="D1942" s="1533">
        <f>C1942/12*8</f>
        <v>528785.28</v>
      </c>
      <c r="E1942" s="935">
        <v>5</v>
      </c>
      <c r="F1942" s="1534">
        <v>793177.92</v>
      </c>
    </row>
    <row r="1943" spans="1:6" s="905" customFormat="1" ht="21" thickBot="1" x14ac:dyDescent="0.35">
      <c r="A1943" s="1056" t="s">
        <v>187</v>
      </c>
      <c r="B1943" s="1057"/>
      <c r="C1943" s="1116">
        <f>SUM(C1937:C1942)</f>
        <v>8874629.6699999999</v>
      </c>
      <c r="D1943" s="1535">
        <f t="shared" ref="D1943:E1943" si="36">SUM(D1937:D1942)</f>
        <v>5916419.7800000012</v>
      </c>
      <c r="E1943" s="1161">
        <f t="shared" si="36"/>
        <v>56</v>
      </c>
      <c r="F1943" s="1171">
        <f>SUM(F1937:F1942)</f>
        <v>7890150.2000000002</v>
      </c>
    </row>
    <row r="1944" spans="1:6" s="905" customFormat="1" x14ac:dyDescent="0.3">
      <c r="A1944" s="1052"/>
      <c r="B1944" s="965">
        <v>7</v>
      </c>
      <c r="C1944" s="1113">
        <v>6920823</v>
      </c>
      <c r="D1944" s="1531">
        <f>C1944/12*8</f>
        <v>4613882</v>
      </c>
      <c r="E1944" s="935">
        <v>10</v>
      </c>
      <c r="F1944" s="1534">
        <v>6920823</v>
      </c>
    </row>
    <row r="1945" spans="1:6" s="905" customFormat="1" x14ac:dyDescent="0.3">
      <c r="A1945" s="1052"/>
      <c r="B1945" s="965">
        <v>8</v>
      </c>
      <c r="C1945" s="1113">
        <v>8371929.7999999998</v>
      </c>
      <c r="D1945" s="1533">
        <f>C1945/12*8</f>
        <v>5581286.5333333332</v>
      </c>
      <c r="E1945" s="935">
        <v>13</v>
      </c>
      <c r="F1945" s="1534">
        <v>8371929.7999999998</v>
      </c>
    </row>
    <row r="1946" spans="1:6" s="905" customFormat="1" x14ac:dyDescent="0.3">
      <c r="A1946" s="1052"/>
      <c r="B1946" s="965">
        <v>9</v>
      </c>
      <c r="C1946" s="1113">
        <v>9170700</v>
      </c>
      <c r="D1946" s="1533">
        <f t="shared" ref="D1946" si="37">C1946/12*8</f>
        <v>6113800</v>
      </c>
      <c r="E1946" s="935">
        <v>14</v>
      </c>
      <c r="F1946" s="1534">
        <v>9170700</v>
      </c>
    </row>
    <row r="1947" spans="1:6" s="905" customFormat="1" x14ac:dyDescent="0.3">
      <c r="A1947" s="1052"/>
      <c r="B1947" s="965">
        <v>10</v>
      </c>
      <c r="C1947" s="1113">
        <v>8341112.3200000003</v>
      </c>
      <c r="D1947" s="1533">
        <f>C1947/12*8</f>
        <v>5560741.5466666669</v>
      </c>
      <c r="E1947" s="935">
        <v>8</v>
      </c>
      <c r="F1947" s="1534">
        <v>8341112.3200000003</v>
      </c>
    </row>
    <row r="1948" spans="1:6" s="905" customFormat="1" ht="21" thickBot="1" x14ac:dyDescent="0.35">
      <c r="A1948" s="1052"/>
      <c r="B1948" s="965">
        <v>12</v>
      </c>
      <c r="C1948" s="1113">
        <v>9866711.7200000007</v>
      </c>
      <c r="D1948" s="1533">
        <f>C1948/12*8</f>
        <v>6577807.8133333335</v>
      </c>
      <c r="E1948" s="935">
        <v>9</v>
      </c>
      <c r="F1948" s="1534">
        <v>9866711.7200000007</v>
      </c>
    </row>
    <row r="1949" spans="1:6" s="905" customFormat="1" ht="21" thickBot="1" x14ac:dyDescent="0.35">
      <c r="A1949" s="1056" t="s">
        <v>188</v>
      </c>
      <c r="B1949" s="1057"/>
      <c r="C1949" s="1116">
        <f>SUM(C1944:C1948)</f>
        <v>42671276.840000004</v>
      </c>
      <c r="D1949" s="1535">
        <f t="shared" ref="D1949:E1949" si="38">SUM(D1944:D1948)</f>
        <v>28447517.893333331</v>
      </c>
      <c r="E1949" s="1161">
        <f t="shared" si="38"/>
        <v>54</v>
      </c>
      <c r="F1949" s="1171">
        <f>SUM(F1944:F1948)</f>
        <v>42671276.840000004</v>
      </c>
    </row>
    <row r="1950" spans="1:6" s="905" customFormat="1" x14ac:dyDescent="0.3">
      <c r="A1950" s="1052"/>
      <c r="B1950" s="965">
        <v>13</v>
      </c>
      <c r="C1950" s="1113">
        <v>9471628.1199999992</v>
      </c>
      <c r="D1950" s="1533">
        <f>C1950/12*8</f>
        <v>6314418.7466666661</v>
      </c>
      <c r="E1950" s="935">
        <v>15</v>
      </c>
      <c r="F1950" s="1534">
        <v>9471628.1199999992</v>
      </c>
    </row>
    <row r="1951" spans="1:6" s="905" customFormat="1" x14ac:dyDescent="0.3">
      <c r="A1951" s="1052"/>
      <c r="B1951" s="965">
        <v>14</v>
      </c>
      <c r="C1951" s="1113">
        <v>16309212</v>
      </c>
      <c r="D1951" s="1533">
        <f t="shared" ref="D1951:D1952" si="39">C1951/12*8</f>
        <v>10872808</v>
      </c>
      <c r="E1951" s="935">
        <v>26</v>
      </c>
      <c r="F1951" s="1534">
        <v>16309212</v>
      </c>
    </row>
    <row r="1952" spans="1:6" s="905" customFormat="1" x14ac:dyDescent="0.3">
      <c r="A1952" s="1052"/>
      <c r="B1952" s="965">
        <v>15</v>
      </c>
      <c r="C1952" s="1113">
        <v>8511444.8399999999</v>
      </c>
      <c r="D1952" s="1533">
        <f t="shared" si="39"/>
        <v>5674296.5599999996</v>
      </c>
      <c r="E1952" s="935">
        <v>8</v>
      </c>
      <c r="F1952" s="1534">
        <v>8511444.8399999999</v>
      </c>
    </row>
    <row r="1953" spans="1:6" s="905" customFormat="1" ht="21" thickBot="1" x14ac:dyDescent="0.35">
      <c r="A1953" s="1052"/>
      <c r="B1953" s="965">
        <v>16</v>
      </c>
      <c r="C1953" s="1113">
        <v>14112560</v>
      </c>
      <c r="D1953" s="1533">
        <f>C1953/12*8</f>
        <v>9408373.333333334</v>
      </c>
      <c r="E1953" s="935">
        <v>15</v>
      </c>
      <c r="F1953" s="1534">
        <v>14112560</v>
      </c>
    </row>
    <row r="1954" spans="1:6" s="905" customFormat="1" ht="21" thickBot="1" x14ac:dyDescent="0.35">
      <c r="A1954" s="1056" t="s">
        <v>189</v>
      </c>
      <c r="B1954" s="1057"/>
      <c r="C1954" s="1116">
        <f>SUM(C1950:C1953)</f>
        <v>48404844.959999993</v>
      </c>
      <c r="D1954" s="1535">
        <f t="shared" ref="D1954:E1954" si="40">SUM(D1950:D1953)</f>
        <v>32269896.640000001</v>
      </c>
      <c r="E1954" s="1161">
        <f t="shared" si="40"/>
        <v>64</v>
      </c>
      <c r="F1954" s="1171">
        <f>SUM(F1950:F1953)</f>
        <v>48404844.959999993</v>
      </c>
    </row>
    <row r="1955" spans="1:6" s="905" customFormat="1" ht="21" thickBot="1" x14ac:dyDescent="0.35">
      <c r="A1955" s="1062" t="s">
        <v>190</v>
      </c>
      <c r="B1955" s="1063"/>
      <c r="C1955" s="1121">
        <f>C1954+C1949+C1943</f>
        <v>99950751.469999999</v>
      </c>
      <c r="D1955" s="1536">
        <f t="shared" ref="D1955:E1955" si="41">D1954+D1949+D1943</f>
        <v>66633834.313333333</v>
      </c>
      <c r="E1955" s="1064">
        <f t="shared" si="41"/>
        <v>174</v>
      </c>
      <c r="F1955" s="1537">
        <f>F1943+F1949+F1954</f>
        <v>98966272</v>
      </c>
    </row>
    <row r="1956" spans="1:6" s="905" customFormat="1" x14ac:dyDescent="0.3">
      <c r="A1956" s="905" t="s">
        <v>2025</v>
      </c>
      <c r="B1956" s="965"/>
      <c r="C1956" s="958">
        <v>5816740</v>
      </c>
      <c r="D1956" s="1533">
        <f>C1956/12*8</f>
        <v>3877826.6666666665</v>
      </c>
      <c r="E1956" s="935">
        <v>1</v>
      </c>
      <c r="F1956" s="1160">
        <v>5816740</v>
      </c>
    </row>
    <row r="1957" spans="1:6" s="905" customFormat="1" ht="21" thickBot="1" x14ac:dyDescent="0.35">
      <c r="A1957" s="901" t="s">
        <v>2026</v>
      </c>
      <c r="B1957" s="965"/>
      <c r="C1957" s="958">
        <v>8000708</v>
      </c>
      <c r="D1957" s="1533">
        <f>C1957/12*8</f>
        <v>5333805.333333333</v>
      </c>
      <c r="E1957" s="935">
        <v>2</v>
      </c>
      <c r="F1957" s="1160">
        <v>8000708</v>
      </c>
    </row>
    <row r="1958" spans="1:6" s="906" customFormat="1" ht="21" thickBot="1" x14ac:dyDescent="0.35">
      <c r="A1958" s="1066" t="s">
        <v>117</v>
      </c>
      <c r="B1958" s="1057"/>
      <c r="C1958" s="961">
        <f>SUM(C1956:C1957)</f>
        <v>13817448</v>
      </c>
      <c r="D1958" s="1538">
        <f>SUM(D1956:D1957)</f>
        <v>9211632</v>
      </c>
      <c r="E1958" s="1161">
        <f>SUM(E1956:E1957)</f>
        <v>3</v>
      </c>
      <c r="F1958" s="1162">
        <f>SUM(F1956:F1957)</f>
        <v>13817448</v>
      </c>
    </row>
    <row r="1959" spans="1:6" s="905" customFormat="1" ht="21" thickBot="1" x14ac:dyDescent="0.35">
      <c r="A1959" s="1126" t="s">
        <v>2710</v>
      </c>
      <c r="B1959" s="1057"/>
      <c r="C1959" s="1067">
        <f>C1955+C1958</f>
        <v>113768199.47</v>
      </c>
      <c r="D1959" s="1539">
        <f>D1955+D1958</f>
        <v>75845466.313333333</v>
      </c>
      <c r="E1959" s="943">
        <f>SUM(E1955,E1958)</f>
        <v>177</v>
      </c>
      <c r="F1959" s="1540">
        <f>F1955+F1958</f>
        <v>112783720</v>
      </c>
    </row>
    <row r="1960" spans="1:6" s="905" customFormat="1" x14ac:dyDescent="0.3">
      <c r="A1960" s="1203"/>
      <c r="B1960" s="1069"/>
      <c r="C1960" s="1541"/>
      <c r="D1960" s="1542"/>
      <c r="E1960" s="1070"/>
      <c r="F1960" s="1543"/>
    </row>
    <row r="1961" spans="1:6" s="905" customFormat="1" x14ac:dyDescent="0.3">
      <c r="A1961" s="3543" t="s">
        <v>183</v>
      </c>
      <c r="B1961" s="3543"/>
      <c r="C1961" s="3543"/>
      <c r="D1961" s="3543"/>
      <c r="E1961" s="3543"/>
      <c r="F1961" s="3543"/>
    </row>
    <row r="1962" spans="1:6" s="905" customFormat="1" ht="21" thickBot="1" x14ac:dyDescent="0.35">
      <c r="A1962" s="3544" t="s">
        <v>1689</v>
      </c>
      <c r="B1962" s="3544"/>
      <c r="C1962" s="3544"/>
      <c r="D1962" s="3544"/>
      <c r="E1962" s="3544"/>
      <c r="F1962" s="3544"/>
    </row>
    <row r="1963" spans="1:6" s="906" customFormat="1" ht="41.25" thickBot="1" x14ac:dyDescent="0.35">
      <c r="A1963" s="1048" t="s">
        <v>185</v>
      </c>
      <c r="B1963" s="1049" t="s">
        <v>186</v>
      </c>
      <c r="C1963" s="1316" t="s">
        <v>1482</v>
      </c>
      <c r="D1963" s="922" t="s">
        <v>564</v>
      </c>
      <c r="E1963" s="922" t="s">
        <v>1129</v>
      </c>
      <c r="F1963" s="923" t="s">
        <v>3096</v>
      </c>
    </row>
    <row r="1964" spans="1:6" s="905" customFormat="1" x14ac:dyDescent="0.3">
      <c r="A1964" s="908"/>
      <c r="B1964" s="965">
        <v>1</v>
      </c>
      <c r="C1964" s="1110">
        <v>0</v>
      </c>
      <c r="D1964" s="1544">
        <v>0</v>
      </c>
      <c r="E1964" s="929">
        <v>0</v>
      </c>
      <c r="F1964" s="958">
        <v>0</v>
      </c>
    </row>
    <row r="1965" spans="1:6" s="905" customFormat="1" x14ac:dyDescent="0.3">
      <c r="A1965" s="1052"/>
      <c r="B1965" s="965">
        <v>2</v>
      </c>
      <c r="C1965" s="1113">
        <v>0</v>
      </c>
      <c r="D1965" s="1328">
        <v>0</v>
      </c>
      <c r="E1965" s="935">
        <v>0</v>
      </c>
      <c r="F1965" s="958">
        <v>0</v>
      </c>
    </row>
    <row r="1966" spans="1:6" s="905" customFormat="1" x14ac:dyDescent="0.3">
      <c r="A1966" s="1052"/>
      <c r="B1966" s="965">
        <v>3</v>
      </c>
      <c r="C1966" s="1113">
        <v>67834867</v>
      </c>
      <c r="D1966" s="1328">
        <v>150</v>
      </c>
      <c r="E1966" s="935">
        <v>145</v>
      </c>
      <c r="F1966" s="958">
        <v>65316720</v>
      </c>
    </row>
    <row r="1967" spans="1:6" s="905" customFormat="1" x14ac:dyDescent="0.3">
      <c r="A1967" s="1052"/>
      <c r="B1967" s="965">
        <v>4</v>
      </c>
      <c r="C1967" s="1113">
        <v>81855085</v>
      </c>
      <c r="D1967" s="1328">
        <v>162</v>
      </c>
      <c r="E1967" s="935">
        <v>119</v>
      </c>
      <c r="F1967" s="958">
        <v>49760200</v>
      </c>
    </row>
    <row r="1968" spans="1:6" s="905" customFormat="1" x14ac:dyDescent="0.3">
      <c r="A1968" s="1052"/>
      <c r="B1968" s="965">
        <v>5</v>
      </c>
      <c r="C1968" s="1113">
        <v>50384776</v>
      </c>
      <c r="D1968" s="1328">
        <v>88</v>
      </c>
      <c r="E1968" s="935">
        <v>80</v>
      </c>
      <c r="F1968" s="958">
        <v>41613360</v>
      </c>
    </row>
    <row r="1969" spans="1:6" s="905" customFormat="1" ht="21" thickBot="1" x14ac:dyDescent="0.35">
      <c r="A1969" s="1052"/>
      <c r="B1969" s="965">
        <v>6</v>
      </c>
      <c r="C1969" s="1113">
        <v>59841447</v>
      </c>
      <c r="D1969" s="1328">
        <v>181</v>
      </c>
      <c r="E1969" s="935">
        <v>178</v>
      </c>
      <c r="F1969" s="958">
        <v>97230936</v>
      </c>
    </row>
    <row r="1970" spans="1:6" s="905" customFormat="1" ht="21" thickBot="1" x14ac:dyDescent="0.35">
      <c r="A1970" s="1056" t="s">
        <v>187</v>
      </c>
      <c r="B1970" s="1057"/>
      <c r="C1970" s="1116">
        <f>SUM(C1964:C1969)</f>
        <v>259916175</v>
      </c>
      <c r="D1970" s="1058">
        <f t="shared" ref="D1970" si="42">SUM(D1964:D1969)</f>
        <v>581</v>
      </c>
      <c r="E1970" s="1058">
        <f>SUM(E1964:E1969)</f>
        <v>522</v>
      </c>
      <c r="F1970" s="961">
        <f>SUM(F1964:F1969)</f>
        <v>253921216</v>
      </c>
    </row>
    <row r="1971" spans="1:6" s="905" customFormat="1" x14ac:dyDescent="0.3">
      <c r="A1971" s="1052"/>
      <c r="B1971" s="965">
        <v>7</v>
      </c>
      <c r="C1971" s="1113">
        <v>121327915</v>
      </c>
      <c r="D1971" s="1328">
        <v>114</v>
      </c>
      <c r="E1971" s="935">
        <v>114</v>
      </c>
      <c r="F1971" s="958">
        <v>80513304</v>
      </c>
    </row>
    <row r="1972" spans="1:6" s="905" customFormat="1" x14ac:dyDescent="0.3">
      <c r="A1972" s="1052"/>
      <c r="B1972" s="965">
        <v>8</v>
      </c>
      <c r="C1972" s="1113">
        <v>335563931</v>
      </c>
      <c r="D1972" s="1138">
        <v>240</v>
      </c>
      <c r="E1972" s="935">
        <v>239</v>
      </c>
      <c r="F1972" s="958">
        <v>173482020</v>
      </c>
    </row>
    <row r="1973" spans="1:6" s="905" customFormat="1" x14ac:dyDescent="0.3">
      <c r="A1973" s="1052"/>
      <c r="B1973" s="965">
        <v>9</v>
      </c>
      <c r="C1973" s="1113">
        <v>128329261</v>
      </c>
      <c r="D1973" s="1138">
        <v>114</v>
      </c>
      <c r="E1973" s="935">
        <v>108</v>
      </c>
      <c r="F1973" s="958">
        <v>102861696</v>
      </c>
    </row>
    <row r="1974" spans="1:6" s="905" customFormat="1" x14ac:dyDescent="0.3">
      <c r="A1974" s="1052"/>
      <c r="B1974" s="965">
        <v>10</v>
      </c>
      <c r="C1974" s="1113">
        <v>81940452</v>
      </c>
      <c r="D1974" s="1138">
        <v>111</v>
      </c>
      <c r="E1974" s="935">
        <v>110</v>
      </c>
      <c r="F1974" s="958">
        <v>121727120</v>
      </c>
    </row>
    <row r="1975" spans="1:6" s="905" customFormat="1" ht="21" thickBot="1" x14ac:dyDescent="0.35">
      <c r="A1975" s="1052"/>
      <c r="B1975" s="965">
        <v>12</v>
      </c>
      <c r="C1975" s="1113">
        <v>105409523</v>
      </c>
      <c r="D1975" s="1138">
        <v>158</v>
      </c>
      <c r="E1975" s="935">
        <v>158</v>
      </c>
      <c r="F1975" s="981">
        <v>182234574</v>
      </c>
    </row>
    <row r="1976" spans="1:6" s="905" customFormat="1" ht="21" thickBot="1" x14ac:dyDescent="0.35">
      <c r="A1976" s="1056" t="s">
        <v>188</v>
      </c>
      <c r="B1976" s="1057"/>
      <c r="C1976" s="1116">
        <f>SUM(C1971:C1975)</f>
        <v>772571082</v>
      </c>
      <c r="D1976" s="1058">
        <f t="shared" ref="D1976" si="43">SUM(D1971:D1975)</f>
        <v>737</v>
      </c>
      <c r="E1976" s="1058">
        <f>SUM(E1971:E1975)</f>
        <v>729</v>
      </c>
      <c r="F1976" s="961">
        <f>SUM(F1971:F1975)</f>
        <v>660818714</v>
      </c>
    </row>
    <row r="1977" spans="1:6" s="905" customFormat="1" x14ac:dyDescent="0.3">
      <c r="A1977" s="1052"/>
      <c r="B1977" s="965">
        <v>13</v>
      </c>
      <c r="C1977" s="1113">
        <v>69177574</v>
      </c>
      <c r="D1977" s="1138">
        <v>80</v>
      </c>
      <c r="E1977" s="935">
        <v>80</v>
      </c>
      <c r="F1977" s="957">
        <v>99965728</v>
      </c>
    </row>
    <row r="1978" spans="1:6" s="905" customFormat="1" x14ac:dyDescent="0.3">
      <c r="A1978" s="1052"/>
      <c r="B1978" s="965">
        <v>14</v>
      </c>
      <c r="C1978" s="1113">
        <v>67342433</v>
      </c>
      <c r="D1978" s="1138">
        <v>64</v>
      </c>
      <c r="E1978" s="935">
        <v>72</v>
      </c>
      <c r="F1978" s="958">
        <v>100434576</v>
      </c>
    </row>
    <row r="1979" spans="1:6" s="905" customFormat="1" x14ac:dyDescent="0.3">
      <c r="A1979" s="1052"/>
      <c r="B1979" s="965">
        <v>15</v>
      </c>
      <c r="C1979" s="1113">
        <v>46020748</v>
      </c>
      <c r="D1979" s="1138">
        <v>18</v>
      </c>
      <c r="E1979" s="935">
        <v>48</v>
      </c>
      <c r="F1979" s="958">
        <v>81260424</v>
      </c>
    </row>
    <row r="1980" spans="1:6" s="905" customFormat="1" ht="21" thickBot="1" x14ac:dyDescent="0.35">
      <c r="A1980" s="1052"/>
      <c r="B1980" s="965">
        <v>16</v>
      </c>
      <c r="C1980" s="1113">
        <v>36966468</v>
      </c>
      <c r="D1980" s="1138">
        <v>12</v>
      </c>
      <c r="E1980" s="935">
        <v>17</v>
      </c>
      <c r="F1980" s="958">
        <v>67381824</v>
      </c>
    </row>
    <row r="1981" spans="1:6" s="905" customFormat="1" ht="21" thickBot="1" x14ac:dyDescent="0.35">
      <c r="A1981" s="1056" t="s">
        <v>189</v>
      </c>
      <c r="B1981" s="1057"/>
      <c r="C1981" s="1116">
        <f>SUM(C1977:C1980)</f>
        <v>219507223</v>
      </c>
      <c r="D1981" s="1058">
        <f t="shared" ref="D1981" si="44">SUM(D1977:D1980)</f>
        <v>174</v>
      </c>
      <c r="E1981" s="1058">
        <f>SUM(E1977:E1980)</f>
        <v>217</v>
      </c>
      <c r="F1981" s="961">
        <f>SUM(F1977:F1980)</f>
        <v>349042552</v>
      </c>
    </row>
    <row r="1982" spans="1:6" s="905" customFormat="1" ht="21" thickBot="1" x14ac:dyDescent="0.35">
      <c r="A1982" s="1062" t="s">
        <v>190</v>
      </c>
      <c r="B1982" s="1063"/>
      <c r="C1982" s="1121">
        <f>C1981+C1976+C1970</f>
        <v>1251994480</v>
      </c>
      <c r="D1982" s="1064">
        <f t="shared" ref="D1982" si="45">D1981+D1976+D1970</f>
        <v>1492</v>
      </c>
      <c r="E1982" s="1064">
        <f>E1981+E1976+E1970</f>
        <v>1468</v>
      </c>
      <c r="F1982" s="1065">
        <f>SUM(F1981,F1976,F1970)</f>
        <v>1263782482</v>
      </c>
    </row>
    <row r="1983" spans="1:6" s="905" customFormat="1" ht="21" thickBot="1" x14ac:dyDescent="0.35">
      <c r="A1983" s="905" t="s">
        <v>1690</v>
      </c>
      <c r="B1983" s="965"/>
      <c r="C1983" s="958">
        <v>2972646.25</v>
      </c>
      <c r="D1983" s="1138" t="s">
        <v>375</v>
      </c>
      <c r="E1983" s="1142">
        <v>1</v>
      </c>
      <c r="F1983" s="958">
        <v>2972646.25</v>
      </c>
    </row>
    <row r="1984" spans="1:6" s="906" customFormat="1" ht="21" thickBot="1" x14ac:dyDescent="0.35">
      <c r="A1984" s="1066" t="s">
        <v>117</v>
      </c>
      <c r="B1984" s="1057"/>
      <c r="C1984" s="961">
        <f>SUM(C1983:C1983)</f>
        <v>2972646.25</v>
      </c>
      <c r="D1984" s="1058">
        <v>1</v>
      </c>
      <c r="E1984" s="1058">
        <f>SUM(E1983:E1983)</f>
        <v>1</v>
      </c>
      <c r="F1984" s="961">
        <f>SUM(F1983:F1983)</f>
        <v>2972646.25</v>
      </c>
    </row>
    <row r="1985" spans="1:6" s="905" customFormat="1" ht="21" thickBot="1" x14ac:dyDescent="0.35">
      <c r="A1985" s="1140" t="s">
        <v>1858</v>
      </c>
      <c r="B1985" s="1057"/>
      <c r="C1985" s="961">
        <f>SUM(C1982,C1984)</f>
        <v>1254967126.25</v>
      </c>
      <c r="D1985" s="943">
        <f>SUM(D1982,D1984)</f>
        <v>1493</v>
      </c>
      <c r="E1985" s="943">
        <f>SUM(E1982,E1984)</f>
        <v>1469</v>
      </c>
      <c r="F1985" s="961">
        <f>SUM(F1982,F1984)</f>
        <v>1266755128.25</v>
      </c>
    </row>
    <row r="1986" spans="1:6" s="905" customFormat="1" x14ac:dyDescent="0.3">
      <c r="C1986" s="1136"/>
      <c r="E1986" s="907"/>
      <c r="F1986" s="914"/>
    </row>
    <row r="1987" spans="1:6" x14ac:dyDescent="0.2">
      <c r="A1987" s="3545" t="s">
        <v>183</v>
      </c>
      <c r="B1987" s="3545"/>
      <c r="C1987" s="3545"/>
      <c r="D1987" s="3545"/>
      <c r="E1987" s="3545"/>
      <c r="F1987" s="3545"/>
    </row>
    <row r="1988" spans="1:6" ht="21" thickBot="1" x14ac:dyDescent="0.25">
      <c r="A1988" s="3546" t="s">
        <v>426</v>
      </c>
      <c r="B1988" s="3546"/>
      <c r="C1988" s="3546"/>
      <c r="D1988" s="3546"/>
      <c r="E1988" s="3546"/>
      <c r="F1988" s="3546"/>
    </row>
    <row r="1989" spans="1:6" s="988" customFormat="1" ht="41.25" thickBot="1" x14ac:dyDescent="0.25">
      <c r="A1989" s="920" t="s">
        <v>185</v>
      </c>
      <c r="B1989" s="921" t="s">
        <v>186</v>
      </c>
      <c r="C1989" s="922" t="s">
        <v>564</v>
      </c>
      <c r="D1989" s="923" t="s">
        <v>1128</v>
      </c>
      <c r="E1989" s="922" t="s">
        <v>1129</v>
      </c>
      <c r="F1989" s="923" t="s">
        <v>3096</v>
      </c>
    </row>
    <row r="1990" spans="1:6" x14ac:dyDescent="0.3">
      <c r="A1990" s="925"/>
      <c r="B1990" s="932">
        <v>1</v>
      </c>
      <c r="C1990" s="927" t="s">
        <v>179</v>
      </c>
      <c r="D1990" s="989">
        <v>730660</v>
      </c>
      <c r="E1990" s="927" t="s">
        <v>179</v>
      </c>
      <c r="F1990" s="1160">
        <v>725763</v>
      </c>
    </row>
    <row r="1991" spans="1:6" x14ac:dyDescent="0.3">
      <c r="A1991" s="931"/>
      <c r="B1991" s="932">
        <v>2</v>
      </c>
      <c r="C1991" s="933"/>
      <c r="D1991" s="989">
        <v>454700</v>
      </c>
      <c r="E1991" s="933"/>
      <c r="F1991" s="1160">
        <v>454700</v>
      </c>
    </row>
    <row r="1992" spans="1:6" x14ac:dyDescent="0.3">
      <c r="A1992" s="931"/>
      <c r="B1992" s="932">
        <v>3</v>
      </c>
      <c r="C1992" s="933"/>
      <c r="D1992" s="989">
        <v>302660</v>
      </c>
      <c r="E1992" s="933"/>
      <c r="F1992" s="1160">
        <v>302660</v>
      </c>
    </row>
    <row r="1993" spans="1:6" x14ac:dyDescent="0.3">
      <c r="A1993" s="931"/>
      <c r="B1993" s="932">
        <v>4</v>
      </c>
      <c r="C1993" s="933"/>
      <c r="D1993" s="989">
        <v>244195</v>
      </c>
      <c r="E1993" s="933"/>
      <c r="F1993" s="1160">
        <v>244195</v>
      </c>
    </row>
    <row r="1994" spans="1:6" x14ac:dyDescent="0.3">
      <c r="A1994" s="931"/>
      <c r="B1994" s="932">
        <v>5</v>
      </c>
      <c r="C1994" s="933"/>
      <c r="D1994" s="989">
        <v>1324195</v>
      </c>
      <c r="E1994" s="933"/>
      <c r="F1994" s="1160">
        <v>1324195</v>
      </c>
    </row>
    <row r="1995" spans="1:6" ht="21" thickBot="1" x14ac:dyDescent="0.35">
      <c r="A1995" s="931"/>
      <c r="B1995" s="932">
        <v>6</v>
      </c>
      <c r="C1995" s="933"/>
      <c r="D1995" s="989">
        <v>2324195</v>
      </c>
      <c r="E1995" s="933"/>
      <c r="F1995" s="1160">
        <v>2324195</v>
      </c>
    </row>
    <row r="1996" spans="1:6" ht="21" thickBot="1" x14ac:dyDescent="0.35">
      <c r="A1996" s="937" t="s">
        <v>187</v>
      </c>
      <c r="B1996" s="938"/>
      <c r="C1996" s="939">
        <f>SUM(C1990:C1995)</f>
        <v>0</v>
      </c>
      <c r="D1996" s="940">
        <f>SUM(D1990:D1995)</f>
        <v>5380605</v>
      </c>
      <c r="E1996" s="939">
        <f>SUM(E1990:E1995)</f>
        <v>0</v>
      </c>
      <c r="F1996" s="1162">
        <f>SUM(F1990:F1995)</f>
        <v>5375708</v>
      </c>
    </row>
    <row r="1997" spans="1:6" x14ac:dyDescent="0.3">
      <c r="A1997" s="931"/>
      <c r="B1997" s="932">
        <v>7</v>
      </c>
      <c r="C1997" s="933"/>
      <c r="D1997" s="989">
        <v>9521950</v>
      </c>
      <c r="E1997" s="933"/>
      <c r="F1997" s="1160">
        <v>1340172</v>
      </c>
    </row>
    <row r="1998" spans="1:6" x14ac:dyDescent="0.3">
      <c r="A1998" s="931"/>
      <c r="B1998" s="932">
        <v>8</v>
      </c>
      <c r="C1998" s="933"/>
      <c r="D1998" s="989">
        <v>9505950</v>
      </c>
      <c r="E1998" s="933"/>
      <c r="F1998" s="1160">
        <v>1550012</v>
      </c>
    </row>
    <row r="1999" spans="1:6" x14ac:dyDescent="0.3">
      <c r="A1999" s="931"/>
      <c r="B1999" s="932">
        <v>9</v>
      </c>
      <c r="C1999" s="933"/>
      <c r="D1999" s="989">
        <v>8288565</v>
      </c>
      <c r="E1999" s="933"/>
      <c r="F1999" s="1160">
        <v>637776</v>
      </c>
    </row>
    <row r="2000" spans="1:6" x14ac:dyDescent="0.3">
      <c r="A2000" s="931"/>
      <c r="B2000" s="932">
        <v>10</v>
      </c>
      <c r="C2000" s="933"/>
      <c r="D2000" s="989">
        <v>9585225</v>
      </c>
      <c r="E2000" s="933"/>
      <c r="F2000" s="1160">
        <v>991268</v>
      </c>
    </row>
    <row r="2001" spans="1:6" ht="21" thickBot="1" x14ac:dyDescent="0.35">
      <c r="A2001" s="931"/>
      <c r="B2001" s="932">
        <v>12</v>
      </c>
      <c r="C2001" s="933"/>
      <c r="D2001" s="989">
        <v>5240090</v>
      </c>
      <c r="E2001" s="933"/>
      <c r="F2001" s="1160">
        <v>1112000</v>
      </c>
    </row>
    <row r="2002" spans="1:6" ht="21" thickBot="1" x14ac:dyDescent="0.35">
      <c r="A2002" s="937" t="s">
        <v>188</v>
      </c>
      <c r="B2002" s="938"/>
      <c r="C2002" s="939">
        <f>SUM(C1997:C2001)</f>
        <v>0</v>
      </c>
      <c r="D2002" s="940">
        <f>SUM(D1997:D2001)</f>
        <v>42141780</v>
      </c>
      <c r="E2002" s="939">
        <f>SUM(E1997:E2001)</f>
        <v>0</v>
      </c>
      <c r="F2002" s="1162">
        <f>SUM(F1997:F2001)</f>
        <v>5631228</v>
      </c>
    </row>
    <row r="2003" spans="1:6" x14ac:dyDescent="0.3">
      <c r="A2003" s="931"/>
      <c r="B2003" s="932">
        <v>13</v>
      </c>
      <c r="C2003" s="933"/>
      <c r="D2003" s="989">
        <v>2595450</v>
      </c>
      <c r="E2003" s="933"/>
      <c r="F2003" s="1391">
        <v>4878795</v>
      </c>
    </row>
    <row r="2004" spans="1:6" x14ac:dyDescent="0.3">
      <c r="A2004" s="931"/>
      <c r="B2004" s="932">
        <v>14</v>
      </c>
      <c r="C2004" s="933"/>
      <c r="D2004" s="989">
        <v>3971225</v>
      </c>
      <c r="E2004" s="933"/>
      <c r="F2004" s="1160">
        <v>5942448</v>
      </c>
    </row>
    <row r="2005" spans="1:6" x14ac:dyDescent="0.3">
      <c r="A2005" s="931"/>
      <c r="B2005" s="932">
        <v>15</v>
      </c>
      <c r="C2005" s="933"/>
      <c r="D2005" s="989">
        <v>6032795</v>
      </c>
      <c r="E2005" s="933"/>
      <c r="F2005" s="1160">
        <v>5813316</v>
      </c>
    </row>
    <row r="2006" spans="1:6" x14ac:dyDescent="0.3">
      <c r="A2006" s="931"/>
      <c r="B2006" s="932">
        <v>16</v>
      </c>
      <c r="C2006" s="933"/>
      <c r="D2006" s="989">
        <v>4470700</v>
      </c>
      <c r="E2006" s="933"/>
      <c r="F2006" s="1160">
        <v>10131160</v>
      </c>
    </row>
    <row r="2007" spans="1:6" ht="21" thickBot="1" x14ac:dyDescent="0.25">
      <c r="A2007" s="931"/>
      <c r="B2007" s="932">
        <v>17</v>
      </c>
      <c r="C2007" s="933"/>
      <c r="E2007" s="933"/>
      <c r="F2007" s="949">
        <v>4470744</v>
      </c>
    </row>
    <row r="2008" spans="1:6" ht="21" thickBot="1" x14ac:dyDescent="0.25">
      <c r="A2008" s="937" t="s">
        <v>189</v>
      </c>
      <c r="B2008" s="938"/>
      <c r="C2008" s="939">
        <f>SUM(C2003:C2007)</f>
        <v>0</v>
      </c>
      <c r="D2008" s="940">
        <f>SUM(D2003:D2007)</f>
        <v>17070170</v>
      </c>
      <c r="E2008" s="939">
        <f>SUM(E2003:E2007)</f>
        <v>0</v>
      </c>
      <c r="F2008" s="940">
        <f>SUM(F2003:F2007)</f>
        <v>31236463</v>
      </c>
    </row>
    <row r="2009" spans="1:6" ht="21" thickBot="1" x14ac:dyDescent="0.25">
      <c r="A2009" s="990" t="s">
        <v>190</v>
      </c>
      <c r="B2009" s="991"/>
      <c r="C2009" s="992">
        <f>SUM(C2008,C2002,C1996)</f>
        <v>0</v>
      </c>
      <c r="D2009" s="969">
        <f>SUM(D2008,D2002,D1996)</f>
        <v>64592555</v>
      </c>
      <c r="E2009" s="992">
        <f>SUM(E2008,E2002,E1996)</f>
        <v>0</v>
      </c>
      <c r="F2009" s="969">
        <f>SUM(F2008,F2002,F1996)</f>
        <v>42243399</v>
      </c>
    </row>
    <row r="2010" spans="1:6" x14ac:dyDescent="0.2">
      <c r="A2010" s="919" t="s">
        <v>534</v>
      </c>
      <c r="C2010" s="1448">
        <v>1</v>
      </c>
      <c r="D2010" s="928">
        <v>1337225</v>
      </c>
      <c r="E2010" s="1148">
        <v>1</v>
      </c>
      <c r="F2010" s="928">
        <v>6218095</v>
      </c>
    </row>
    <row r="2011" spans="1:6" x14ac:dyDescent="0.2">
      <c r="A2011" s="919" t="s">
        <v>535</v>
      </c>
      <c r="C2011" s="1339">
        <v>5</v>
      </c>
      <c r="D2011" s="934">
        <v>5008440</v>
      </c>
      <c r="E2011" s="1148">
        <v>5</v>
      </c>
      <c r="F2011" s="934">
        <v>5000407</v>
      </c>
    </row>
    <row r="2012" spans="1:6" ht="21" thickBot="1" x14ac:dyDescent="0.25">
      <c r="A2012" s="919" t="s">
        <v>536</v>
      </c>
      <c r="C2012" s="1086"/>
      <c r="D2012" s="934">
        <v>18258575</v>
      </c>
      <c r="E2012" s="955"/>
      <c r="F2012" s="934">
        <v>18251604</v>
      </c>
    </row>
    <row r="2013" spans="1:6" s="924" customFormat="1" ht="21" thickBot="1" x14ac:dyDescent="0.25">
      <c r="A2013" s="950" t="s">
        <v>117</v>
      </c>
      <c r="B2013" s="938"/>
      <c r="C2013" s="962">
        <f>SUM(C2010:C2012)</f>
        <v>6</v>
      </c>
      <c r="D2013" s="940">
        <f>SUM(D2010:D2012)</f>
        <v>24604240</v>
      </c>
      <c r="E2013" s="962">
        <f>SUM(E2010:E2012)</f>
        <v>6</v>
      </c>
      <c r="F2013" s="940">
        <f>SUM(F2010:F2012)</f>
        <v>29470106</v>
      </c>
    </row>
    <row r="2014" spans="1:6" ht="21" thickBot="1" x14ac:dyDescent="0.25">
      <c r="A2014" s="950" t="s">
        <v>1859</v>
      </c>
      <c r="B2014" s="938"/>
      <c r="C2014" s="968">
        <f>SUM(C2009,C2013)</f>
        <v>6</v>
      </c>
      <c r="D2014" s="940">
        <f>SUM(D2009,D2013)</f>
        <v>89196795</v>
      </c>
      <c r="E2014" s="968">
        <f>SUM(E2009,E2013)</f>
        <v>6</v>
      </c>
      <c r="F2014" s="940">
        <f>SUM(F2009,F2013)</f>
        <v>71713505</v>
      </c>
    </row>
    <row r="2015" spans="1:6" x14ac:dyDescent="0.2">
      <c r="A2015" s="3545"/>
      <c r="B2015" s="3545"/>
      <c r="C2015" s="3545"/>
      <c r="D2015" s="3545"/>
      <c r="E2015" s="3545"/>
      <c r="F2015" s="3545"/>
    </row>
    <row r="2016" spans="1:6" s="905" customFormat="1" x14ac:dyDescent="0.3">
      <c r="A2016" s="3543" t="s">
        <v>183</v>
      </c>
      <c r="B2016" s="3543"/>
      <c r="C2016" s="3543"/>
      <c r="D2016" s="3543"/>
      <c r="E2016" s="3543"/>
      <c r="F2016" s="3543"/>
    </row>
    <row r="2017" spans="1:6" s="905" customFormat="1" ht="21" thickBot="1" x14ac:dyDescent="0.35">
      <c r="A2017" s="3543" t="s">
        <v>2697</v>
      </c>
      <c r="B2017" s="3543"/>
      <c r="C2017" s="3543"/>
      <c r="D2017" s="3543"/>
      <c r="E2017" s="3543"/>
      <c r="F2017" s="3543"/>
    </row>
    <row r="2018" spans="1:6" s="906" customFormat="1" ht="41.25" thickBot="1" x14ac:dyDescent="0.35">
      <c r="A2018" s="1545" t="s">
        <v>185</v>
      </c>
      <c r="B2018" s="1546" t="s">
        <v>186</v>
      </c>
      <c r="C2018" s="1547" t="s">
        <v>1482</v>
      </c>
      <c r="D2018" s="1548" t="s">
        <v>2696</v>
      </c>
      <c r="E2018" s="1549" t="s">
        <v>1129</v>
      </c>
      <c r="F2018" s="1550" t="s">
        <v>3096</v>
      </c>
    </row>
    <row r="2019" spans="1:6" s="905" customFormat="1" x14ac:dyDescent="0.3">
      <c r="A2019" s="1551"/>
      <c r="B2019" s="1552">
        <v>1</v>
      </c>
      <c r="C2019" s="1421">
        <v>1457640</v>
      </c>
      <c r="D2019" s="1553"/>
      <c r="E2019" s="1148">
        <v>4</v>
      </c>
      <c r="F2019" s="1554">
        <v>1457640</v>
      </c>
    </row>
    <row r="2020" spans="1:6" s="905" customFormat="1" x14ac:dyDescent="0.3">
      <c r="A2020" s="1551"/>
      <c r="B2020" s="1552">
        <v>2</v>
      </c>
      <c r="C2020" s="1421" t="s">
        <v>130</v>
      </c>
      <c r="D2020" s="1553"/>
      <c r="E2020" s="1148" t="s">
        <v>179</v>
      </c>
      <c r="F2020" s="1554" t="s">
        <v>130</v>
      </c>
    </row>
    <row r="2021" spans="1:6" s="905" customFormat="1" x14ac:dyDescent="0.3">
      <c r="A2021" s="1551"/>
      <c r="B2021" s="1552">
        <v>3</v>
      </c>
      <c r="C2021" s="1421">
        <v>381490</v>
      </c>
      <c r="D2021" s="1553"/>
      <c r="E2021" s="1148">
        <v>1</v>
      </c>
      <c r="F2021" s="1554">
        <v>388580</v>
      </c>
    </row>
    <row r="2022" spans="1:6" s="905" customFormat="1" x14ac:dyDescent="0.3">
      <c r="A2022" s="1551"/>
      <c r="B2022" s="1552">
        <v>4</v>
      </c>
      <c r="C2022" s="1421">
        <v>1291855</v>
      </c>
      <c r="D2022" s="1553"/>
      <c r="E2022" s="1148">
        <v>3</v>
      </c>
      <c r="F2022" s="1554">
        <v>1309785</v>
      </c>
    </row>
    <row r="2023" spans="1:6" s="905" customFormat="1" x14ac:dyDescent="0.3">
      <c r="A2023" s="1551"/>
      <c r="B2023" s="1552">
        <v>5</v>
      </c>
      <c r="C2023" s="1421">
        <v>1622170</v>
      </c>
      <c r="D2023" s="1553"/>
      <c r="E2023" s="1148">
        <v>3</v>
      </c>
      <c r="F2023" s="1554">
        <v>1622170</v>
      </c>
    </row>
    <row r="2024" spans="1:6" s="905" customFormat="1" ht="21" thickBot="1" x14ac:dyDescent="0.35">
      <c r="A2024" s="1551"/>
      <c r="B2024" s="1552">
        <v>6</v>
      </c>
      <c r="C2024" s="1421">
        <v>9820050</v>
      </c>
      <c r="D2024" s="1553"/>
      <c r="E2024" s="1148">
        <v>19</v>
      </c>
      <c r="F2024" s="1554">
        <v>9916500</v>
      </c>
    </row>
    <row r="2025" spans="1:6" s="905" customFormat="1" ht="21" thickBot="1" x14ac:dyDescent="0.35">
      <c r="A2025" s="1066" t="s">
        <v>187</v>
      </c>
      <c r="B2025" s="1555"/>
      <c r="C2025" s="1556">
        <f>SUM(C2019:C2024)</f>
        <v>14573205</v>
      </c>
      <c r="D2025" s="1557">
        <f>SUM(D2019:D2024)</f>
        <v>0</v>
      </c>
      <c r="E2025" s="1558">
        <f>SUM(E2019:E2024)</f>
        <v>30</v>
      </c>
      <c r="F2025" s="1559">
        <f>SUM(F2019:F2024)</f>
        <v>14694675</v>
      </c>
    </row>
    <row r="2026" spans="1:6" s="905" customFormat="1" x14ac:dyDescent="0.3">
      <c r="A2026" s="1551"/>
      <c r="B2026" s="1552">
        <v>7</v>
      </c>
      <c r="C2026" s="1421">
        <v>7380035</v>
      </c>
      <c r="D2026" s="1553"/>
      <c r="E2026" s="1148">
        <v>11</v>
      </c>
      <c r="F2026" s="1554">
        <v>7472645</v>
      </c>
    </row>
    <row r="2027" spans="1:6" s="905" customFormat="1" x14ac:dyDescent="0.3">
      <c r="A2027" s="1551"/>
      <c r="B2027" s="1552">
        <v>8</v>
      </c>
      <c r="C2027" s="1421">
        <v>5923652</v>
      </c>
      <c r="D2027" s="1553"/>
      <c r="E2027" s="1148">
        <v>9</v>
      </c>
      <c r="F2027" s="1554">
        <v>6033392</v>
      </c>
    </row>
    <row r="2028" spans="1:6" s="905" customFormat="1" x14ac:dyDescent="0.3">
      <c r="A2028" s="1551"/>
      <c r="B2028" s="1552">
        <v>9</v>
      </c>
      <c r="C2028" s="1421">
        <v>11505593</v>
      </c>
      <c r="D2028" s="1553"/>
      <c r="E2028" s="1148">
        <v>13</v>
      </c>
      <c r="F2028" s="1554">
        <v>11747072</v>
      </c>
    </row>
    <row r="2029" spans="1:6" s="905" customFormat="1" x14ac:dyDescent="0.3">
      <c r="A2029" s="1551"/>
      <c r="B2029" s="1552">
        <v>10</v>
      </c>
      <c r="C2029" s="1421">
        <v>15101059</v>
      </c>
      <c r="D2029" s="1553"/>
      <c r="E2029" s="1148">
        <v>16</v>
      </c>
      <c r="F2029" s="1554">
        <v>16522099</v>
      </c>
    </row>
    <row r="2030" spans="1:6" s="905" customFormat="1" ht="21" thickBot="1" x14ac:dyDescent="0.35">
      <c r="A2030" s="1551"/>
      <c r="B2030" s="1552">
        <v>12</v>
      </c>
      <c r="C2030" s="1421">
        <v>10104300</v>
      </c>
      <c r="D2030" s="1553"/>
      <c r="E2030" s="1148">
        <v>9</v>
      </c>
      <c r="F2030" s="1554">
        <v>10329640</v>
      </c>
    </row>
    <row r="2031" spans="1:6" s="905" customFormat="1" ht="21" thickBot="1" x14ac:dyDescent="0.35">
      <c r="A2031" s="1066" t="s">
        <v>188</v>
      </c>
      <c r="B2031" s="1555"/>
      <c r="C2031" s="1556">
        <f>SUM(C2026:C2030)</f>
        <v>50014639</v>
      </c>
      <c r="D2031" s="1557">
        <f>SUM(D2026:D2030)</f>
        <v>0</v>
      </c>
      <c r="E2031" s="1558">
        <f>SUM(E2026:E2030)</f>
        <v>58</v>
      </c>
      <c r="F2031" s="1559">
        <f>SUM(F2026:F2030)</f>
        <v>52104848</v>
      </c>
    </row>
    <row r="2032" spans="1:6" s="905" customFormat="1" x14ac:dyDescent="0.3">
      <c r="A2032" s="1551"/>
      <c r="B2032" s="1552">
        <v>13</v>
      </c>
      <c r="C2032" s="1421">
        <v>23359128</v>
      </c>
      <c r="D2032" s="1553"/>
      <c r="E2032" s="1148">
        <v>19</v>
      </c>
      <c r="F2032" s="1554">
        <v>23885267</v>
      </c>
    </row>
    <row r="2033" spans="1:6" s="905" customFormat="1" x14ac:dyDescent="0.3">
      <c r="A2033" s="1551"/>
      <c r="B2033" s="1552">
        <v>14</v>
      </c>
      <c r="C2033" s="1421">
        <v>51925905</v>
      </c>
      <c r="D2033" s="1553"/>
      <c r="E2033" s="1148">
        <v>35</v>
      </c>
      <c r="F2033" s="1554">
        <v>53110447</v>
      </c>
    </row>
    <row r="2034" spans="1:6" s="905" customFormat="1" x14ac:dyDescent="0.3">
      <c r="A2034" s="1551"/>
      <c r="B2034" s="1552">
        <v>15</v>
      </c>
      <c r="C2034" s="1421">
        <v>7324401</v>
      </c>
      <c r="D2034" s="1553"/>
      <c r="E2034" s="1148">
        <v>4</v>
      </c>
      <c r="F2034" s="1554">
        <v>7505150</v>
      </c>
    </row>
    <row r="2035" spans="1:6" s="905" customFormat="1" ht="21" thickBot="1" x14ac:dyDescent="0.35">
      <c r="A2035" s="1551"/>
      <c r="B2035" s="1552">
        <v>16</v>
      </c>
      <c r="C2035" s="1421">
        <v>7350650</v>
      </c>
      <c r="D2035" s="1553"/>
      <c r="E2035" s="1148">
        <v>3</v>
      </c>
      <c r="F2035" s="1554">
        <v>7350650</v>
      </c>
    </row>
    <row r="2036" spans="1:6" s="905" customFormat="1" ht="21" thickBot="1" x14ac:dyDescent="0.35">
      <c r="A2036" s="1560" t="s">
        <v>189</v>
      </c>
      <c r="B2036" s="1555"/>
      <c r="C2036" s="1561">
        <f>SUM(C2032:C2035)</f>
        <v>89960084</v>
      </c>
      <c r="D2036" s="1557">
        <f t="shared" ref="D2036:E2036" si="46">SUM(D2032:D2035)</f>
        <v>0</v>
      </c>
      <c r="E2036" s="1562">
        <f t="shared" si="46"/>
        <v>61</v>
      </c>
      <c r="F2036" s="1559">
        <f>SUM(F2032:F2035)</f>
        <v>91851514</v>
      </c>
    </row>
    <row r="2037" spans="1:6" s="905" customFormat="1" ht="21" thickBot="1" x14ac:dyDescent="0.35">
      <c r="A2037" s="1560" t="s">
        <v>190</v>
      </c>
      <c r="B2037" s="1555"/>
      <c r="C2037" s="1561">
        <f>C2036+C2031+C2025</f>
        <v>154547928</v>
      </c>
      <c r="D2037" s="1563">
        <f t="shared" ref="D2037:E2037" si="47">D2036+D2031+D2025</f>
        <v>0</v>
      </c>
      <c r="E2037" s="1564">
        <f t="shared" si="47"/>
        <v>149</v>
      </c>
      <c r="F2037" s="1559">
        <f>SUM(F2036,F2031,F2025)</f>
        <v>158651037</v>
      </c>
    </row>
    <row r="2038" spans="1:6" s="905" customFormat="1" x14ac:dyDescent="0.3">
      <c r="A2038" s="1565" t="s">
        <v>1569</v>
      </c>
      <c r="B2038" s="1566"/>
      <c r="C2038" s="1567">
        <v>2378120</v>
      </c>
      <c r="D2038" s="1568"/>
      <c r="E2038" s="1569">
        <v>1</v>
      </c>
      <c r="F2038" s="1570">
        <v>2378120</v>
      </c>
    </row>
    <row r="2039" spans="1:6" s="905" customFormat="1" ht="21" thickBot="1" x14ac:dyDescent="0.35">
      <c r="A2039" s="1571" t="s">
        <v>1749</v>
      </c>
      <c r="B2039" s="1572"/>
      <c r="C2039" s="1573">
        <v>594530</v>
      </c>
      <c r="D2039" s="1574"/>
      <c r="E2039" s="1575">
        <v>0</v>
      </c>
      <c r="F2039" s="1573">
        <v>594530</v>
      </c>
    </row>
    <row r="2040" spans="1:6" s="905" customFormat="1" ht="21" thickBot="1" x14ac:dyDescent="0.35">
      <c r="A2040" s="1576" t="s">
        <v>117</v>
      </c>
      <c r="B2040" s="1577"/>
      <c r="C2040" s="1578">
        <f>SUM(C2038:C2039)</f>
        <v>2972650</v>
      </c>
      <c r="D2040" s="1578">
        <f t="shared" ref="D2040:E2040" si="48">SUM(D2038:D2039)</f>
        <v>0</v>
      </c>
      <c r="E2040" s="1579">
        <f t="shared" si="48"/>
        <v>1</v>
      </c>
      <c r="F2040" s="1580">
        <f>SUM(F2038:F2039)</f>
        <v>2972650</v>
      </c>
    </row>
    <row r="2041" spans="1:6" s="905" customFormat="1" ht="21" thickBot="1" x14ac:dyDescent="0.35">
      <c r="A2041" s="1581" t="s">
        <v>2627</v>
      </c>
      <c r="B2041" s="1555"/>
      <c r="C2041" s="1561">
        <v>158587170</v>
      </c>
      <c r="D2041" s="1582">
        <v>103033413.14</v>
      </c>
      <c r="E2041" s="1583">
        <f>SUM(E2037,E2040)</f>
        <v>150</v>
      </c>
      <c r="F2041" s="1559">
        <f>SUM(F2037,F2040)</f>
        <v>161623687</v>
      </c>
    </row>
    <row r="2042" spans="1:6" s="905" customFormat="1" x14ac:dyDescent="0.3">
      <c r="A2042" s="1584"/>
      <c r="B2042" s="1069"/>
      <c r="C2042" s="1071"/>
      <c r="D2042" s="1585"/>
      <c r="E2042" s="1070"/>
      <c r="F2042" s="1071"/>
    </row>
    <row r="2043" spans="1:6" x14ac:dyDescent="0.2">
      <c r="A2043" s="3545" t="s">
        <v>183</v>
      </c>
      <c r="B2043" s="3545"/>
      <c r="C2043" s="3545"/>
      <c r="D2043" s="3545"/>
      <c r="E2043" s="3545"/>
      <c r="F2043" s="3545"/>
    </row>
    <row r="2044" spans="1:6" ht="21" thickBot="1" x14ac:dyDescent="0.25">
      <c r="A2044" s="3546" t="s">
        <v>2921</v>
      </c>
      <c r="B2044" s="3546"/>
      <c r="C2044" s="3546"/>
      <c r="D2044" s="3546"/>
      <c r="E2044" s="3546"/>
      <c r="F2044" s="3546"/>
    </row>
    <row r="2045" spans="1:6" s="988" customFormat="1" ht="41.25" thickBot="1" x14ac:dyDescent="0.25">
      <c r="A2045" s="920" t="s">
        <v>185</v>
      </c>
      <c r="B2045" s="921" t="s">
        <v>186</v>
      </c>
      <c r="C2045" s="922" t="s">
        <v>564</v>
      </c>
      <c r="D2045" s="923" t="s">
        <v>1128</v>
      </c>
      <c r="E2045" s="922" t="s">
        <v>1129</v>
      </c>
      <c r="F2045" s="923" t="s">
        <v>3096</v>
      </c>
    </row>
    <row r="2046" spans="1:6" x14ac:dyDescent="0.3">
      <c r="A2046" s="925"/>
      <c r="B2046" s="932">
        <v>1</v>
      </c>
      <c r="C2046" s="927">
        <v>1</v>
      </c>
      <c r="D2046" s="1160">
        <v>1371020</v>
      </c>
      <c r="E2046" s="927">
        <v>1</v>
      </c>
      <c r="F2046" s="1160">
        <v>371020</v>
      </c>
    </row>
    <row r="2047" spans="1:6" x14ac:dyDescent="0.3">
      <c r="A2047" s="931"/>
      <c r="B2047" s="932">
        <v>2</v>
      </c>
      <c r="C2047" s="933">
        <v>2</v>
      </c>
      <c r="D2047" s="1160">
        <v>2020000</v>
      </c>
      <c r="E2047" s="933">
        <v>2</v>
      </c>
      <c r="F2047" s="1160">
        <v>2020000</v>
      </c>
    </row>
    <row r="2048" spans="1:6" x14ac:dyDescent="0.3">
      <c r="A2048" s="931"/>
      <c r="B2048" s="932">
        <v>3</v>
      </c>
      <c r="C2048" s="933">
        <v>5</v>
      </c>
      <c r="D2048" s="1160">
        <v>3658204</v>
      </c>
      <c r="E2048" s="933">
        <v>5</v>
      </c>
      <c r="F2048" s="1160">
        <v>3658204</v>
      </c>
    </row>
    <row r="2049" spans="1:6" x14ac:dyDescent="0.3">
      <c r="A2049" s="931"/>
      <c r="B2049" s="932">
        <v>4</v>
      </c>
      <c r="C2049" s="933">
        <v>3</v>
      </c>
      <c r="D2049" s="1160">
        <v>2273927</v>
      </c>
      <c r="E2049" s="933">
        <v>3</v>
      </c>
      <c r="F2049" s="1160">
        <v>2273927</v>
      </c>
    </row>
    <row r="2050" spans="1:6" x14ac:dyDescent="0.3">
      <c r="A2050" s="931"/>
      <c r="B2050" s="932">
        <v>5</v>
      </c>
      <c r="C2050" s="933">
        <v>3</v>
      </c>
      <c r="D2050" s="1160">
        <v>1317192</v>
      </c>
      <c r="E2050" s="933">
        <v>3</v>
      </c>
      <c r="F2050" s="1160">
        <v>1317192</v>
      </c>
    </row>
    <row r="2051" spans="1:6" ht="21" thickBot="1" x14ac:dyDescent="0.35">
      <c r="A2051" s="931"/>
      <c r="B2051" s="932">
        <v>6</v>
      </c>
      <c r="C2051" s="933">
        <v>2</v>
      </c>
      <c r="D2051" s="1160">
        <v>1171761</v>
      </c>
      <c r="E2051" s="933">
        <v>2</v>
      </c>
      <c r="F2051" s="1160">
        <v>1171761</v>
      </c>
    </row>
    <row r="2052" spans="1:6" ht="21" thickBot="1" x14ac:dyDescent="0.35">
      <c r="A2052" s="937" t="s">
        <v>187</v>
      </c>
      <c r="B2052" s="938"/>
      <c r="C2052" s="939">
        <f>SUM(C2046:C2051)</f>
        <v>16</v>
      </c>
      <c r="D2052" s="1162">
        <f>SUM(D2046:D2051)</f>
        <v>11812104</v>
      </c>
      <c r="E2052" s="939">
        <f>SUM(E2046:E2051)</f>
        <v>16</v>
      </c>
      <c r="F2052" s="1162">
        <f>SUM(F2046:F2051)</f>
        <v>10812104</v>
      </c>
    </row>
    <row r="2053" spans="1:6" x14ac:dyDescent="0.3">
      <c r="A2053" s="931"/>
      <c r="B2053" s="932">
        <v>7</v>
      </c>
      <c r="C2053" s="933">
        <v>16</v>
      </c>
      <c r="D2053" s="1160">
        <v>8876858</v>
      </c>
      <c r="E2053" s="933">
        <v>16</v>
      </c>
      <c r="F2053" s="1160">
        <v>8876858</v>
      </c>
    </row>
    <row r="2054" spans="1:6" x14ac:dyDescent="0.3">
      <c r="A2054" s="931"/>
      <c r="B2054" s="932">
        <v>8</v>
      </c>
      <c r="C2054" s="933">
        <v>7</v>
      </c>
      <c r="D2054" s="1160">
        <v>4471863</v>
      </c>
      <c r="E2054" s="933">
        <v>7</v>
      </c>
      <c r="F2054" s="1160">
        <v>4471863</v>
      </c>
    </row>
    <row r="2055" spans="1:6" x14ac:dyDescent="0.3">
      <c r="A2055" s="931"/>
      <c r="B2055" s="932">
        <v>9</v>
      </c>
      <c r="C2055" s="933">
        <v>8</v>
      </c>
      <c r="D2055" s="1160">
        <v>6156191</v>
      </c>
      <c r="E2055" s="933">
        <v>8</v>
      </c>
      <c r="F2055" s="1160">
        <v>6156191</v>
      </c>
    </row>
    <row r="2056" spans="1:6" x14ac:dyDescent="0.3">
      <c r="A2056" s="931"/>
      <c r="B2056" s="932">
        <v>10</v>
      </c>
      <c r="C2056" s="933">
        <v>8</v>
      </c>
      <c r="D2056" s="1160">
        <v>7152615</v>
      </c>
      <c r="E2056" s="933">
        <v>8</v>
      </c>
      <c r="F2056" s="1160">
        <v>7152615</v>
      </c>
    </row>
    <row r="2057" spans="1:6" ht="21" thickBot="1" x14ac:dyDescent="0.35">
      <c r="A2057" s="931"/>
      <c r="B2057" s="932">
        <v>12</v>
      </c>
      <c r="C2057" s="933">
        <v>11</v>
      </c>
      <c r="D2057" s="1160">
        <v>11895040</v>
      </c>
      <c r="E2057" s="933">
        <v>11</v>
      </c>
      <c r="F2057" s="1160">
        <v>11895040</v>
      </c>
    </row>
    <row r="2058" spans="1:6" ht="21" thickBot="1" x14ac:dyDescent="0.35">
      <c r="A2058" s="937" t="s">
        <v>188</v>
      </c>
      <c r="B2058" s="938"/>
      <c r="C2058" s="939">
        <f>SUM(C2053:C2057)</f>
        <v>50</v>
      </c>
      <c r="D2058" s="1162">
        <f>SUM(D2053:D2057)</f>
        <v>38552567</v>
      </c>
      <c r="E2058" s="939">
        <f>SUM(E2053:E2057)</f>
        <v>50</v>
      </c>
      <c r="F2058" s="1162">
        <f>SUM(F2053:F2057)</f>
        <v>38552567</v>
      </c>
    </row>
    <row r="2059" spans="1:6" x14ac:dyDescent="0.3">
      <c r="A2059" s="931"/>
      <c r="B2059" s="932">
        <v>13</v>
      </c>
      <c r="C2059" s="933">
        <v>7</v>
      </c>
      <c r="D2059" s="1391">
        <v>8387593</v>
      </c>
      <c r="E2059" s="933">
        <v>7</v>
      </c>
      <c r="F2059" s="1391">
        <v>8387593</v>
      </c>
    </row>
    <row r="2060" spans="1:6" x14ac:dyDescent="0.3">
      <c r="A2060" s="931"/>
      <c r="B2060" s="932">
        <v>14</v>
      </c>
      <c r="C2060" s="933">
        <v>19</v>
      </c>
      <c r="D2060" s="1160">
        <v>21971572</v>
      </c>
      <c r="E2060" s="933">
        <v>19</v>
      </c>
      <c r="F2060" s="1160">
        <v>21971572</v>
      </c>
    </row>
    <row r="2061" spans="1:6" x14ac:dyDescent="0.3">
      <c r="A2061" s="931"/>
      <c r="B2061" s="932">
        <v>15</v>
      </c>
      <c r="C2061" s="933">
        <v>4</v>
      </c>
      <c r="D2061" s="1160">
        <v>7025837</v>
      </c>
      <c r="E2061" s="933">
        <v>4</v>
      </c>
      <c r="F2061" s="1160">
        <v>7025837</v>
      </c>
    </row>
    <row r="2062" spans="1:6" x14ac:dyDescent="0.3">
      <c r="A2062" s="931"/>
      <c r="B2062" s="932">
        <v>16</v>
      </c>
      <c r="C2062" s="933">
        <v>4</v>
      </c>
      <c r="D2062" s="1160">
        <v>9224836</v>
      </c>
      <c r="E2062" s="933">
        <v>4</v>
      </c>
      <c r="F2062" s="1160">
        <v>9224836</v>
      </c>
    </row>
    <row r="2063" spans="1:6" ht="21" thickBot="1" x14ac:dyDescent="0.35">
      <c r="A2063" s="931"/>
      <c r="C2063" s="933"/>
      <c r="D2063" s="1160">
        <v>112280611</v>
      </c>
      <c r="E2063" s="933"/>
      <c r="F2063" s="1160"/>
    </row>
    <row r="2064" spans="1:6" ht="21" thickBot="1" x14ac:dyDescent="0.25">
      <c r="A2064" s="937" t="s">
        <v>189</v>
      </c>
      <c r="B2064" s="938"/>
      <c r="C2064" s="939">
        <f>SUM(C2059:C2063)</f>
        <v>34</v>
      </c>
      <c r="D2064" s="940">
        <f>SUM(D2059:D2063)</f>
        <v>158890449</v>
      </c>
      <c r="E2064" s="939">
        <f>SUM(E2059:E2063)</f>
        <v>34</v>
      </c>
      <c r="F2064" s="940">
        <f>SUM(F2059:F2063)</f>
        <v>46609838</v>
      </c>
    </row>
    <row r="2065" spans="1:7" ht="21" thickBot="1" x14ac:dyDescent="0.25">
      <c r="A2065" s="990" t="s">
        <v>190</v>
      </c>
      <c r="B2065" s="991"/>
      <c r="C2065" s="992">
        <f>SUM(C2064,C2058,C2052)</f>
        <v>100</v>
      </c>
      <c r="D2065" s="969">
        <f>SUM(D2064,D2058,D2052)</f>
        <v>209255120</v>
      </c>
      <c r="E2065" s="992">
        <f>SUM(E2064,E2058,E2052)</f>
        <v>100</v>
      </c>
      <c r="F2065" s="969">
        <f>SUM(F2064,F2058,F2052)</f>
        <v>95974509</v>
      </c>
    </row>
    <row r="2066" spans="1:7" s="924" customFormat="1" ht="21" thickBot="1" x14ac:dyDescent="0.25">
      <c r="A2066" s="950" t="s">
        <v>2939</v>
      </c>
      <c r="B2066" s="938"/>
      <c r="C2066" s="962">
        <v>1</v>
      </c>
      <c r="D2066" s="940">
        <v>2645655</v>
      </c>
      <c r="E2066" s="962">
        <v>1</v>
      </c>
      <c r="F2066" s="940">
        <v>2645655</v>
      </c>
      <c r="G2066" s="1586"/>
    </row>
    <row r="2067" spans="1:7" ht="21" thickBot="1" x14ac:dyDescent="0.25">
      <c r="A2067" s="950" t="s">
        <v>2922</v>
      </c>
      <c r="B2067" s="938"/>
      <c r="C2067" s="968">
        <f>SUM(C2065,C2066)</f>
        <v>101</v>
      </c>
      <c r="D2067" s="940">
        <f>SUM(D2065,D2066)</f>
        <v>211900775</v>
      </c>
      <c r="E2067" s="968">
        <f>SUM(E2065,E2066)</f>
        <v>101</v>
      </c>
      <c r="F2067" s="940">
        <f>SUM(F2065,F2066)</f>
        <v>98620164</v>
      </c>
      <c r="G2067" s="1587"/>
    </row>
    <row r="2068" spans="1:7" x14ac:dyDescent="0.2">
      <c r="A2068" s="924"/>
      <c r="B2068" s="983"/>
      <c r="C2068" s="1290"/>
      <c r="D2068" s="985"/>
      <c r="E2068" s="1290"/>
      <c r="F2068" s="985"/>
    </row>
    <row r="2069" spans="1:7" x14ac:dyDescent="0.2">
      <c r="A2069" s="3545" t="s">
        <v>183</v>
      </c>
      <c r="B2069" s="3545"/>
      <c r="C2069" s="3545"/>
      <c r="D2069" s="3545"/>
      <c r="E2069" s="3545"/>
      <c r="F2069" s="3545"/>
    </row>
    <row r="2070" spans="1:7" ht="21" thickBot="1" x14ac:dyDescent="0.25">
      <c r="A2070" s="3546" t="s">
        <v>3149</v>
      </c>
      <c r="B2070" s="3546"/>
      <c r="C2070" s="3546"/>
      <c r="D2070" s="3546"/>
      <c r="E2070" s="3546"/>
      <c r="F2070" s="3546"/>
    </row>
    <row r="2071" spans="1:7" s="988" customFormat="1" ht="41.25" thickBot="1" x14ac:dyDescent="0.25">
      <c r="A2071" s="920" t="s">
        <v>185</v>
      </c>
      <c r="B2071" s="921" t="s">
        <v>186</v>
      </c>
      <c r="C2071" s="922" t="s">
        <v>564</v>
      </c>
      <c r="D2071" s="923" t="s">
        <v>1128</v>
      </c>
      <c r="E2071" s="922" t="s">
        <v>1129</v>
      </c>
      <c r="F2071" s="923" t="s">
        <v>3096</v>
      </c>
    </row>
    <row r="2072" spans="1:7" x14ac:dyDescent="0.3">
      <c r="A2072" s="925"/>
      <c r="B2072" s="932">
        <v>1</v>
      </c>
      <c r="C2072" s="927"/>
      <c r="E2072" s="927"/>
      <c r="F2072" s="1160"/>
    </row>
    <row r="2073" spans="1:7" x14ac:dyDescent="0.3">
      <c r="A2073" s="931"/>
      <c r="B2073" s="932">
        <v>2</v>
      </c>
      <c r="C2073" s="933"/>
      <c r="E2073" s="933"/>
      <c r="F2073" s="1160"/>
    </row>
    <row r="2074" spans="1:7" x14ac:dyDescent="0.3">
      <c r="A2074" s="931"/>
      <c r="B2074" s="932">
        <v>3</v>
      </c>
      <c r="C2074" s="933">
        <v>2</v>
      </c>
      <c r="D2074" s="989">
        <v>608827</v>
      </c>
      <c r="E2074" s="933">
        <v>1</v>
      </c>
      <c r="F2074" s="1160">
        <v>384469</v>
      </c>
    </row>
    <row r="2075" spans="1:7" x14ac:dyDescent="0.3">
      <c r="A2075" s="931"/>
      <c r="B2075" s="932">
        <v>4</v>
      </c>
      <c r="C2075" s="933">
        <v>3</v>
      </c>
      <c r="D2075" s="989">
        <v>920055</v>
      </c>
      <c r="E2075" s="933">
        <v>6</v>
      </c>
      <c r="F2075" s="1160">
        <v>2298216</v>
      </c>
    </row>
    <row r="2076" spans="1:7" x14ac:dyDescent="0.3">
      <c r="A2076" s="931"/>
      <c r="B2076" s="932">
        <v>5</v>
      </c>
      <c r="C2076" s="933"/>
      <c r="E2076" s="933"/>
      <c r="F2076" s="1160"/>
    </row>
    <row r="2077" spans="1:7" ht="21" thickBot="1" x14ac:dyDescent="0.25">
      <c r="A2077" s="931"/>
      <c r="B2077" s="932">
        <v>6</v>
      </c>
      <c r="C2077" s="933">
        <v>2</v>
      </c>
      <c r="D2077" s="989">
        <v>732869</v>
      </c>
      <c r="E2077" s="933">
        <v>3</v>
      </c>
      <c r="F2077" s="989">
        <v>1099303</v>
      </c>
    </row>
    <row r="2078" spans="1:7" ht="21" thickBot="1" x14ac:dyDescent="0.35">
      <c r="A2078" s="937" t="s">
        <v>187</v>
      </c>
      <c r="B2078" s="938"/>
      <c r="C2078" s="939">
        <f>SUM(C2072:C2077)</f>
        <v>7</v>
      </c>
      <c r="D2078" s="940">
        <f>SUM(D2072:D2077)</f>
        <v>2261751</v>
      </c>
      <c r="E2078" s="939">
        <f>SUM(E2072:E2077)</f>
        <v>10</v>
      </c>
      <c r="F2078" s="1162">
        <f>SUM(F2072:F2077)</f>
        <v>3781988</v>
      </c>
    </row>
    <row r="2079" spans="1:7" x14ac:dyDescent="0.3">
      <c r="A2079" s="931"/>
      <c r="B2079" s="932">
        <v>7</v>
      </c>
      <c r="C2079" s="933">
        <v>8</v>
      </c>
      <c r="D2079" s="989">
        <v>5155260</v>
      </c>
      <c r="E2079" s="933">
        <v>6</v>
      </c>
      <c r="F2079" s="1160">
        <v>4550282</v>
      </c>
    </row>
    <row r="2080" spans="1:7" x14ac:dyDescent="0.3">
      <c r="A2080" s="931"/>
      <c r="B2080" s="932">
        <v>8</v>
      </c>
      <c r="C2080" s="933">
        <v>2</v>
      </c>
      <c r="D2080" s="989">
        <v>1165691</v>
      </c>
      <c r="E2080" s="933">
        <v>1</v>
      </c>
      <c r="F2080" s="1160">
        <v>682875</v>
      </c>
    </row>
    <row r="2081" spans="1:7" x14ac:dyDescent="0.3">
      <c r="A2081" s="931"/>
      <c r="B2081" s="932">
        <v>9</v>
      </c>
      <c r="C2081" s="933">
        <v>2</v>
      </c>
      <c r="D2081" s="989">
        <v>1447800</v>
      </c>
      <c r="E2081" s="933">
        <v>2</v>
      </c>
      <c r="F2081" s="1160">
        <v>1510998</v>
      </c>
    </row>
    <row r="2082" spans="1:7" x14ac:dyDescent="0.3">
      <c r="A2082" s="931"/>
      <c r="B2082" s="932">
        <v>10</v>
      </c>
      <c r="C2082" s="933">
        <v>2</v>
      </c>
      <c r="D2082" s="989">
        <v>1763482</v>
      </c>
      <c r="E2082" s="933">
        <v>5</v>
      </c>
      <c r="F2082" s="1160">
        <v>3579159</v>
      </c>
    </row>
    <row r="2083" spans="1:7" ht="21" thickBot="1" x14ac:dyDescent="0.35">
      <c r="A2083" s="931"/>
      <c r="B2083" s="932">
        <v>12</v>
      </c>
      <c r="C2083" s="933"/>
      <c r="E2083" s="933">
        <v>1</v>
      </c>
      <c r="F2083" s="1160">
        <v>854331</v>
      </c>
      <c r="G2083" s="1587"/>
    </row>
    <row r="2084" spans="1:7" ht="21" thickBot="1" x14ac:dyDescent="0.35">
      <c r="A2084" s="937" t="s">
        <v>188</v>
      </c>
      <c r="B2084" s="938"/>
      <c r="C2084" s="939">
        <f>SUM(C2079:C2083)</f>
        <v>14</v>
      </c>
      <c r="D2084" s="940">
        <f>SUM(D2079:D2083)</f>
        <v>9532233</v>
      </c>
      <c r="E2084" s="939">
        <f>SUM(E2079:E2083)</f>
        <v>15</v>
      </c>
      <c r="F2084" s="1162">
        <f>SUM(F2079:F2083)</f>
        <v>11177645</v>
      </c>
    </row>
    <row r="2085" spans="1:7" x14ac:dyDescent="0.3">
      <c r="A2085" s="931"/>
      <c r="B2085" s="932">
        <v>13</v>
      </c>
      <c r="C2085" s="933">
        <v>1</v>
      </c>
      <c r="D2085" s="989">
        <v>1041223</v>
      </c>
      <c r="E2085" s="933">
        <v>2</v>
      </c>
      <c r="F2085" s="1391">
        <v>2094167</v>
      </c>
    </row>
    <row r="2086" spans="1:7" x14ac:dyDescent="0.3">
      <c r="A2086" s="931"/>
      <c r="B2086" s="932">
        <v>14</v>
      </c>
      <c r="C2086" s="933">
        <v>5</v>
      </c>
      <c r="D2086" s="989">
        <v>6700993</v>
      </c>
      <c r="E2086" s="933">
        <v>5</v>
      </c>
      <c r="F2086" s="1160">
        <v>7067673</v>
      </c>
    </row>
    <row r="2087" spans="1:7" x14ac:dyDescent="0.3">
      <c r="A2087" s="931"/>
      <c r="B2087" s="932">
        <v>15</v>
      </c>
      <c r="C2087" s="933"/>
      <c r="E2087" s="933">
        <v>1</v>
      </c>
      <c r="F2087" s="1160">
        <v>1833932</v>
      </c>
    </row>
    <row r="2088" spans="1:7" ht="21" thickBot="1" x14ac:dyDescent="0.35">
      <c r="A2088" s="931"/>
      <c r="B2088" s="932">
        <v>16</v>
      </c>
      <c r="C2088" s="933"/>
      <c r="E2088" s="933"/>
      <c r="F2088" s="1160"/>
      <c r="G2088" s="1587"/>
    </row>
    <row r="2089" spans="1:7" ht="21" thickBot="1" x14ac:dyDescent="0.25">
      <c r="A2089" s="937" t="s">
        <v>189</v>
      </c>
      <c r="B2089" s="938"/>
      <c r="C2089" s="939">
        <f>SUM(C2085:C2088)</f>
        <v>6</v>
      </c>
      <c r="D2089" s="940">
        <f>SUM(D2085:D2088)</f>
        <v>7742216</v>
      </c>
      <c r="E2089" s="939">
        <f>SUM(E2085:E2088)</f>
        <v>8</v>
      </c>
      <c r="F2089" s="940">
        <f>SUM(F2085:F2088)</f>
        <v>10995772</v>
      </c>
    </row>
    <row r="2090" spans="1:7" ht="21" thickBot="1" x14ac:dyDescent="0.25">
      <c r="A2090" s="990" t="s">
        <v>190</v>
      </c>
      <c r="B2090" s="991"/>
      <c r="C2090" s="992">
        <f>SUM(C2089,C2084,C2078)</f>
        <v>27</v>
      </c>
      <c r="D2090" s="969">
        <f>SUM(D2089,D2084,D2078)</f>
        <v>19536200</v>
      </c>
      <c r="E2090" s="992">
        <f>SUM(E2089,E2084,E2078)</f>
        <v>33</v>
      </c>
      <c r="F2090" s="969">
        <f>SUM(F2089,F2084,F2078)</f>
        <v>25955405</v>
      </c>
      <c r="G2090" s="1587"/>
    </row>
    <row r="2091" spans="1:7" ht="21" thickBot="1" x14ac:dyDescent="0.25">
      <c r="A2091" s="919" t="s">
        <v>2940</v>
      </c>
      <c r="C2091" s="1086">
        <v>1</v>
      </c>
      <c r="D2091" s="934">
        <v>3044640</v>
      </c>
      <c r="E2091" s="955">
        <v>1</v>
      </c>
      <c r="F2091" s="934">
        <v>3044640</v>
      </c>
      <c r="G2091" s="1587"/>
    </row>
    <row r="2092" spans="1:7" s="924" customFormat="1" ht="21" thickBot="1" x14ac:dyDescent="0.25">
      <c r="A2092" s="950" t="s">
        <v>117</v>
      </c>
      <c r="B2092" s="938"/>
      <c r="C2092" s="962">
        <f>SUM(C2091:C2091)</f>
        <v>1</v>
      </c>
      <c r="D2092" s="940">
        <f>SUM(D2091:D2091)</f>
        <v>3044640</v>
      </c>
      <c r="E2092" s="962">
        <f>SUM(E2091:E2091)</f>
        <v>1</v>
      </c>
      <c r="F2092" s="940">
        <f>SUM(F2091:F2091)</f>
        <v>3044640</v>
      </c>
      <c r="G2092" s="1588"/>
    </row>
    <row r="2093" spans="1:7" ht="21" thickBot="1" x14ac:dyDescent="0.25">
      <c r="A2093" s="950" t="s">
        <v>1840</v>
      </c>
      <c r="B2093" s="938"/>
      <c r="C2093" s="968">
        <f>SUM(C2090,C2092)</f>
        <v>28</v>
      </c>
      <c r="D2093" s="940">
        <f>SUM(D2090,D2092)</f>
        <v>22580840</v>
      </c>
      <c r="E2093" s="968">
        <f>SUM(E2090,E2092)</f>
        <v>34</v>
      </c>
      <c r="F2093" s="940">
        <f>SUM(F2090,F2092)</f>
        <v>29000045</v>
      </c>
      <c r="G2093" s="1515">
        <f>F2093-29000045</f>
        <v>0</v>
      </c>
    </row>
    <row r="2094" spans="1:7" x14ac:dyDescent="0.2">
      <c r="A2094" s="924"/>
      <c r="B2094" s="983"/>
      <c r="C2094" s="1290"/>
      <c r="D2094" s="985"/>
      <c r="E2094" s="1290"/>
      <c r="F2094" s="985"/>
      <c r="G2094" s="1589"/>
    </row>
    <row r="2095" spans="1:7" x14ac:dyDescent="0.2">
      <c r="A2095" s="3545" t="s">
        <v>183</v>
      </c>
      <c r="B2095" s="3545"/>
      <c r="C2095" s="3545"/>
      <c r="D2095" s="3545"/>
      <c r="E2095" s="3545"/>
      <c r="F2095" s="3545"/>
    </row>
    <row r="2096" spans="1:7" ht="21" thickBot="1" x14ac:dyDescent="0.25">
      <c r="A2096" s="3546" t="s">
        <v>2699</v>
      </c>
      <c r="B2096" s="3546"/>
      <c r="C2096" s="3546"/>
      <c r="D2096" s="3546"/>
      <c r="E2096" s="3546"/>
      <c r="F2096" s="3546"/>
    </row>
    <row r="2097" spans="1:6" s="1303" customFormat="1" ht="38.25" thickBot="1" x14ac:dyDescent="0.25">
      <c r="A2097" s="999" t="s">
        <v>185</v>
      </c>
      <c r="B2097" s="1000" t="s">
        <v>186</v>
      </c>
      <c r="C2097" s="1001" t="s">
        <v>564</v>
      </c>
      <c r="D2097" s="1003" t="s">
        <v>1128</v>
      </c>
      <c r="E2097" s="1001" t="s">
        <v>1129</v>
      </c>
      <c r="F2097" s="1003" t="s">
        <v>3096</v>
      </c>
    </row>
    <row r="2098" spans="1:6" s="975" customFormat="1" ht="18.75" x14ac:dyDescent="0.2">
      <c r="A2098" s="976"/>
      <c r="B2098" s="971">
        <v>2</v>
      </c>
      <c r="C2098" s="977">
        <v>6</v>
      </c>
      <c r="D2098" s="973">
        <v>1524030</v>
      </c>
      <c r="E2098" s="977">
        <v>10</v>
      </c>
      <c r="F2098" s="974">
        <v>2729420</v>
      </c>
    </row>
    <row r="2099" spans="1:6" s="1470" customFormat="1" ht="16.5" x14ac:dyDescent="0.2">
      <c r="A2099" s="1464"/>
      <c r="B2099" s="1590">
        <v>3</v>
      </c>
      <c r="C2099" s="1466">
        <v>3</v>
      </c>
      <c r="D2099" s="1591">
        <v>1229675</v>
      </c>
      <c r="E2099" s="1466">
        <v>5</v>
      </c>
      <c r="F2099" s="1475">
        <v>1601129</v>
      </c>
    </row>
    <row r="2100" spans="1:6" s="1470" customFormat="1" ht="16.5" x14ac:dyDescent="0.2">
      <c r="A2100" s="1464"/>
      <c r="B2100" s="1590">
        <v>4</v>
      </c>
      <c r="C2100" s="1466">
        <v>6</v>
      </c>
      <c r="D2100" s="1591">
        <v>1190235</v>
      </c>
      <c r="E2100" s="1466">
        <v>7</v>
      </c>
      <c r="F2100" s="1475">
        <v>1425780</v>
      </c>
    </row>
    <row r="2101" spans="1:6" s="1470" customFormat="1" ht="16.5" x14ac:dyDescent="0.2">
      <c r="A2101" s="1464"/>
      <c r="B2101" s="1590">
        <v>5</v>
      </c>
      <c r="C2101" s="1466">
        <v>3</v>
      </c>
      <c r="D2101" s="1591">
        <v>872360</v>
      </c>
      <c r="E2101" s="1466">
        <v>4</v>
      </c>
      <c r="F2101" s="1475">
        <v>945789</v>
      </c>
    </row>
    <row r="2102" spans="1:6" s="1470" customFormat="1" ht="17.25" thickBot="1" x14ac:dyDescent="0.25">
      <c r="A2102" s="1464"/>
      <c r="B2102" s="1590">
        <v>6</v>
      </c>
      <c r="C2102" s="1466">
        <v>1</v>
      </c>
      <c r="D2102" s="1591">
        <v>353095</v>
      </c>
      <c r="E2102" s="1466">
        <v>4</v>
      </c>
      <c r="F2102" s="1475">
        <v>546002</v>
      </c>
    </row>
    <row r="2103" spans="1:6" s="1470" customFormat="1" ht="17.25" thickBot="1" x14ac:dyDescent="0.25">
      <c r="A2103" s="1592" t="s">
        <v>351</v>
      </c>
      <c r="B2103" s="1593"/>
      <c r="C2103" s="1594">
        <f>SUM(C2098:C2102)</f>
        <v>19</v>
      </c>
      <c r="D2103" s="1595">
        <f>SUM(D2098:D2102)</f>
        <v>5169395</v>
      </c>
      <c r="E2103" s="1594">
        <f>SUM(E2098:E2102)</f>
        <v>30</v>
      </c>
      <c r="F2103" s="1595">
        <f>SUM(F2098:F2102)</f>
        <v>7248120</v>
      </c>
    </row>
    <row r="2104" spans="1:6" s="1470" customFormat="1" ht="16.5" x14ac:dyDescent="0.2">
      <c r="A2104" s="1464"/>
      <c r="B2104" s="1590">
        <v>7</v>
      </c>
      <c r="C2104" s="1466">
        <v>3</v>
      </c>
      <c r="D2104" s="1591">
        <v>699100</v>
      </c>
      <c r="E2104" s="1466">
        <v>5</v>
      </c>
      <c r="F2104" s="1475">
        <v>1718135</v>
      </c>
    </row>
    <row r="2105" spans="1:6" s="1470" customFormat="1" ht="16.5" x14ac:dyDescent="0.2">
      <c r="A2105" s="1464"/>
      <c r="B2105" s="1590">
        <v>8</v>
      </c>
      <c r="C2105" s="1466">
        <v>1</v>
      </c>
      <c r="D2105" s="1591">
        <v>727320</v>
      </c>
      <c r="E2105" s="1466">
        <v>3</v>
      </c>
      <c r="F2105" s="1475">
        <v>1720469</v>
      </c>
    </row>
    <row r="2106" spans="1:6" s="1470" customFormat="1" ht="16.5" x14ac:dyDescent="0.2">
      <c r="A2106" s="1464"/>
      <c r="B2106" s="1590">
        <v>9</v>
      </c>
      <c r="C2106" s="1466">
        <v>3</v>
      </c>
      <c r="D2106" s="1591">
        <v>996085</v>
      </c>
      <c r="E2106" s="1466">
        <v>3</v>
      </c>
      <c r="F2106" s="1475">
        <v>1394220</v>
      </c>
    </row>
    <row r="2107" spans="1:6" s="1470" customFormat="1" ht="16.5" x14ac:dyDescent="0.2">
      <c r="A2107" s="1464"/>
      <c r="B2107" s="1590">
        <v>10</v>
      </c>
      <c r="C2107" s="1466">
        <v>3</v>
      </c>
      <c r="D2107" s="1591">
        <v>1394920</v>
      </c>
      <c r="E2107" s="1466">
        <v>2</v>
      </c>
      <c r="F2107" s="1475">
        <v>1394000</v>
      </c>
    </row>
    <row r="2108" spans="1:6" s="1470" customFormat="1" ht="17.25" thickBot="1" x14ac:dyDescent="0.25">
      <c r="A2108" s="1464"/>
      <c r="B2108" s="1590">
        <v>12</v>
      </c>
      <c r="C2108" s="1466"/>
      <c r="D2108" s="1591" t="s">
        <v>762</v>
      </c>
      <c r="E2108" s="1466">
        <v>3</v>
      </c>
      <c r="F2108" s="1475">
        <v>3041871</v>
      </c>
    </row>
    <row r="2109" spans="1:6" s="1470" customFormat="1" ht="17.25" thickBot="1" x14ac:dyDescent="0.25">
      <c r="A2109" s="1592" t="s">
        <v>352</v>
      </c>
      <c r="B2109" s="1593"/>
      <c r="C2109" s="1594">
        <f>SUM(C2104:C2108)</f>
        <v>10</v>
      </c>
      <c r="D2109" s="1595">
        <f>SUM(D2104:D2108)</f>
        <v>3817425</v>
      </c>
      <c r="E2109" s="1594">
        <f>SUM(E2104:E2108)</f>
        <v>16</v>
      </c>
      <c r="F2109" s="1595">
        <f>SUM(F2104:F2108)</f>
        <v>9268695</v>
      </c>
    </row>
    <row r="2110" spans="1:6" s="1470" customFormat="1" ht="16.5" x14ac:dyDescent="0.2">
      <c r="A2110" s="1464"/>
      <c r="B2110" s="1590">
        <v>13</v>
      </c>
      <c r="C2110" s="1466">
        <v>4</v>
      </c>
      <c r="D2110" s="1591">
        <v>2117395</v>
      </c>
      <c r="E2110" s="1466">
        <v>5</v>
      </c>
      <c r="F2110" s="1475">
        <v>2717395</v>
      </c>
    </row>
    <row r="2111" spans="1:6" s="1470" customFormat="1" ht="16.5" x14ac:dyDescent="0.2">
      <c r="A2111" s="1464"/>
      <c r="B2111" s="1590">
        <v>14</v>
      </c>
      <c r="C2111" s="1466">
        <v>3</v>
      </c>
      <c r="D2111" s="1591">
        <v>2030950</v>
      </c>
      <c r="E2111" s="1466">
        <v>4</v>
      </c>
      <c r="F2111" s="1475">
        <v>2776395</v>
      </c>
    </row>
    <row r="2112" spans="1:6" s="1470" customFormat="1" ht="16.5" x14ac:dyDescent="0.2">
      <c r="A2112" s="1464"/>
      <c r="B2112" s="1590">
        <v>15</v>
      </c>
      <c r="C2112" s="1466">
        <v>2</v>
      </c>
      <c r="D2112" s="1591">
        <v>908975</v>
      </c>
      <c r="E2112" s="1466">
        <v>3</v>
      </c>
      <c r="F2112" s="1475">
        <v>1559975</v>
      </c>
    </row>
    <row r="2113" spans="1:6" s="1470" customFormat="1" ht="17.25" thickBot="1" x14ac:dyDescent="0.25">
      <c r="A2113" s="1464"/>
      <c r="B2113" s="1590">
        <v>16</v>
      </c>
      <c r="C2113" s="1466">
        <v>5</v>
      </c>
      <c r="D2113" s="1591">
        <v>6105795</v>
      </c>
      <c r="E2113" s="1466">
        <v>6</v>
      </c>
      <c r="F2113" s="1475">
        <v>9108795</v>
      </c>
    </row>
    <row r="2114" spans="1:6" s="1470" customFormat="1" ht="17.25" thickBot="1" x14ac:dyDescent="0.25">
      <c r="A2114" s="1592" t="s">
        <v>353</v>
      </c>
      <c r="B2114" s="1593"/>
      <c r="C2114" s="1594">
        <f>SUM(C2110:C2113)</f>
        <v>14</v>
      </c>
      <c r="D2114" s="1595">
        <f>SUM(D2110:D2113)</f>
        <v>11163115</v>
      </c>
      <c r="E2114" s="1594">
        <f>SUM(E2110:E2113)</f>
        <v>18</v>
      </c>
      <c r="F2114" s="1595">
        <f>SUM(F2110:F2113)</f>
        <v>16162560</v>
      </c>
    </row>
    <row r="2115" spans="1:6" s="975" customFormat="1" ht="19.5" thickBot="1" x14ac:dyDescent="0.25">
      <c r="A2115" s="1309" t="s">
        <v>354</v>
      </c>
      <c r="B2115" s="1024"/>
      <c r="C2115" s="1310">
        <f>SUM(C2114,C2109,C2103)</f>
        <v>43</v>
      </c>
      <c r="D2115" s="1026">
        <f>SUM(D2114,D2109,D2103)</f>
        <v>20149935</v>
      </c>
      <c r="E2115" s="1310">
        <f>SUM(E2114,E2109,E2103)</f>
        <v>64</v>
      </c>
      <c r="F2115" s="1026">
        <f>SUM(F2114,F2109,F2103)</f>
        <v>32679375</v>
      </c>
    </row>
    <row r="2116" spans="1:6" ht="21" thickBot="1" x14ac:dyDescent="0.25">
      <c r="A2116" s="1459" t="s">
        <v>735</v>
      </c>
      <c r="B2116" s="1077"/>
      <c r="C2116" s="927"/>
      <c r="D2116" s="978"/>
      <c r="E2116" s="927"/>
      <c r="F2116" s="934"/>
    </row>
    <row r="2117" spans="1:6" s="1009" customFormat="1" ht="15.75" x14ac:dyDescent="0.2">
      <c r="A2117" s="1596" t="s">
        <v>379</v>
      </c>
      <c r="B2117" s="1597"/>
      <c r="C2117" s="1598"/>
      <c r="D2117" s="1599">
        <v>1999764725</v>
      </c>
      <c r="E2117" s="1007"/>
      <c r="F2117" s="1600"/>
    </row>
    <row r="2118" spans="1:6" s="1009" customFormat="1" ht="15.75" x14ac:dyDescent="0.2">
      <c r="A2118" s="1596" t="s">
        <v>380</v>
      </c>
      <c r="B2118" s="1601"/>
      <c r="C2118" s="1007"/>
      <c r="D2118" s="1599">
        <v>1477702385</v>
      </c>
      <c r="E2118" s="1007"/>
      <c r="F2118" s="1600"/>
    </row>
    <row r="2119" spans="1:6" s="1009" customFormat="1" ht="15.75" x14ac:dyDescent="0.2">
      <c r="A2119" s="1596" t="s">
        <v>381</v>
      </c>
      <c r="B2119" s="1601"/>
      <c r="C2119" s="1007"/>
      <c r="D2119" s="1599">
        <v>979552795</v>
      </c>
      <c r="E2119" s="1007"/>
      <c r="F2119" s="1600"/>
    </row>
    <row r="2120" spans="1:6" s="1009" customFormat="1" ht="15.75" x14ac:dyDescent="0.2">
      <c r="A2120" s="1596" t="s">
        <v>382</v>
      </c>
      <c r="B2120" s="1601"/>
      <c r="C2120" s="1007"/>
      <c r="D2120" s="1008">
        <v>355205790</v>
      </c>
      <c r="E2120" s="1007"/>
      <c r="F2120" s="1010"/>
    </row>
    <row r="2121" spans="1:6" s="1009" customFormat="1" ht="16.5" thickBot="1" x14ac:dyDescent="0.25">
      <c r="A2121" s="1596" t="s">
        <v>563</v>
      </c>
      <c r="B2121" s="1601"/>
      <c r="C2121" s="1007"/>
      <c r="D2121" s="1008">
        <v>43789315</v>
      </c>
      <c r="E2121" s="1602"/>
      <c r="F2121" s="1010"/>
    </row>
    <row r="2122" spans="1:6" s="1009" customFormat="1" ht="16.5" thickBot="1" x14ac:dyDescent="0.25">
      <c r="A2122" s="1603" t="s">
        <v>737</v>
      </c>
      <c r="B2122" s="1604"/>
      <c r="C2122" s="1605"/>
      <c r="D2122" s="1016">
        <f>SUM(D2115:D2121)</f>
        <v>4876164945</v>
      </c>
      <c r="E2122" s="1605"/>
      <c r="F2122" s="1014">
        <f>SUM(F2115:F2121)</f>
        <v>32679375</v>
      </c>
    </row>
    <row r="2123" spans="1:6" s="975" customFormat="1" ht="18.75" x14ac:dyDescent="0.2">
      <c r="A2123" s="1108" t="s">
        <v>200</v>
      </c>
      <c r="B2123" s="971"/>
      <c r="C2123" s="977">
        <v>1</v>
      </c>
      <c r="D2123" s="973">
        <v>1250110</v>
      </c>
      <c r="E2123" s="977">
        <v>1</v>
      </c>
      <c r="F2123" s="974">
        <v>1250110</v>
      </c>
    </row>
    <row r="2124" spans="1:6" s="975" customFormat="1" ht="18.75" x14ac:dyDescent="0.2">
      <c r="A2124" s="1108" t="s">
        <v>527</v>
      </c>
      <c r="B2124" s="971"/>
      <c r="C2124" s="977"/>
      <c r="D2124" s="973">
        <v>4479705</v>
      </c>
      <c r="E2124" s="977"/>
      <c r="F2124" s="974">
        <v>4479705</v>
      </c>
    </row>
    <row r="2125" spans="1:6" s="975" customFormat="1" ht="18.75" x14ac:dyDescent="0.2">
      <c r="A2125" s="1108" t="s">
        <v>216</v>
      </c>
      <c r="B2125" s="971"/>
      <c r="C2125" s="977">
        <v>1</v>
      </c>
      <c r="D2125" s="973">
        <v>1247870</v>
      </c>
      <c r="E2125" s="977">
        <v>1</v>
      </c>
      <c r="F2125" s="974">
        <v>1247870</v>
      </c>
    </row>
    <row r="2126" spans="1:6" s="975" customFormat="1" ht="19.5" thickBot="1" x14ac:dyDescent="0.25">
      <c r="A2126" s="1108" t="s">
        <v>530</v>
      </c>
      <c r="B2126" s="971"/>
      <c r="C2126" s="977"/>
      <c r="D2126" s="973">
        <v>4180365</v>
      </c>
      <c r="E2126" s="977"/>
      <c r="F2126" s="974">
        <v>4180365</v>
      </c>
    </row>
    <row r="2127" spans="1:6" s="975" customFormat="1" ht="19.5" thickBot="1" x14ac:dyDescent="0.25">
      <c r="A2127" s="1169" t="s">
        <v>737</v>
      </c>
      <c r="B2127" s="1305"/>
      <c r="C2127" s="1306">
        <f>SUM(C2123:C2126)</f>
        <v>2</v>
      </c>
      <c r="D2127" s="1307">
        <f>SUM(D2123:D2126)</f>
        <v>11158050</v>
      </c>
      <c r="E2127" s="1306">
        <f>SUM(E2123:E2126)</f>
        <v>2</v>
      </c>
      <c r="F2127" s="1308">
        <f>SUM(F2123:F2126)</f>
        <v>11158050</v>
      </c>
    </row>
    <row r="2128" spans="1:6" ht="21" thickBot="1" x14ac:dyDescent="0.25">
      <c r="A2128" s="950" t="s">
        <v>378</v>
      </c>
      <c r="B2128" s="938"/>
      <c r="C2128" s="939">
        <f>SUM(C2127,C2115)</f>
        <v>45</v>
      </c>
      <c r="D2128" s="1032">
        <f>SUM(D2122,D2127)</f>
        <v>4887322995</v>
      </c>
      <c r="E2128" s="939">
        <f>SUM(E2127,E2115)</f>
        <v>66</v>
      </c>
      <c r="F2128" s="940">
        <f>SUM(F2122,F2127)</f>
        <v>43837425</v>
      </c>
    </row>
    <row r="2129" spans="1:6" ht="24.75" customHeight="1" x14ac:dyDescent="0.2">
      <c r="A2129" s="1606"/>
      <c r="B2129" s="954"/>
      <c r="C2129" s="1245"/>
      <c r="D2129" s="1246"/>
      <c r="E2129" s="1245"/>
      <c r="F2129" s="1246"/>
    </row>
    <row r="2130" spans="1:6" s="905" customFormat="1" x14ac:dyDescent="0.3">
      <c r="A2130" s="3543" t="s">
        <v>183</v>
      </c>
      <c r="B2130" s="3543"/>
      <c r="C2130" s="3543"/>
      <c r="D2130" s="3543"/>
      <c r="E2130" s="3543"/>
      <c r="F2130" s="3543"/>
    </row>
    <row r="2131" spans="1:6" s="905" customFormat="1" ht="21.75" customHeight="1" thickBot="1" x14ac:dyDescent="0.35">
      <c r="A2131" s="3544" t="s">
        <v>1808</v>
      </c>
      <c r="B2131" s="3544"/>
      <c r="C2131" s="3544"/>
      <c r="D2131" s="3544"/>
      <c r="E2131" s="3544"/>
      <c r="F2131" s="3544"/>
    </row>
    <row r="2132" spans="1:6" s="906" customFormat="1" ht="48.75" customHeight="1" thickBot="1" x14ac:dyDescent="0.35">
      <c r="A2132" s="1048" t="s">
        <v>185</v>
      </c>
      <c r="B2132" s="1048" t="s">
        <v>1809</v>
      </c>
      <c r="C2132" s="1607" t="s">
        <v>1810</v>
      </c>
      <c r="D2132" s="1048" t="s">
        <v>1482</v>
      </c>
      <c r="E2132" s="922" t="s">
        <v>1129</v>
      </c>
      <c r="F2132" s="923" t="s">
        <v>3096</v>
      </c>
    </row>
    <row r="2133" spans="1:6" s="905" customFormat="1" x14ac:dyDescent="0.3">
      <c r="A2133" s="908"/>
      <c r="B2133" s="965">
        <v>1</v>
      </c>
      <c r="C2133" s="1608"/>
      <c r="D2133" s="908">
        <v>0</v>
      </c>
      <c r="E2133" s="929">
        <v>34</v>
      </c>
      <c r="F2133" s="958">
        <v>13944216</v>
      </c>
    </row>
    <row r="2134" spans="1:6" s="905" customFormat="1" x14ac:dyDescent="0.3">
      <c r="A2134" s="1052"/>
      <c r="B2134" s="965">
        <v>2</v>
      </c>
      <c r="C2134" s="1608"/>
      <c r="D2134" s="1139">
        <v>0</v>
      </c>
      <c r="E2134" s="935">
        <v>32</v>
      </c>
      <c r="F2134" s="958">
        <v>13679689</v>
      </c>
    </row>
    <row r="2135" spans="1:6" s="905" customFormat="1" x14ac:dyDescent="0.3">
      <c r="A2135" s="1052"/>
      <c r="B2135" s="965">
        <v>3</v>
      </c>
      <c r="C2135" s="1608"/>
      <c r="D2135" s="1139">
        <v>0</v>
      </c>
      <c r="E2135" s="935">
        <v>69</v>
      </c>
      <c r="F2135" s="958">
        <v>31214841</v>
      </c>
    </row>
    <row r="2136" spans="1:6" s="905" customFormat="1" x14ac:dyDescent="0.3">
      <c r="A2136" s="1052"/>
      <c r="B2136" s="965">
        <v>4</v>
      </c>
      <c r="C2136" s="1608"/>
      <c r="D2136" s="1139">
        <v>0</v>
      </c>
      <c r="E2136" s="935">
        <v>47</v>
      </c>
      <c r="F2136" s="958">
        <v>23802727</v>
      </c>
    </row>
    <row r="2137" spans="1:6" s="905" customFormat="1" x14ac:dyDescent="0.3">
      <c r="A2137" s="1052"/>
      <c r="B2137" s="965">
        <v>5</v>
      </c>
      <c r="C2137" s="1608"/>
      <c r="D2137" s="1139">
        <v>0</v>
      </c>
      <c r="E2137" s="935">
        <v>36</v>
      </c>
      <c r="F2137" s="958">
        <v>21735180</v>
      </c>
    </row>
    <row r="2138" spans="1:6" s="905" customFormat="1" ht="21" thickBot="1" x14ac:dyDescent="0.35">
      <c r="A2138" s="1052"/>
      <c r="B2138" s="965">
        <v>6</v>
      </c>
      <c r="C2138" s="1608"/>
      <c r="D2138" s="1139">
        <v>0</v>
      </c>
      <c r="E2138" s="935">
        <v>34</v>
      </c>
      <c r="F2138" s="958">
        <v>36243014</v>
      </c>
    </row>
    <row r="2139" spans="1:6" s="905" customFormat="1" ht="21" thickBot="1" x14ac:dyDescent="0.35">
      <c r="A2139" s="1056" t="s">
        <v>1811</v>
      </c>
      <c r="B2139" s="1057"/>
      <c r="C2139" s="1609"/>
      <c r="D2139" s="1116">
        <f>SUM(D2133:D2138)</f>
        <v>0</v>
      </c>
      <c r="E2139" s="1058">
        <f t="shared" ref="E2139" si="49">SUM(E2133:E2138)</f>
        <v>252</v>
      </c>
      <c r="F2139" s="961">
        <f>SUM(F2133:F2138)</f>
        <v>140619667</v>
      </c>
    </row>
    <row r="2140" spans="1:6" s="905" customFormat="1" x14ac:dyDescent="0.3">
      <c r="A2140" s="1052"/>
      <c r="B2140" s="965">
        <v>7</v>
      </c>
      <c r="C2140" s="1608"/>
      <c r="D2140" s="1139">
        <v>0</v>
      </c>
      <c r="E2140" s="935">
        <v>60</v>
      </c>
      <c r="F2140" s="958">
        <v>90847800</v>
      </c>
    </row>
    <row r="2141" spans="1:6" s="905" customFormat="1" x14ac:dyDescent="0.3">
      <c r="A2141" s="1052"/>
      <c r="B2141" s="965">
        <v>8</v>
      </c>
      <c r="C2141" s="1608"/>
      <c r="D2141" s="1139">
        <v>0</v>
      </c>
      <c r="E2141" s="935">
        <v>89</v>
      </c>
      <c r="F2141" s="958">
        <v>156829748</v>
      </c>
    </row>
    <row r="2142" spans="1:6" s="905" customFormat="1" x14ac:dyDescent="0.3">
      <c r="A2142" s="1052"/>
      <c r="B2142" s="965">
        <v>9</v>
      </c>
      <c r="C2142" s="1608"/>
      <c r="D2142" s="1139">
        <v>0</v>
      </c>
      <c r="E2142" s="935">
        <v>40</v>
      </c>
      <c r="F2142" s="958">
        <v>80881440</v>
      </c>
    </row>
    <row r="2143" spans="1:6" s="905" customFormat="1" x14ac:dyDescent="0.3">
      <c r="A2143" s="1052"/>
      <c r="B2143" s="965">
        <v>11</v>
      </c>
      <c r="C2143" s="1608"/>
      <c r="D2143" s="1139">
        <v>0</v>
      </c>
      <c r="E2143" s="935">
        <v>45</v>
      </c>
      <c r="F2143" s="958">
        <v>119380320</v>
      </c>
    </row>
    <row r="2144" spans="1:6" s="905" customFormat="1" ht="21" thickBot="1" x14ac:dyDescent="0.35">
      <c r="A2144" s="1052"/>
      <c r="B2144" s="965">
        <v>12</v>
      </c>
      <c r="C2144" s="1608"/>
      <c r="D2144" s="1139">
        <v>0</v>
      </c>
      <c r="E2144" s="935">
        <v>15</v>
      </c>
      <c r="F2144" s="981">
        <v>43729710</v>
      </c>
    </row>
    <row r="2145" spans="1:6" s="905" customFormat="1" ht="21" thickBot="1" x14ac:dyDescent="0.35">
      <c r="A2145" s="1056" t="s">
        <v>1812</v>
      </c>
      <c r="B2145" s="1057"/>
      <c r="C2145" s="1609"/>
      <c r="D2145" s="1116">
        <f>SUM(D2140:D2144)</f>
        <v>0</v>
      </c>
      <c r="E2145" s="1058">
        <f>SUM(E2140:E2144)</f>
        <v>249</v>
      </c>
      <c r="F2145" s="961">
        <f>SUM(F2140:F2144)</f>
        <v>491669018</v>
      </c>
    </row>
    <row r="2146" spans="1:6" s="905" customFormat="1" x14ac:dyDescent="0.3">
      <c r="A2146" s="1052"/>
      <c r="B2146" s="965">
        <v>13</v>
      </c>
      <c r="C2146" s="1608"/>
      <c r="D2146" s="1139">
        <v>0</v>
      </c>
      <c r="E2146" s="935">
        <v>25</v>
      </c>
      <c r="F2146" s="957">
        <v>94363400</v>
      </c>
    </row>
    <row r="2147" spans="1:6" s="905" customFormat="1" x14ac:dyDescent="0.3">
      <c r="A2147" s="1052"/>
      <c r="B2147" s="965">
        <v>14</v>
      </c>
      <c r="C2147" s="1608"/>
      <c r="D2147" s="1139">
        <v>0</v>
      </c>
      <c r="E2147" s="935">
        <v>14</v>
      </c>
      <c r="F2147" s="958">
        <v>64780422</v>
      </c>
    </row>
    <row r="2148" spans="1:6" s="905" customFormat="1" ht="21" thickBot="1" x14ac:dyDescent="0.35">
      <c r="A2148" s="1052"/>
      <c r="B2148" s="965">
        <v>15</v>
      </c>
      <c r="C2148" s="1608"/>
      <c r="D2148" s="1139">
        <v>0</v>
      </c>
      <c r="E2148" s="935">
        <v>5</v>
      </c>
      <c r="F2148" s="958">
        <v>27635810</v>
      </c>
    </row>
    <row r="2149" spans="1:6" s="905" customFormat="1" ht="21" thickBot="1" x14ac:dyDescent="0.35">
      <c r="A2149" s="1056" t="s">
        <v>1813</v>
      </c>
      <c r="B2149" s="1057"/>
      <c r="C2149" s="1609"/>
      <c r="D2149" s="1116">
        <f>SUM(D2146:D2148)</f>
        <v>0</v>
      </c>
      <c r="E2149" s="1058">
        <f>SUM(E2146:E2148)</f>
        <v>44</v>
      </c>
      <c r="F2149" s="961">
        <f>SUM(F2146:F2148)</f>
        <v>186779632</v>
      </c>
    </row>
    <row r="2150" spans="1:6" s="905" customFormat="1" x14ac:dyDescent="0.3">
      <c r="A2150" s="1052"/>
      <c r="B2150" s="965"/>
      <c r="C2150" s="1608">
        <v>1</v>
      </c>
      <c r="D2150" s="1139">
        <v>0</v>
      </c>
      <c r="E2150" s="935">
        <v>45</v>
      </c>
      <c r="F2150" s="958">
        <v>72287145</v>
      </c>
    </row>
    <row r="2151" spans="1:6" s="905" customFormat="1" x14ac:dyDescent="0.3">
      <c r="A2151" s="1052"/>
      <c r="B2151" s="965"/>
      <c r="C2151" s="1608">
        <v>2</v>
      </c>
      <c r="D2151" s="1139">
        <v>0</v>
      </c>
      <c r="E2151" s="935">
        <v>115</v>
      </c>
      <c r="F2151" s="958">
        <v>212384070</v>
      </c>
    </row>
    <row r="2152" spans="1:6" s="905" customFormat="1" x14ac:dyDescent="0.3">
      <c r="A2152" s="1052"/>
      <c r="B2152" s="965"/>
      <c r="C2152" s="1608">
        <v>3</v>
      </c>
      <c r="D2152" s="1139">
        <v>0</v>
      </c>
      <c r="E2152" s="935">
        <v>110</v>
      </c>
      <c r="F2152" s="958">
        <v>229908910</v>
      </c>
    </row>
    <row r="2153" spans="1:6" s="905" customFormat="1" ht="21" thickBot="1" x14ac:dyDescent="0.35">
      <c r="A2153" s="1052"/>
      <c r="B2153" s="965"/>
      <c r="C2153" s="1608">
        <v>4</v>
      </c>
      <c r="D2153" s="1139">
        <v>0</v>
      </c>
      <c r="E2153" s="935">
        <v>80</v>
      </c>
      <c r="F2153" s="958">
        <v>215045520</v>
      </c>
    </row>
    <row r="2154" spans="1:6" s="905" customFormat="1" ht="21" thickBot="1" x14ac:dyDescent="0.35">
      <c r="A2154" s="1056" t="s">
        <v>2944</v>
      </c>
      <c r="B2154" s="1057"/>
      <c r="C2154" s="1609"/>
      <c r="D2154" s="1116">
        <f>SUM(D2150:D2153)</f>
        <v>0</v>
      </c>
      <c r="E2154" s="1058">
        <f>SUM(E2150:E2153)</f>
        <v>350</v>
      </c>
      <c r="F2154" s="961">
        <f>SUM(F2150:F2153)</f>
        <v>729625645</v>
      </c>
    </row>
    <row r="2155" spans="1:6" s="905" customFormat="1" x14ac:dyDescent="0.3">
      <c r="A2155" s="908"/>
      <c r="B2155" s="1153"/>
      <c r="C2155" s="1610">
        <v>5</v>
      </c>
      <c r="D2155" s="1611">
        <v>0</v>
      </c>
      <c r="E2155" s="929">
        <v>80</v>
      </c>
      <c r="F2155" s="957">
        <v>304388160</v>
      </c>
    </row>
    <row r="2156" spans="1:6" s="905" customFormat="1" x14ac:dyDescent="0.3">
      <c r="A2156" s="1052"/>
      <c r="B2156" s="1155"/>
      <c r="C2156" s="1608">
        <v>6</v>
      </c>
      <c r="D2156" s="1139">
        <v>0</v>
      </c>
      <c r="E2156" s="935">
        <v>20</v>
      </c>
      <c r="F2156" s="958">
        <v>92625440</v>
      </c>
    </row>
    <row r="2157" spans="1:6" s="905" customFormat="1" ht="21" thickBot="1" x14ac:dyDescent="0.35">
      <c r="A2157" s="1612"/>
      <c r="B2157" s="1335"/>
      <c r="C2157" s="1613">
        <v>7</v>
      </c>
      <c r="D2157" s="1614">
        <v>0</v>
      </c>
      <c r="E2157" s="1345">
        <v>35</v>
      </c>
      <c r="F2157" s="981">
        <v>194124285</v>
      </c>
    </row>
    <row r="2158" spans="1:6" s="905" customFormat="1" ht="21" thickBot="1" x14ac:dyDescent="0.35">
      <c r="A2158" s="1615" t="s">
        <v>2945</v>
      </c>
      <c r="B2158" s="1057"/>
      <c r="C2158" s="1609"/>
      <c r="D2158" s="1116">
        <f>SUM(D2154:D2157)</f>
        <v>0</v>
      </c>
      <c r="E2158" s="1058">
        <f>SUM(E2155:E2157)</f>
        <v>135</v>
      </c>
      <c r="F2158" s="961">
        <f>SUM(F2155:F2157)</f>
        <v>591137885</v>
      </c>
    </row>
    <row r="2159" spans="1:6" s="905" customFormat="1" ht="21" thickBot="1" x14ac:dyDescent="0.35">
      <c r="A2159" s="1571" t="s">
        <v>61</v>
      </c>
      <c r="B2159" s="1577"/>
      <c r="C2159" s="1616"/>
      <c r="D2159" s="1617"/>
      <c r="E2159" s="1618"/>
      <c r="F2159" s="930">
        <v>2000000</v>
      </c>
    </row>
    <row r="2160" spans="1:6" s="905" customFormat="1" ht="21" thickBot="1" x14ac:dyDescent="0.35">
      <c r="A2160" s="1056" t="s">
        <v>1814</v>
      </c>
      <c r="B2160" s="1619"/>
      <c r="C2160" s="1620"/>
      <c r="D2160" s="1557"/>
      <c r="E2160" s="1621"/>
      <c r="F2160" s="1622">
        <f>SUM(F2159:F2159)</f>
        <v>2000000</v>
      </c>
    </row>
    <row r="2161" spans="1:7" s="905" customFormat="1" x14ac:dyDescent="0.3">
      <c r="A2161" s="1623" t="s">
        <v>2943</v>
      </c>
      <c r="B2161" s="1624"/>
      <c r="C2161" s="1625"/>
      <c r="D2161" s="1626"/>
      <c r="E2161" s="1627"/>
      <c r="F2161" s="1628"/>
    </row>
    <row r="2162" spans="1:7" s="905" customFormat="1" x14ac:dyDescent="0.3">
      <c r="A2162" s="1629" t="s">
        <v>2941</v>
      </c>
      <c r="B2162" s="1630"/>
      <c r="C2162" s="1631"/>
      <c r="D2162" s="1632"/>
      <c r="E2162" s="1633"/>
      <c r="F2162" s="1634">
        <v>355893159</v>
      </c>
      <c r="G2162" s="1635"/>
    </row>
    <row r="2163" spans="1:7" s="905" customFormat="1" ht="21" thickBot="1" x14ac:dyDescent="0.35">
      <c r="A2163" s="1636" t="s">
        <v>2942</v>
      </c>
      <c r="B2163" s="1637"/>
      <c r="C2163" s="1638"/>
      <c r="D2163" s="1639"/>
      <c r="E2163" s="1640"/>
      <c r="F2163" s="1641">
        <v>140421015</v>
      </c>
    </row>
    <row r="2164" spans="1:7" s="905" customFormat="1" ht="21" thickBot="1" x14ac:dyDescent="0.35">
      <c r="A2164" s="1066" t="s">
        <v>117</v>
      </c>
      <c r="B2164" s="1555"/>
      <c r="C2164" s="1642"/>
      <c r="D2164" s="1557"/>
      <c r="E2164" s="1621"/>
      <c r="F2164" s="1622">
        <f>SUM(F2162:F2163)</f>
        <v>496314174</v>
      </c>
    </row>
    <row r="2165" spans="1:7" s="905" customFormat="1" ht="21" thickBot="1" x14ac:dyDescent="0.35">
      <c r="A2165" s="1066" t="s">
        <v>1815</v>
      </c>
      <c r="B2165" s="1643"/>
      <c r="C2165" s="1609"/>
      <c r="D2165" s="961">
        <f>SUM(D2139,D2145,D2149,D2154,D2158)</f>
        <v>0</v>
      </c>
      <c r="E2165" s="1058">
        <f>SUM(E2139,E2145,E2149,E2154,E2158)</f>
        <v>1030</v>
      </c>
      <c r="F2165" s="961">
        <f>SUM(F2139,F2145,F2149,F2154,F2158,F2160,F2164)</f>
        <v>2638146021</v>
      </c>
    </row>
    <row r="2166" spans="1:7" s="905" customFormat="1" x14ac:dyDescent="0.3">
      <c r="A2166" s="905" t="s">
        <v>1816</v>
      </c>
      <c r="B2166" s="1552"/>
      <c r="C2166" s="1608"/>
      <c r="D2166" s="958">
        <v>0</v>
      </c>
      <c r="E2166" s="935">
        <v>1</v>
      </c>
      <c r="F2166" s="958">
        <v>17103300</v>
      </c>
    </row>
    <row r="2167" spans="1:7" s="905" customFormat="1" x14ac:dyDescent="0.3">
      <c r="A2167" s="905" t="s">
        <v>1817</v>
      </c>
      <c r="B2167" s="1552"/>
      <c r="C2167" s="1608"/>
      <c r="D2167" s="958">
        <v>0</v>
      </c>
      <c r="E2167" s="1142">
        <v>0</v>
      </c>
      <c r="F2167" s="958">
        <v>300000</v>
      </c>
    </row>
    <row r="2168" spans="1:7" s="905" customFormat="1" x14ac:dyDescent="0.3">
      <c r="A2168" s="905" t="s">
        <v>1818</v>
      </c>
      <c r="B2168" s="1552"/>
      <c r="C2168" s="1608"/>
      <c r="D2168" s="958"/>
      <c r="E2168" s="935">
        <v>1</v>
      </c>
      <c r="F2168" s="958">
        <v>7414214</v>
      </c>
    </row>
    <row r="2169" spans="1:7" s="905" customFormat="1" x14ac:dyDescent="0.3">
      <c r="A2169" s="905" t="s">
        <v>1819</v>
      </c>
      <c r="B2169" s="1552"/>
      <c r="C2169" s="1608"/>
      <c r="D2169" s="958"/>
      <c r="E2169" s="935">
        <v>1</v>
      </c>
      <c r="F2169" s="958">
        <v>7414214</v>
      </c>
    </row>
    <row r="2170" spans="1:7" s="905" customFormat="1" x14ac:dyDescent="0.3">
      <c r="A2170" s="905" t="s">
        <v>1820</v>
      </c>
      <c r="B2170" s="1552"/>
      <c r="C2170" s="1608"/>
      <c r="D2170" s="958"/>
      <c r="E2170" s="935">
        <v>1</v>
      </c>
      <c r="F2170" s="958">
        <v>7414214</v>
      </c>
    </row>
    <row r="2171" spans="1:7" s="905" customFormat="1" ht="21" thickBot="1" x14ac:dyDescent="0.35">
      <c r="A2171" s="905" t="s">
        <v>1821</v>
      </c>
      <c r="B2171" s="1552"/>
      <c r="C2171" s="1608"/>
      <c r="D2171" s="958"/>
      <c r="E2171" s="935"/>
      <c r="F2171" s="958">
        <v>1000000</v>
      </c>
    </row>
    <row r="2172" spans="1:7" s="905" customFormat="1" ht="21" thickBot="1" x14ac:dyDescent="0.35">
      <c r="A2172" s="1066" t="s">
        <v>117</v>
      </c>
      <c r="B2172" s="1644"/>
      <c r="C2172" s="1645"/>
      <c r="D2172" s="1646">
        <f>SUM(D2166:D2167)</f>
        <v>0</v>
      </c>
      <c r="E2172" s="1647">
        <f>SUM(E2166:E2171)</f>
        <v>4</v>
      </c>
      <c r="F2172" s="961">
        <f>SUM(F2166:F2171)</f>
        <v>40645942</v>
      </c>
    </row>
    <row r="2173" spans="1:7" s="905" customFormat="1" ht="23.25" customHeight="1" thickBot="1" x14ac:dyDescent="0.35">
      <c r="A2173" s="1140" t="s">
        <v>1834</v>
      </c>
      <c r="B2173" s="1555"/>
      <c r="C2173" s="1609"/>
      <c r="D2173" s="1648">
        <v>1999764725</v>
      </c>
      <c r="E2173" s="943">
        <f>SUM(E2139,E2145,E2149,E2154,E2158,E2172)</f>
        <v>1034</v>
      </c>
      <c r="F2173" s="1338">
        <f>SUM(F2165,F2172)</f>
        <v>2678791963</v>
      </c>
    </row>
    <row r="2174" spans="1:7" s="905" customFormat="1" ht="15.75" customHeight="1" x14ac:dyDescent="0.3">
      <c r="A2174" s="1203"/>
      <c r="B2174" s="1069"/>
      <c r="C2174" s="1649"/>
      <c r="D2174" s="1650"/>
      <c r="E2174" s="1070"/>
      <c r="F2174" s="1651"/>
    </row>
    <row r="2175" spans="1:7" s="905" customFormat="1" x14ac:dyDescent="0.3">
      <c r="A2175" s="3543" t="s">
        <v>183</v>
      </c>
      <c r="B2175" s="3543"/>
      <c r="C2175" s="3543"/>
      <c r="D2175" s="3543"/>
      <c r="E2175" s="3543"/>
      <c r="F2175" s="3543"/>
    </row>
    <row r="2176" spans="1:7" s="905" customFormat="1" ht="21" thickBot="1" x14ac:dyDescent="0.35">
      <c r="A2176" s="3544" t="s">
        <v>1700</v>
      </c>
      <c r="B2176" s="3544"/>
      <c r="C2176" s="3544"/>
      <c r="D2176" s="3544"/>
      <c r="E2176" s="3544"/>
      <c r="F2176" s="3544"/>
    </row>
    <row r="2177" spans="1:6" s="906" customFormat="1" ht="41.25" thickBot="1" x14ac:dyDescent="0.35">
      <c r="A2177" s="1048" t="s">
        <v>1666</v>
      </c>
      <c r="B2177" s="1049" t="s">
        <v>1691</v>
      </c>
      <c r="C2177" s="1440"/>
      <c r="D2177" s="1048" t="s">
        <v>1482</v>
      </c>
      <c r="E2177" s="922" t="s">
        <v>1129</v>
      </c>
      <c r="F2177" s="923" t="s">
        <v>3096</v>
      </c>
    </row>
    <row r="2178" spans="1:6" s="905" customFormat="1" x14ac:dyDescent="0.3">
      <c r="A2178" s="908"/>
      <c r="B2178" s="965">
        <v>1</v>
      </c>
      <c r="C2178" s="1120"/>
      <c r="D2178" s="958">
        <v>5421582</v>
      </c>
      <c r="E2178" s="929">
        <v>17</v>
      </c>
      <c r="F2178" s="958">
        <v>5421582</v>
      </c>
    </row>
    <row r="2179" spans="1:6" s="905" customFormat="1" x14ac:dyDescent="0.3">
      <c r="A2179" s="1052"/>
      <c r="B2179" s="965">
        <v>2</v>
      </c>
      <c r="C2179" s="1109"/>
      <c r="D2179" s="958">
        <v>7123496</v>
      </c>
      <c r="E2179" s="935">
        <v>12</v>
      </c>
      <c r="F2179" s="958">
        <v>7123496</v>
      </c>
    </row>
    <row r="2180" spans="1:6" s="905" customFormat="1" x14ac:dyDescent="0.3">
      <c r="A2180" s="1052"/>
      <c r="B2180" s="965">
        <v>3</v>
      </c>
      <c r="C2180" s="1109"/>
      <c r="D2180" s="958">
        <v>11496491</v>
      </c>
      <c r="E2180" s="935">
        <v>10</v>
      </c>
      <c r="F2180" s="958">
        <v>11496491</v>
      </c>
    </row>
    <row r="2181" spans="1:6" s="905" customFormat="1" x14ac:dyDescent="0.3">
      <c r="A2181" s="1052"/>
      <c r="B2181" s="965">
        <v>4</v>
      </c>
      <c r="C2181" s="1109"/>
      <c r="D2181" s="958">
        <v>15496496</v>
      </c>
      <c r="E2181" s="935">
        <v>12</v>
      </c>
      <c r="F2181" s="958">
        <v>15496496</v>
      </c>
    </row>
    <row r="2182" spans="1:6" s="905" customFormat="1" x14ac:dyDescent="0.3">
      <c r="A2182" s="1052"/>
      <c r="B2182" s="965">
        <v>5</v>
      </c>
      <c r="C2182" s="1109"/>
      <c r="D2182" s="958">
        <v>8613595</v>
      </c>
      <c r="E2182" s="935">
        <v>5</v>
      </c>
      <c r="F2182" s="958">
        <v>8613595</v>
      </c>
    </row>
    <row r="2183" spans="1:6" s="905" customFormat="1" ht="21" thickBot="1" x14ac:dyDescent="0.35">
      <c r="A2183" s="1052"/>
      <c r="B2183" s="965">
        <v>6</v>
      </c>
      <c r="C2183" s="1127"/>
      <c r="D2183" s="958">
        <v>10496369</v>
      </c>
      <c r="E2183" s="935">
        <v>18</v>
      </c>
      <c r="F2183" s="958">
        <v>10496369</v>
      </c>
    </row>
    <row r="2184" spans="1:6" s="905" customFormat="1" ht="21" thickBot="1" x14ac:dyDescent="0.35">
      <c r="A2184" s="1056" t="s">
        <v>187</v>
      </c>
      <c r="B2184" s="1057"/>
      <c r="C2184" s="1109"/>
      <c r="D2184" s="961">
        <v>58648029</v>
      </c>
      <c r="E2184" s="1058">
        <f t="shared" ref="E2184" si="50">SUM(E2178:E2183)</f>
        <v>74</v>
      </c>
      <c r="F2184" s="961">
        <v>58648029</v>
      </c>
    </row>
    <row r="2185" spans="1:6" s="905" customFormat="1" x14ac:dyDescent="0.3">
      <c r="A2185" s="1052"/>
      <c r="B2185" s="965">
        <v>7</v>
      </c>
      <c r="C2185" s="1120"/>
      <c r="D2185" s="958">
        <v>90865356</v>
      </c>
      <c r="E2185" s="935">
        <v>27</v>
      </c>
      <c r="F2185" s="958">
        <v>90865356</v>
      </c>
    </row>
    <row r="2186" spans="1:6" s="905" customFormat="1" x14ac:dyDescent="0.3">
      <c r="A2186" s="1052"/>
      <c r="B2186" s="965">
        <v>8</v>
      </c>
      <c r="C2186" s="1109"/>
      <c r="D2186" s="958">
        <v>56091341</v>
      </c>
      <c r="E2186" s="935">
        <v>45</v>
      </c>
      <c r="F2186" s="958">
        <v>56091341</v>
      </c>
    </row>
    <row r="2187" spans="1:6" s="905" customFormat="1" x14ac:dyDescent="0.3">
      <c r="A2187" s="1052"/>
      <c r="B2187" s="965">
        <v>9</v>
      </c>
      <c r="C2187" s="1109"/>
      <c r="D2187" s="958">
        <v>121597331</v>
      </c>
      <c r="E2187" s="935">
        <v>22</v>
      </c>
      <c r="F2187" s="958">
        <v>121597331</v>
      </c>
    </row>
    <row r="2188" spans="1:6" s="905" customFormat="1" x14ac:dyDescent="0.3">
      <c r="A2188" s="1052"/>
      <c r="B2188" s="965">
        <v>11</v>
      </c>
      <c r="C2188" s="1109"/>
      <c r="D2188" s="958">
        <v>200101126.15000001</v>
      </c>
      <c r="E2188" s="935">
        <v>33</v>
      </c>
      <c r="F2188" s="958">
        <v>200101126.15000001</v>
      </c>
    </row>
    <row r="2189" spans="1:6" s="905" customFormat="1" ht="21" thickBot="1" x14ac:dyDescent="0.35">
      <c r="A2189" s="1052"/>
      <c r="B2189" s="965">
        <v>12</v>
      </c>
      <c r="C2189" s="1127"/>
      <c r="D2189" s="981">
        <v>237133162.15000001</v>
      </c>
      <c r="E2189" s="935">
        <v>85</v>
      </c>
      <c r="F2189" s="981">
        <v>237133162.15000001</v>
      </c>
    </row>
    <row r="2190" spans="1:6" s="905" customFormat="1" ht="21" thickBot="1" x14ac:dyDescent="0.35">
      <c r="A2190" s="1056" t="s">
        <v>188</v>
      </c>
      <c r="B2190" s="1057"/>
      <c r="C2190" s="1109"/>
      <c r="D2190" s="961">
        <v>705788316</v>
      </c>
      <c r="E2190" s="1058">
        <f t="shared" ref="E2190" si="51">SUM(E2185:E2189)</f>
        <v>212</v>
      </c>
      <c r="F2190" s="961">
        <v>705788316</v>
      </c>
    </row>
    <row r="2191" spans="1:6" s="905" customFormat="1" x14ac:dyDescent="0.3">
      <c r="A2191" s="1052"/>
      <c r="B2191" s="965">
        <v>13</v>
      </c>
      <c r="C2191" s="1120"/>
      <c r="D2191" s="957">
        <v>105136493</v>
      </c>
      <c r="E2191" s="935">
        <v>59</v>
      </c>
      <c r="F2191" s="957">
        <v>105136493</v>
      </c>
    </row>
    <row r="2192" spans="1:6" s="905" customFormat="1" x14ac:dyDescent="0.3">
      <c r="A2192" s="1052"/>
      <c r="B2192" s="965">
        <v>14</v>
      </c>
      <c r="C2192" s="1109"/>
      <c r="D2192" s="958">
        <v>78139721</v>
      </c>
      <c r="E2192" s="935">
        <v>35</v>
      </c>
      <c r="F2192" s="958">
        <v>78139721</v>
      </c>
    </row>
    <row r="2193" spans="1:6" s="905" customFormat="1" x14ac:dyDescent="0.3">
      <c r="A2193" s="1052"/>
      <c r="B2193" s="965">
        <v>15</v>
      </c>
      <c r="C2193" s="1109"/>
      <c r="D2193" s="958">
        <v>44367123</v>
      </c>
      <c r="E2193" s="935">
        <v>8</v>
      </c>
      <c r="F2193" s="958">
        <v>44367123</v>
      </c>
    </row>
    <row r="2194" spans="1:6" s="905" customFormat="1" ht="21" thickBot="1" x14ac:dyDescent="0.35">
      <c r="A2194" s="1052"/>
      <c r="B2194" s="965">
        <v>16</v>
      </c>
      <c r="C2194" s="1109"/>
      <c r="D2194" s="958">
        <v>899449</v>
      </c>
      <c r="E2194" s="935">
        <v>2</v>
      </c>
      <c r="F2194" s="958">
        <v>899449</v>
      </c>
    </row>
    <row r="2195" spans="1:6" s="905" customFormat="1" ht="21" thickBot="1" x14ac:dyDescent="0.35">
      <c r="A2195" s="1056" t="s">
        <v>189</v>
      </c>
      <c r="B2195" s="1057"/>
      <c r="C2195" s="1115"/>
      <c r="D2195" s="961">
        <v>228542786</v>
      </c>
      <c r="E2195" s="1058">
        <f>SUM(E2191:E2194)</f>
        <v>104</v>
      </c>
      <c r="F2195" s="961">
        <v>228542786</v>
      </c>
    </row>
    <row r="2196" spans="1:6" s="905" customFormat="1" ht="21" thickBot="1" x14ac:dyDescent="0.35">
      <c r="A2196" s="1062" t="s">
        <v>190</v>
      </c>
      <c r="B2196" s="1063"/>
      <c r="C2196" s="1109"/>
      <c r="D2196" s="1065">
        <v>808209435</v>
      </c>
      <c r="E2196" s="1064">
        <f t="shared" ref="E2196" si="52">E2195+E2190+E2184</f>
        <v>390</v>
      </c>
      <c r="F2196" s="1065">
        <v>808209435</v>
      </c>
    </row>
    <row r="2197" spans="1:6" s="905" customFormat="1" ht="21" thickBot="1" x14ac:dyDescent="0.35">
      <c r="A2197" s="905" t="s">
        <v>1692</v>
      </c>
      <c r="B2197" s="965"/>
      <c r="C2197" s="1115"/>
      <c r="D2197" s="958">
        <v>772501</v>
      </c>
      <c r="E2197" s="935">
        <v>1</v>
      </c>
      <c r="F2197" s="958">
        <v>772501</v>
      </c>
    </row>
    <row r="2198" spans="1:6" s="906" customFormat="1" ht="21" thickBot="1" x14ac:dyDescent="0.35">
      <c r="A2198" s="1066" t="s">
        <v>117</v>
      </c>
      <c r="B2198" s="1057"/>
      <c r="C2198" s="1652"/>
      <c r="D2198" s="961">
        <f>SUM(D2197:D2197)</f>
        <v>772501</v>
      </c>
      <c r="E2198" s="1058">
        <f>SUM(E2197:E2197)</f>
        <v>1</v>
      </c>
      <c r="F2198" s="961">
        <v>772501</v>
      </c>
    </row>
    <row r="2199" spans="1:6" s="906" customFormat="1" ht="21" thickBot="1" x14ac:dyDescent="0.35">
      <c r="A2199" s="1140" t="s">
        <v>2701</v>
      </c>
      <c r="B2199" s="1057"/>
      <c r="C2199" s="1124"/>
      <c r="D2199" s="1648">
        <v>979552795</v>
      </c>
      <c r="E2199" s="943">
        <f>SUM(E2196,E2198)</f>
        <v>391</v>
      </c>
      <c r="F2199" s="961">
        <v>993751632</v>
      </c>
    </row>
    <row r="2200" spans="1:6" s="906" customFormat="1" x14ac:dyDescent="0.3">
      <c r="A2200" s="1203"/>
      <c r="B2200" s="1069"/>
      <c r="C2200" s="1653"/>
      <c r="D2200" s="1070"/>
      <c r="E2200" s="1071"/>
      <c r="F2200" s="1205"/>
    </row>
    <row r="2201" spans="1:6" s="905" customFormat="1" x14ac:dyDescent="0.3">
      <c r="A2201" s="3543" t="s">
        <v>183</v>
      </c>
      <c r="B2201" s="3543"/>
      <c r="C2201" s="3543"/>
      <c r="D2201" s="3543"/>
      <c r="E2201" s="3543"/>
      <c r="F2201" s="3543"/>
    </row>
    <row r="2202" spans="1:6" s="905" customFormat="1" ht="21" thickBot="1" x14ac:dyDescent="0.35">
      <c r="A2202" s="3547" t="s">
        <v>1699</v>
      </c>
      <c r="B2202" s="3547"/>
      <c r="C2202" s="3547"/>
      <c r="D2202" s="3547"/>
      <c r="E2202" s="3547"/>
      <c r="F2202" s="3547"/>
    </row>
    <row r="2203" spans="1:6" s="906" customFormat="1" ht="41.25" thickBot="1" x14ac:dyDescent="0.35">
      <c r="A2203" s="1048" t="s">
        <v>185</v>
      </c>
      <c r="B2203" s="1049" t="s">
        <v>186</v>
      </c>
      <c r="C2203" s="1316" t="s">
        <v>1482</v>
      </c>
      <c r="D2203" s="920" t="s">
        <v>1696</v>
      </c>
      <c r="E2203" s="922" t="s">
        <v>564</v>
      </c>
      <c r="F2203" s="923" t="s">
        <v>3096</v>
      </c>
    </row>
    <row r="2204" spans="1:6" s="905" customFormat="1" x14ac:dyDescent="0.3">
      <c r="A2204" s="908"/>
      <c r="B2204" s="965">
        <v>1</v>
      </c>
      <c r="C2204" s="1110">
        <v>14652758</v>
      </c>
      <c r="D2204" s="1128">
        <v>1177305</v>
      </c>
      <c r="E2204" s="929">
        <v>4</v>
      </c>
      <c r="F2204" s="958">
        <v>1827766</v>
      </c>
    </row>
    <row r="2205" spans="1:6" s="905" customFormat="1" x14ac:dyDescent="0.3">
      <c r="A2205" s="1052"/>
      <c r="B2205" s="965">
        <v>2</v>
      </c>
      <c r="C2205" s="1113">
        <v>3683000</v>
      </c>
      <c r="D2205" s="1131">
        <v>12800962</v>
      </c>
      <c r="E2205" s="935">
        <v>43</v>
      </c>
      <c r="F2205" s="958">
        <v>19873494</v>
      </c>
    </row>
    <row r="2206" spans="1:6" s="905" customFormat="1" x14ac:dyDescent="0.3">
      <c r="A2206" s="1052"/>
      <c r="B2206" s="965">
        <v>3</v>
      </c>
      <c r="C2206" s="1113">
        <v>746200</v>
      </c>
      <c r="D2206" s="1131">
        <v>2096434</v>
      </c>
      <c r="E2206" s="935">
        <v>6</v>
      </c>
      <c r="F2206" s="958">
        <v>3254714</v>
      </c>
    </row>
    <row r="2207" spans="1:6" s="905" customFormat="1" x14ac:dyDescent="0.3">
      <c r="A2207" s="1052"/>
      <c r="B2207" s="965">
        <v>4</v>
      </c>
      <c r="C2207" s="1113">
        <v>2292985</v>
      </c>
      <c r="D2207" s="1131">
        <v>716333</v>
      </c>
      <c r="E2207" s="935">
        <v>2</v>
      </c>
      <c r="F2207" s="958">
        <v>1112106</v>
      </c>
    </row>
    <row r="2208" spans="1:6" s="905" customFormat="1" x14ac:dyDescent="0.3">
      <c r="A2208" s="1052"/>
      <c r="B2208" s="965">
        <v>5</v>
      </c>
      <c r="C2208" s="1113">
        <v>2544317</v>
      </c>
      <c r="D2208" s="1131">
        <v>6367755</v>
      </c>
      <c r="E2208" s="935">
        <v>12</v>
      </c>
      <c r="F2208" s="958">
        <v>9885939</v>
      </c>
    </row>
    <row r="2209" spans="1:6" s="905" customFormat="1" ht="21" thickBot="1" x14ac:dyDescent="0.35">
      <c r="A2209" s="1052"/>
      <c r="B2209" s="965">
        <v>6</v>
      </c>
      <c r="C2209" s="1113">
        <v>10786121</v>
      </c>
      <c r="D2209" s="1131">
        <v>4567655</v>
      </c>
      <c r="E2209" s="935">
        <v>7</v>
      </c>
      <c r="F2209" s="958">
        <v>7091284</v>
      </c>
    </row>
    <row r="2210" spans="1:6" s="905" customFormat="1" ht="21" thickBot="1" x14ac:dyDescent="0.35">
      <c r="A2210" s="1056" t="s">
        <v>187</v>
      </c>
      <c r="B2210" s="1057"/>
      <c r="C2210" s="1116">
        <f>SUM(C2204:C2209)</f>
        <v>34705381</v>
      </c>
      <c r="D2210" s="1116">
        <f>SUM(D2204:D2209)</f>
        <v>27726444</v>
      </c>
      <c r="E2210" s="1058">
        <f>SUM(E2204:E2209)</f>
        <v>74</v>
      </c>
      <c r="F2210" s="961">
        <f>SUM(F2204:F2209)</f>
        <v>43045303</v>
      </c>
    </row>
    <row r="2211" spans="1:6" s="905" customFormat="1" x14ac:dyDescent="0.3">
      <c r="A2211" s="1052"/>
      <c r="B2211" s="965">
        <v>7</v>
      </c>
      <c r="C2211" s="1113">
        <v>44587217</v>
      </c>
      <c r="D2211" s="1131">
        <v>16326235</v>
      </c>
      <c r="E2211" s="935">
        <v>21</v>
      </c>
      <c r="F2211" s="958">
        <v>25755083</v>
      </c>
    </row>
    <row r="2212" spans="1:6" s="905" customFormat="1" x14ac:dyDescent="0.3">
      <c r="A2212" s="1052"/>
      <c r="B2212" s="965">
        <v>8</v>
      </c>
      <c r="C2212" s="1113">
        <v>61571111</v>
      </c>
      <c r="D2212" s="1131">
        <v>30554636</v>
      </c>
      <c r="E2212" s="935">
        <v>35</v>
      </c>
      <c r="F2212" s="958">
        <v>47436072</v>
      </c>
    </row>
    <row r="2213" spans="1:6" s="905" customFormat="1" x14ac:dyDescent="0.3">
      <c r="A2213" s="1052"/>
      <c r="B2213" s="965">
        <v>9</v>
      </c>
      <c r="C2213" s="1113">
        <v>51979050</v>
      </c>
      <c r="D2213" s="1131">
        <v>32476550</v>
      </c>
      <c r="E2213" s="935">
        <v>29</v>
      </c>
      <c r="F2213" s="958">
        <v>50419844</v>
      </c>
    </row>
    <row r="2214" spans="1:6" s="905" customFormat="1" x14ac:dyDescent="0.3">
      <c r="A2214" s="1052"/>
      <c r="B2214" s="965">
        <v>11</v>
      </c>
      <c r="C2214" s="1113">
        <v>22778088</v>
      </c>
      <c r="D2214" s="1131">
        <v>42228594</v>
      </c>
      <c r="E2214" s="935">
        <v>31</v>
      </c>
      <c r="F2214" s="958">
        <v>65559892</v>
      </c>
    </row>
    <row r="2215" spans="1:6" s="905" customFormat="1" ht="21" thickBot="1" x14ac:dyDescent="0.35">
      <c r="A2215" s="1052"/>
      <c r="B2215" s="965">
        <v>12</v>
      </c>
      <c r="C2215" s="1113">
        <v>23291636</v>
      </c>
      <c r="D2215" s="1131">
        <v>27357981</v>
      </c>
      <c r="E2215" s="935">
        <v>15</v>
      </c>
      <c r="F2215" s="981">
        <v>42473265</v>
      </c>
    </row>
    <row r="2216" spans="1:6" s="905" customFormat="1" ht="21" thickBot="1" x14ac:dyDescent="0.35">
      <c r="A2216" s="1056" t="s">
        <v>188</v>
      </c>
      <c r="B2216" s="1057"/>
      <c r="C2216" s="1116">
        <f>SUM(C2211:C2215)</f>
        <v>204207102</v>
      </c>
      <c r="D2216" s="1116">
        <f>SUM(D2211:D2215)</f>
        <v>148943996</v>
      </c>
      <c r="E2216" s="1058">
        <f>SUM(E2211:E2215)</f>
        <v>131</v>
      </c>
      <c r="F2216" s="961">
        <f>SUM(F2211:F2215)</f>
        <v>231644156</v>
      </c>
    </row>
    <row r="2217" spans="1:6" s="905" customFormat="1" x14ac:dyDescent="0.3">
      <c r="A2217" s="1052"/>
      <c r="B2217" s="965">
        <v>13</v>
      </c>
      <c r="C2217" s="1113">
        <v>49017970</v>
      </c>
      <c r="D2217" s="1131">
        <v>28964085</v>
      </c>
      <c r="E2217" s="935">
        <v>12</v>
      </c>
      <c r="F2217" s="957">
        <v>44966741</v>
      </c>
    </row>
    <row r="2218" spans="1:6" s="905" customFormat="1" x14ac:dyDescent="0.3">
      <c r="A2218" s="1052"/>
      <c r="B2218" s="965">
        <v>14</v>
      </c>
      <c r="C2218" s="1113">
        <v>19612075</v>
      </c>
      <c r="D2218" s="1131">
        <v>12619946</v>
      </c>
      <c r="E2218" s="935">
        <v>4</v>
      </c>
      <c r="F2218" s="958">
        <v>19592466</v>
      </c>
    </row>
    <row r="2219" spans="1:6" s="905" customFormat="1" x14ac:dyDescent="0.3">
      <c r="A2219" s="1052"/>
      <c r="B2219" s="965">
        <v>15</v>
      </c>
      <c r="C2219" s="1113">
        <v>36589537</v>
      </c>
      <c r="D2219" s="1131">
        <v>31874176</v>
      </c>
      <c r="E2219" s="935">
        <v>9</v>
      </c>
      <c r="F2219" s="958">
        <v>49484658</v>
      </c>
    </row>
    <row r="2220" spans="1:6" s="905" customFormat="1" ht="21" thickBot="1" x14ac:dyDescent="0.35">
      <c r="A2220" s="1052"/>
      <c r="B2220" s="965">
        <v>16</v>
      </c>
      <c r="C2220" s="1113">
        <v>0</v>
      </c>
      <c r="D2220" s="1131">
        <v>3597785</v>
      </c>
      <c r="E2220" s="935">
        <v>1</v>
      </c>
      <c r="F2220" s="958">
        <v>5585617</v>
      </c>
    </row>
    <row r="2221" spans="1:6" s="905" customFormat="1" ht="21" thickBot="1" x14ac:dyDescent="0.35">
      <c r="A2221" s="1056" t="s">
        <v>189</v>
      </c>
      <c r="B2221" s="1057"/>
      <c r="C2221" s="1116">
        <f>SUM(C2217:C2220)</f>
        <v>105219582</v>
      </c>
      <c r="D2221" s="1116">
        <f t="shared" ref="D2221:E2221" si="53">SUM(D2217:D2220)</f>
        <v>77055992</v>
      </c>
      <c r="E2221" s="1058">
        <f t="shared" si="53"/>
        <v>26</v>
      </c>
      <c r="F2221" s="961">
        <f>SUM(F2217:F2220)</f>
        <v>119629482</v>
      </c>
    </row>
    <row r="2222" spans="1:6" s="905" customFormat="1" ht="21" thickBot="1" x14ac:dyDescent="0.35">
      <c r="A2222" s="1062" t="s">
        <v>190</v>
      </c>
      <c r="B2222" s="1063"/>
      <c r="C2222" s="1121">
        <f>C2221+C2216+C2210</f>
        <v>344132065</v>
      </c>
      <c r="D2222" s="1134">
        <f t="shared" ref="D2222:E2222" si="54">D2221+D2216+D2210</f>
        <v>253726432</v>
      </c>
      <c r="E2222" s="1064">
        <f t="shared" si="54"/>
        <v>231</v>
      </c>
      <c r="F2222" s="1065">
        <f>SUM(F2221,F2216,F2210)</f>
        <v>394318941</v>
      </c>
    </row>
    <row r="2223" spans="1:6" s="905" customFormat="1" x14ac:dyDescent="0.3">
      <c r="A2223" s="905" t="s">
        <v>1697</v>
      </c>
      <c r="B2223" s="965"/>
      <c r="C2223" s="958">
        <v>1925865</v>
      </c>
      <c r="D2223" s="1131">
        <v>1283910</v>
      </c>
      <c r="E2223" s="935">
        <v>1</v>
      </c>
      <c r="F2223" s="958">
        <v>1925865</v>
      </c>
    </row>
    <row r="2224" spans="1:6" s="905" customFormat="1" ht="21" thickBot="1" x14ac:dyDescent="0.35">
      <c r="A2224" s="905" t="s">
        <v>1698</v>
      </c>
      <c r="B2224" s="965"/>
      <c r="C2224" s="958">
        <v>9147860</v>
      </c>
      <c r="D2224" s="1131">
        <v>6098573</v>
      </c>
      <c r="E2224" s="935">
        <v>0</v>
      </c>
      <c r="F2224" s="958">
        <v>9147860</v>
      </c>
    </row>
    <row r="2225" spans="1:6" s="905" customFormat="1" ht="21" thickBot="1" x14ac:dyDescent="0.35">
      <c r="A2225" s="1066" t="s">
        <v>117</v>
      </c>
      <c r="B2225" s="1654"/>
      <c r="C2225" s="1646">
        <f>SUM(C2223:C2224)</f>
        <v>11073725</v>
      </c>
      <c r="D2225" s="1646">
        <f t="shared" ref="D2225:E2225" si="55">SUM(D2223:D2224)</f>
        <v>7382483</v>
      </c>
      <c r="E2225" s="1647">
        <f t="shared" si="55"/>
        <v>1</v>
      </c>
      <c r="F2225" s="1646">
        <f>SUM(F2223:F2224)</f>
        <v>11073725</v>
      </c>
    </row>
    <row r="2226" spans="1:6" s="905" customFormat="1" ht="21" thickBot="1" x14ac:dyDescent="0.35">
      <c r="A2226" s="1140" t="s">
        <v>2700</v>
      </c>
      <c r="B2226" s="1057"/>
      <c r="C2226" s="1116">
        <f>SUM(C2222,C2225)</f>
        <v>355205790</v>
      </c>
      <c r="D2226" s="1068">
        <f t="shared" ref="D2226:E2226" si="56">SUM(D2222,D2225)</f>
        <v>261108915</v>
      </c>
      <c r="E2226" s="943">
        <f t="shared" si="56"/>
        <v>232</v>
      </c>
      <c r="F2226" s="961">
        <f>SUM(F2222,F2225)</f>
        <v>405392666</v>
      </c>
    </row>
    <row r="2227" spans="1:6" s="905" customFormat="1" x14ac:dyDescent="0.3">
      <c r="C2227" s="1136"/>
      <c r="E2227" s="907"/>
      <c r="F2227" s="914"/>
    </row>
    <row r="2228" spans="1:6" s="905" customFormat="1" x14ac:dyDescent="0.3">
      <c r="A2228" s="3543" t="s">
        <v>183</v>
      </c>
      <c r="B2228" s="3543"/>
      <c r="C2228" s="3543"/>
      <c r="D2228" s="3543"/>
      <c r="E2228" s="3543"/>
      <c r="F2228" s="3543"/>
    </row>
    <row r="2229" spans="1:6" s="905" customFormat="1" ht="21" thickBot="1" x14ac:dyDescent="0.35">
      <c r="A2229" s="3544" t="s">
        <v>1702</v>
      </c>
      <c r="B2229" s="3544"/>
      <c r="C2229" s="3544"/>
      <c r="D2229" s="3544"/>
      <c r="E2229" s="3544"/>
      <c r="F2229" s="3544"/>
    </row>
    <row r="2230" spans="1:6" s="906" customFormat="1" ht="41.25" thickBot="1" x14ac:dyDescent="0.35">
      <c r="A2230" s="1048" t="s">
        <v>185</v>
      </c>
      <c r="B2230" s="1049" t="s">
        <v>186</v>
      </c>
      <c r="C2230" s="1316" t="s">
        <v>1482</v>
      </c>
      <c r="D2230" s="920" t="s">
        <v>1667</v>
      </c>
      <c r="E2230" s="922" t="s">
        <v>1129</v>
      </c>
      <c r="F2230" s="923" t="s">
        <v>3096</v>
      </c>
    </row>
    <row r="2231" spans="1:6" s="905" customFormat="1" x14ac:dyDescent="0.3">
      <c r="A2231" s="908"/>
      <c r="B2231" s="965">
        <v>1</v>
      </c>
      <c r="C2231" s="1110">
        <v>30432071</v>
      </c>
      <c r="D2231" s="1655">
        <v>580441</v>
      </c>
      <c r="E2231" s="929">
        <v>11</v>
      </c>
      <c r="F2231" s="958">
        <v>31132008</v>
      </c>
    </row>
    <row r="2232" spans="1:6" s="905" customFormat="1" x14ac:dyDescent="0.3">
      <c r="A2232" s="1052"/>
      <c r="B2232" s="965">
        <v>2</v>
      </c>
      <c r="C2232" s="1113">
        <v>34141990</v>
      </c>
      <c r="D2232" s="1656">
        <v>8862138</v>
      </c>
      <c r="E2232" s="935">
        <v>33</v>
      </c>
      <c r="F2232" s="958">
        <v>34927255</v>
      </c>
    </row>
    <row r="2233" spans="1:6" s="905" customFormat="1" x14ac:dyDescent="0.3">
      <c r="A2233" s="1052"/>
      <c r="B2233" s="965">
        <v>3</v>
      </c>
      <c r="C2233" s="1113">
        <v>48786784</v>
      </c>
      <c r="D2233" s="1656">
        <v>8385726</v>
      </c>
      <c r="E2233" s="935">
        <v>35</v>
      </c>
      <c r="F2233" s="958">
        <v>90828880</v>
      </c>
    </row>
    <row r="2234" spans="1:6" s="905" customFormat="1" x14ac:dyDescent="0.3">
      <c r="A2234" s="1052"/>
      <c r="B2234" s="965">
        <v>4</v>
      </c>
      <c r="C2234" s="1113">
        <v>36149280</v>
      </c>
      <c r="D2234" s="1656">
        <v>6519131</v>
      </c>
      <c r="E2234" s="935">
        <v>27</v>
      </c>
      <c r="F2234" s="958">
        <v>101670578</v>
      </c>
    </row>
    <row r="2235" spans="1:6" s="905" customFormat="1" x14ac:dyDescent="0.3">
      <c r="A2235" s="1052"/>
      <c r="B2235" s="965">
        <v>5</v>
      </c>
      <c r="C2235" s="1113">
        <v>35782951</v>
      </c>
      <c r="D2235" s="1656">
        <v>6296379</v>
      </c>
      <c r="E2235" s="935">
        <v>25</v>
      </c>
      <c r="F2235" s="958">
        <v>126575293</v>
      </c>
    </row>
    <row r="2236" spans="1:6" s="905" customFormat="1" ht="21" thickBot="1" x14ac:dyDescent="0.35">
      <c r="A2236" s="1052"/>
      <c r="B2236" s="965">
        <v>6</v>
      </c>
      <c r="C2236" s="1113">
        <v>47673152</v>
      </c>
      <c r="D2236" s="1656">
        <v>25294169</v>
      </c>
      <c r="E2236" s="935">
        <v>43</v>
      </c>
      <c r="F2236" s="958">
        <v>127614525</v>
      </c>
    </row>
    <row r="2237" spans="1:6" s="905" customFormat="1" ht="21" thickBot="1" x14ac:dyDescent="0.35">
      <c r="A2237" s="1056" t="s">
        <v>187</v>
      </c>
      <c r="B2237" s="1057"/>
      <c r="C2237" s="1116">
        <f>SUM(C2231:C2236)</f>
        <v>232966228</v>
      </c>
      <c r="D2237" s="1116">
        <f>SUM(D2231:D2236)</f>
        <v>55937984</v>
      </c>
      <c r="E2237" s="1058">
        <f>SUM(E2231:E2236)</f>
        <v>174</v>
      </c>
      <c r="F2237" s="961">
        <f>SUM(F2231:F2236)</f>
        <v>512748539</v>
      </c>
    </row>
    <row r="2238" spans="1:6" s="905" customFormat="1" x14ac:dyDescent="0.3">
      <c r="A2238" s="1052"/>
      <c r="B2238" s="965">
        <v>7</v>
      </c>
      <c r="C2238" s="1113">
        <v>93724909</v>
      </c>
      <c r="D2238" s="1656">
        <v>75845781</v>
      </c>
      <c r="E2238" s="935">
        <v>91</v>
      </c>
      <c r="F2238" s="958">
        <v>95880581</v>
      </c>
    </row>
    <row r="2239" spans="1:6" s="905" customFormat="1" x14ac:dyDescent="0.3">
      <c r="A2239" s="1052"/>
      <c r="B2239" s="965">
        <v>8</v>
      </c>
      <c r="C2239" s="1113">
        <v>123742343</v>
      </c>
      <c r="D2239" s="1656">
        <v>100225686</v>
      </c>
      <c r="E2239" s="935">
        <v>104</v>
      </c>
      <c r="F2239" s="958">
        <v>113048551</v>
      </c>
    </row>
    <row r="2240" spans="1:6" s="905" customFormat="1" x14ac:dyDescent="0.3">
      <c r="A2240" s="1052"/>
      <c r="B2240" s="965">
        <v>9</v>
      </c>
      <c r="C2240" s="1113">
        <v>119191324</v>
      </c>
      <c r="D2240" s="1656">
        <v>55973760</v>
      </c>
      <c r="E2240" s="935">
        <v>57</v>
      </c>
      <c r="F2240" s="958">
        <v>121932724</v>
      </c>
    </row>
    <row r="2241" spans="1:6" s="905" customFormat="1" x14ac:dyDescent="0.3">
      <c r="A2241" s="1052"/>
      <c r="B2241" s="965">
        <v>11</v>
      </c>
      <c r="C2241" s="1113">
        <v>123191024</v>
      </c>
      <c r="D2241" s="1656">
        <v>49934879</v>
      </c>
      <c r="E2241" s="935">
        <v>42</v>
      </c>
      <c r="F2241" s="958">
        <v>126322653</v>
      </c>
    </row>
    <row r="2242" spans="1:6" s="905" customFormat="1" ht="21" thickBot="1" x14ac:dyDescent="0.35">
      <c r="A2242" s="1052"/>
      <c r="B2242" s="965">
        <v>12</v>
      </c>
      <c r="C2242" s="1113">
        <v>204526431</v>
      </c>
      <c r="D2242" s="1656">
        <v>139106496</v>
      </c>
      <c r="E2242" s="935">
        <v>86</v>
      </c>
      <c r="F2242" s="981">
        <v>135978845</v>
      </c>
    </row>
    <row r="2243" spans="1:6" s="905" customFormat="1" ht="21" thickBot="1" x14ac:dyDescent="0.35">
      <c r="A2243" s="1056" t="s">
        <v>188</v>
      </c>
      <c r="B2243" s="1057"/>
      <c r="C2243" s="1116">
        <f>SUM(C2238:C2242)</f>
        <v>664376031</v>
      </c>
      <c r="D2243" s="1116">
        <f>SUM(D2238:D2242)</f>
        <v>421086602</v>
      </c>
      <c r="E2243" s="1058">
        <f>SUM(E2238:E2242)</f>
        <v>380</v>
      </c>
      <c r="F2243" s="961">
        <f>SUM(F2238:F2242)</f>
        <v>593163354</v>
      </c>
    </row>
    <row r="2244" spans="1:6" s="905" customFormat="1" x14ac:dyDescent="0.3">
      <c r="A2244" s="1052"/>
      <c r="B2244" s="965">
        <v>13</v>
      </c>
      <c r="C2244" s="1113">
        <v>162595949</v>
      </c>
      <c r="D2244" s="1656">
        <v>151870502</v>
      </c>
      <c r="E2244" s="935">
        <v>84</v>
      </c>
      <c r="F2244" s="957">
        <v>114754721</v>
      </c>
    </row>
    <row r="2245" spans="1:6" s="905" customFormat="1" x14ac:dyDescent="0.3">
      <c r="A2245" s="1052"/>
      <c r="B2245" s="965">
        <v>14</v>
      </c>
      <c r="C2245" s="1113">
        <v>259642603</v>
      </c>
      <c r="D2245" s="1656">
        <v>233346405</v>
      </c>
      <c r="E2245" s="935">
        <v>77</v>
      </c>
      <c r="F2245" s="958">
        <v>130457485</v>
      </c>
    </row>
    <row r="2246" spans="1:6" s="905" customFormat="1" x14ac:dyDescent="0.3">
      <c r="A2246" s="1052"/>
      <c r="B2246" s="965">
        <v>15</v>
      </c>
      <c r="C2246" s="1113">
        <v>130857769</v>
      </c>
      <c r="D2246" s="1656">
        <v>87713203</v>
      </c>
      <c r="E2246" s="935">
        <v>33</v>
      </c>
      <c r="F2246" s="958">
        <v>134165733</v>
      </c>
    </row>
    <row r="2247" spans="1:6" s="905" customFormat="1" ht="21" thickBot="1" x14ac:dyDescent="0.35">
      <c r="A2247" s="1052"/>
      <c r="B2247" s="965">
        <v>16</v>
      </c>
      <c r="C2247" s="1113">
        <v>16190106</v>
      </c>
      <c r="D2247" s="1656">
        <v>11603007</v>
      </c>
      <c r="E2247" s="935">
        <v>0</v>
      </c>
      <c r="F2247" s="958">
        <v>16190106</v>
      </c>
    </row>
    <row r="2248" spans="1:6" s="905" customFormat="1" ht="21" thickBot="1" x14ac:dyDescent="0.35">
      <c r="A2248" s="1056" t="s">
        <v>189</v>
      </c>
      <c r="B2248" s="1057"/>
      <c r="C2248" s="1116">
        <f>SUM(C2244:C2247)</f>
        <v>569286427</v>
      </c>
      <c r="D2248" s="1116">
        <f>SUM(D2244:D2247)</f>
        <v>484533117</v>
      </c>
      <c r="E2248" s="1058">
        <f>SUM(E2244:E2247)</f>
        <v>194</v>
      </c>
      <c r="F2248" s="961">
        <f>SUM(F2244:F2247)</f>
        <v>395568045</v>
      </c>
    </row>
    <row r="2249" spans="1:6" s="905" customFormat="1" ht="21" thickBot="1" x14ac:dyDescent="0.35">
      <c r="A2249" s="1062" t="s">
        <v>190</v>
      </c>
      <c r="B2249" s="1063"/>
      <c r="C2249" s="1121">
        <f>C2248+C2243+C2237</f>
        <v>1466628686</v>
      </c>
      <c r="D2249" s="1134">
        <f>D2248+D2243+D2237</f>
        <v>961557703</v>
      </c>
      <c r="E2249" s="992">
        <f>E2248+E2243+E2237</f>
        <v>748</v>
      </c>
      <c r="F2249" s="1065">
        <f>SUM(F2248,F2243,F2237)</f>
        <v>1501479938</v>
      </c>
    </row>
    <row r="2250" spans="1:6" s="905" customFormat="1" x14ac:dyDescent="0.3">
      <c r="A2250" s="905" t="s">
        <v>1668</v>
      </c>
      <c r="B2250" s="965"/>
      <c r="C2250" s="958">
        <v>1925856</v>
      </c>
      <c r="D2250" s="1657">
        <v>1283904</v>
      </c>
      <c r="E2250" s="935">
        <v>1</v>
      </c>
      <c r="F2250" s="958">
        <v>1925856</v>
      </c>
    </row>
    <row r="2251" spans="1:6" s="905" customFormat="1" ht="21" thickBot="1" x14ac:dyDescent="0.35">
      <c r="A2251" s="905" t="s">
        <v>1837</v>
      </c>
      <c r="B2251" s="965"/>
      <c r="C2251" s="958">
        <v>9147852</v>
      </c>
      <c r="D2251" s="1657">
        <v>6098568</v>
      </c>
      <c r="E2251" s="935">
        <v>0</v>
      </c>
      <c r="F2251" s="958">
        <v>9147852</v>
      </c>
    </row>
    <row r="2252" spans="1:6" s="905" customFormat="1" ht="21" thickBot="1" x14ac:dyDescent="0.35">
      <c r="A2252" s="1066" t="s">
        <v>117</v>
      </c>
      <c r="B2252" s="1654"/>
      <c r="C2252" s="961">
        <f>SUM(C2250:C2251)</f>
        <v>11073708</v>
      </c>
      <c r="D2252" s="961">
        <f>SUM(D2250:D2251)</f>
        <v>7382472</v>
      </c>
      <c r="E2252" s="1351">
        <f>SUM(E2250:E2251)</f>
        <v>1</v>
      </c>
      <c r="F2252" s="961">
        <f>SUM(F2250:F2251)</f>
        <v>11073708</v>
      </c>
    </row>
    <row r="2253" spans="1:6" s="905" customFormat="1" ht="21" thickBot="1" x14ac:dyDescent="0.35">
      <c r="A2253" s="1140" t="s">
        <v>1833</v>
      </c>
      <c r="B2253" s="1057"/>
      <c r="C2253" s="1658">
        <f>SUM(C2249,C2252)</f>
        <v>1477702394</v>
      </c>
      <c r="D2253" s="1068">
        <f>SUM(D2249,D2252)</f>
        <v>968940175</v>
      </c>
      <c r="E2253" s="939">
        <f>SUM(E2249,E2252)</f>
        <v>749</v>
      </c>
      <c r="F2253" s="961">
        <f>SUM(F2249,F2252)</f>
        <v>1512553646</v>
      </c>
    </row>
    <row r="2254" spans="1:6" s="905" customFormat="1" x14ac:dyDescent="0.3">
      <c r="A2254" s="1203"/>
      <c r="B2254" s="1069"/>
      <c r="C2254" s="1653"/>
      <c r="D2254" s="903"/>
      <c r="E2254" s="984"/>
      <c r="F2254" s="1071"/>
    </row>
    <row r="2255" spans="1:6" s="905" customFormat="1" x14ac:dyDescent="0.3">
      <c r="A2255" s="3543" t="s">
        <v>1465</v>
      </c>
      <c r="B2255" s="3543"/>
      <c r="C2255" s="3543"/>
      <c r="D2255" s="3543"/>
      <c r="E2255" s="3543"/>
      <c r="F2255" s="3543"/>
    </row>
    <row r="2256" spans="1:6" s="905" customFormat="1" ht="21" thickBot="1" x14ac:dyDescent="0.35">
      <c r="A2256" s="3544" t="s">
        <v>2859</v>
      </c>
      <c r="B2256" s="3544"/>
      <c r="C2256" s="3544"/>
      <c r="D2256" s="3544"/>
      <c r="E2256" s="3544"/>
      <c r="F2256" s="3544"/>
    </row>
    <row r="2257" spans="1:6" s="906" customFormat="1" ht="41.25" thickBot="1" x14ac:dyDescent="0.35">
      <c r="A2257" s="1048" t="s">
        <v>185</v>
      </c>
      <c r="B2257" s="1049" t="s">
        <v>186</v>
      </c>
      <c r="C2257" s="922" t="s">
        <v>564</v>
      </c>
      <c r="D2257" s="1048" t="s">
        <v>1482</v>
      </c>
      <c r="E2257" s="922" t="s">
        <v>1129</v>
      </c>
      <c r="F2257" s="923" t="s">
        <v>3096</v>
      </c>
    </row>
    <row r="2258" spans="1:6" s="905" customFormat="1" x14ac:dyDescent="0.3">
      <c r="A2258" s="908"/>
      <c r="B2258" s="965">
        <v>1</v>
      </c>
      <c r="C2258" s="929"/>
      <c r="D2258" s="1655"/>
      <c r="E2258" s="929"/>
      <c r="F2258" s="1659"/>
    </row>
    <row r="2259" spans="1:6" s="905" customFormat="1" x14ac:dyDescent="0.3">
      <c r="A2259" s="1052"/>
      <c r="B2259" s="965">
        <v>2</v>
      </c>
      <c r="C2259" s="935">
        <v>2</v>
      </c>
      <c r="D2259" s="1656">
        <v>2746615.94</v>
      </c>
      <c r="E2259" s="935">
        <v>2</v>
      </c>
      <c r="F2259" s="1660">
        <v>2746615.94</v>
      </c>
    </row>
    <row r="2260" spans="1:6" s="905" customFormat="1" x14ac:dyDescent="0.3">
      <c r="A2260" s="1052"/>
      <c r="B2260" s="965">
        <v>3</v>
      </c>
      <c r="C2260" s="935">
        <v>10</v>
      </c>
      <c r="D2260" s="1656">
        <v>3138129.41</v>
      </c>
      <c r="E2260" s="935">
        <v>10</v>
      </c>
      <c r="F2260" s="1660">
        <v>3138129.41</v>
      </c>
    </row>
    <row r="2261" spans="1:6" s="905" customFormat="1" x14ac:dyDescent="0.3">
      <c r="A2261" s="1052"/>
      <c r="B2261" s="965">
        <v>4</v>
      </c>
      <c r="C2261" s="935"/>
      <c r="D2261" s="1656"/>
      <c r="E2261" s="935"/>
      <c r="F2261" s="1660"/>
    </row>
    <row r="2262" spans="1:6" s="905" customFormat="1" x14ac:dyDescent="0.3">
      <c r="A2262" s="1052"/>
      <c r="B2262" s="965">
        <v>5</v>
      </c>
      <c r="C2262" s="935"/>
      <c r="D2262" s="1656"/>
      <c r="E2262" s="935"/>
      <c r="F2262" s="1660"/>
    </row>
    <row r="2263" spans="1:6" s="905" customFormat="1" ht="21" thickBot="1" x14ac:dyDescent="0.35">
      <c r="A2263" s="1052"/>
      <c r="B2263" s="965">
        <v>6</v>
      </c>
      <c r="C2263" s="935">
        <v>2</v>
      </c>
      <c r="D2263" s="1656">
        <v>931162.5</v>
      </c>
      <c r="E2263" s="935">
        <v>2</v>
      </c>
      <c r="F2263" s="1660">
        <v>931162.5</v>
      </c>
    </row>
    <row r="2264" spans="1:6" s="905" customFormat="1" ht="21" thickBot="1" x14ac:dyDescent="0.35">
      <c r="A2264" s="1056" t="s">
        <v>187</v>
      </c>
      <c r="B2264" s="1057"/>
      <c r="C2264" s="1058">
        <f>SUM(C2258:C2263)</f>
        <v>14</v>
      </c>
      <c r="D2264" s="1116">
        <f>SUM(D2258:D2263)</f>
        <v>6815907.8499999996</v>
      </c>
      <c r="E2264" s="1058">
        <f>SUM(E2258:E2263)</f>
        <v>14</v>
      </c>
      <c r="F2264" s="1116">
        <f>SUM(F2258:F2263)</f>
        <v>6815907.8499999996</v>
      </c>
    </row>
    <row r="2265" spans="1:6" s="905" customFormat="1" x14ac:dyDescent="0.3">
      <c r="A2265" s="1052"/>
      <c r="B2265" s="965">
        <v>7</v>
      </c>
      <c r="C2265" s="935">
        <v>1</v>
      </c>
      <c r="D2265" s="1656">
        <v>530913.75</v>
      </c>
      <c r="E2265" s="935">
        <v>1</v>
      </c>
      <c r="F2265" s="1660">
        <v>530913.75</v>
      </c>
    </row>
    <row r="2266" spans="1:6" s="905" customFormat="1" x14ac:dyDescent="0.3">
      <c r="A2266" s="1052"/>
      <c r="B2266" s="965">
        <v>8</v>
      </c>
      <c r="C2266" s="935">
        <v>1</v>
      </c>
      <c r="D2266" s="1656">
        <v>705716.25</v>
      </c>
      <c r="E2266" s="935">
        <v>1</v>
      </c>
      <c r="F2266" s="1660">
        <v>705716.25</v>
      </c>
    </row>
    <row r="2267" spans="1:6" s="905" customFormat="1" x14ac:dyDescent="0.3">
      <c r="A2267" s="1052"/>
      <c r="B2267" s="965">
        <v>9</v>
      </c>
      <c r="C2267" s="935">
        <v>2</v>
      </c>
      <c r="D2267" s="1656">
        <v>1818195</v>
      </c>
      <c r="E2267" s="935">
        <v>2</v>
      </c>
      <c r="F2267" s="1660">
        <v>1818195</v>
      </c>
    </row>
    <row r="2268" spans="1:6" s="905" customFormat="1" x14ac:dyDescent="0.3">
      <c r="A2268" s="1052"/>
      <c r="B2268" s="965">
        <v>11</v>
      </c>
      <c r="C2268" s="935">
        <v>3</v>
      </c>
      <c r="D2268" s="1656">
        <v>3280317.75</v>
      </c>
      <c r="E2268" s="935">
        <v>3</v>
      </c>
      <c r="F2268" s="1660">
        <v>3280317.75</v>
      </c>
    </row>
    <row r="2269" spans="1:6" s="905" customFormat="1" ht="21" thickBot="1" x14ac:dyDescent="0.35">
      <c r="A2269" s="1052"/>
      <c r="B2269" s="965">
        <v>12</v>
      </c>
      <c r="C2269" s="935"/>
      <c r="D2269" s="1656"/>
      <c r="E2269" s="935"/>
      <c r="F2269" s="1660"/>
    </row>
    <row r="2270" spans="1:6" s="905" customFormat="1" ht="21" thickBot="1" x14ac:dyDescent="0.35">
      <c r="A2270" s="1056" t="s">
        <v>188</v>
      </c>
      <c r="B2270" s="1057"/>
      <c r="C2270" s="1058">
        <f>SUM(C2265:C2269)</f>
        <v>7</v>
      </c>
      <c r="D2270" s="1116">
        <f>SUM(D2265:D2269)</f>
        <v>6335142.75</v>
      </c>
      <c r="E2270" s="1058">
        <f>SUM(E2265:E2269)</f>
        <v>7</v>
      </c>
      <c r="F2270" s="1116">
        <f>SUM(F2265:F2269)</f>
        <v>6335142.75</v>
      </c>
    </row>
    <row r="2271" spans="1:6" s="905" customFormat="1" x14ac:dyDescent="0.3">
      <c r="A2271" s="1052"/>
      <c r="B2271" s="965">
        <v>13</v>
      </c>
      <c r="C2271" s="935">
        <v>1</v>
      </c>
      <c r="D2271" s="1656">
        <v>1596533.6</v>
      </c>
      <c r="E2271" s="935">
        <v>1</v>
      </c>
      <c r="F2271" s="1660">
        <v>1596533.6</v>
      </c>
    </row>
    <row r="2272" spans="1:6" s="905" customFormat="1" x14ac:dyDescent="0.3">
      <c r="A2272" s="1052"/>
      <c r="B2272" s="965">
        <v>14</v>
      </c>
      <c r="C2272" s="935">
        <v>2</v>
      </c>
      <c r="D2272" s="1656">
        <v>4834835.2</v>
      </c>
      <c r="E2272" s="935">
        <v>2</v>
      </c>
      <c r="F2272" s="1660">
        <v>4834835.2</v>
      </c>
    </row>
    <row r="2273" spans="1:6" s="905" customFormat="1" x14ac:dyDescent="0.3">
      <c r="A2273" s="1052"/>
      <c r="B2273" s="965">
        <v>15</v>
      </c>
      <c r="C2273" s="935">
        <v>5</v>
      </c>
      <c r="D2273" s="1656">
        <v>11736631.52</v>
      </c>
      <c r="E2273" s="935">
        <v>5</v>
      </c>
      <c r="F2273" s="1660">
        <v>11636203</v>
      </c>
    </row>
    <row r="2274" spans="1:6" s="905" customFormat="1" ht="21" thickBot="1" x14ac:dyDescent="0.35">
      <c r="A2274" s="1052"/>
      <c r="B2274" s="965">
        <v>16</v>
      </c>
      <c r="C2274" s="935">
        <v>3</v>
      </c>
      <c r="D2274" s="1656">
        <v>7041978.9000000004</v>
      </c>
      <c r="E2274" s="935">
        <v>3</v>
      </c>
      <c r="F2274" s="1660">
        <v>7041978.9000000004</v>
      </c>
    </row>
    <row r="2275" spans="1:6" s="905" customFormat="1" ht="21" thickBot="1" x14ac:dyDescent="0.35">
      <c r="A2275" s="1056" t="s">
        <v>189</v>
      </c>
      <c r="B2275" s="1057"/>
      <c r="C2275" s="1058">
        <f>SUM(C2271:C2274)</f>
        <v>11</v>
      </c>
      <c r="D2275" s="1116">
        <f>SUM(D2271:D2274)</f>
        <v>25209979.219999999</v>
      </c>
      <c r="E2275" s="1058">
        <f>SUM(E2271:E2274)</f>
        <v>11</v>
      </c>
      <c r="F2275" s="1116">
        <f>SUM(F2271:F2274)</f>
        <v>25109550.700000003</v>
      </c>
    </row>
    <row r="2276" spans="1:6" s="905" customFormat="1" ht="21" thickBot="1" x14ac:dyDescent="0.35">
      <c r="A2276" s="1062" t="s">
        <v>190</v>
      </c>
      <c r="B2276" s="1063"/>
      <c r="C2276" s="1064">
        <f>C2275+C2270+C2264</f>
        <v>32</v>
      </c>
      <c r="D2276" s="1134">
        <f>D2275+D2270+D2264</f>
        <v>38361029.82</v>
      </c>
      <c r="E2276" s="1064">
        <f>E2275+E2270+E2264</f>
        <v>32</v>
      </c>
      <c r="F2276" s="1134">
        <f>F2275+F2270+F2264</f>
        <v>38260601.300000004</v>
      </c>
    </row>
    <row r="2277" spans="1:6" s="905" customFormat="1" ht="21" thickBot="1" x14ac:dyDescent="0.35">
      <c r="A2277" s="905" t="s">
        <v>1836</v>
      </c>
      <c r="B2277" s="965"/>
      <c r="C2277" s="1142"/>
      <c r="D2277" s="958">
        <v>5428284.7999999998</v>
      </c>
      <c r="E2277" s="1142"/>
      <c r="F2277" s="958">
        <v>5428284.7999999998</v>
      </c>
    </row>
    <row r="2278" spans="1:6" s="905" customFormat="1" ht="21" thickBot="1" x14ac:dyDescent="0.35">
      <c r="A2278" s="1066" t="s">
        <v>117</v>
      </c>
      <c r="B2278" s="1654"/>
      <c r="C2278" s="1058">
        <f>SUM(C2277:C2277)</f>
        <v>0</v>
      </c>
      <c r="D2278" s="961">
        <f>SUM(D2277:D2277)</f>
        <v>5428284.7999999998</v>
      </c>
      <c r="E2278" s="1058">
        <f>SUM(E2277:E2277)</f>
        <v>0</v>
      </c>
      <c r="F2278" s="961">
        <f>SUM(F2277:F2277)</f>
        <v>5428284.7999999998</v>
      </c>
    </row>
    <row r="2279" spans="1:6" s="905" customFormat="1" ht="21" thickBot="1" x14ac:dyDescent="0.35">
      <c r="A2279" s="1140" t="s">
        <v>2629</v>
      </c>
      <c r="B2279" s="1057"/>
      <c r="C2279" s="1661">
        <f>SUM(C2276,C2278)</f>
        <v>32</v>
      </c>
      <c r="D2279" s="1068">
        <f>SUM(D2276,D2278)</f>
        <v>43789314.619999997</v>
      </c>
      <c r="E2279" s="1661">
        <f>SUM(E2276,E2278)</f>
        <v>32</v>
      </c>
      <c r="F2279" s="1338">
        <f>SUM(F2276,F2278)</f>
        <v>43688886.100000001</v>
      </c>
    </row>
    <row r="2280" spans="1:6" s="1662" customFormat="1" ht="16.5" x14ac:dyDescent="0.25">
      <c r="A2280" s="3563" t="s">
        <v>183</v>
      </c>
      <c r="B2280" s="3563"/>
      <c r="C2280" s="3563"/>
      <c r="D2280" s="3563"/>
      <c r="E2280" s="3563"/>
      <c r="F2280" s="3563"/>
    </row>
    <row r="2281" spans="1:6" s="1662" customFormat="1" ht="17.25" thickBot="1" x14ac:dyDescent="0.3">
      <c r="A2281" s="3564" t="s">
        <v>383</v>
      </c>
      <c r="B2281" s="3564"/>
      <c r="C2281" s="3564"/>
      <c r="D2281" s="3564"/>
      <c r="E2281" s="3564"/>
      <c r="F2281" s="3564"/>
    </row>
    <row r="2282" spans="1:6" s="1100" customFormat="1" ht="32.25" thickBot="1" x14ac:dyDescent="0.25">
      <c r="A2282" s="1663" t="s">
        <v>185</v>
      </c>
      <c r="B2282" s="1664" t="s">
        <v>186</v>
      </c>
      <c r="C2282" s="1665" t="s">
        <v>564</v>
      </c>
      <c r="D2282" s="1666" t="s">
        <v>1128</v>
      </c>
      <c r="E2282" s="1665" t="s">
        <v>1129</v>
      </c>
      <c r="F2282" s="1667" t="s">
        <v>3096</v>
      </c>
    </row>
    <row r="2283" spans="1:6" s="1672" customFormat="1" ht="15.75" x14ac:dyDescent="0.25">
      <c r="A2283" s="1668"/>
      <c r="B2283" s="1669">
        <v>3</v>
      </c>
      <c r="C2283" s="1670">
        <v>4</v>
      </c>
      <c r="D2283" s="1671">
        <v>5768765</v>
      </c>
      <c r="E2283" s="1094">
        <v>3</v>
      </c>
      <c r="F2283" s="1671">
        <v>1708479</v>
      </c>
    </row>
    <row r="2284" spans="1:6" s="1672" customFormat="1" ht="15.75" x14ac:dyDescent="0.25">
      <c r="A2284" s="1673"/>
      <c r="B2284" s="1674">
        <v>4</v>
      </c>
      <c r="C2284" s="1670">
        <v>5</v>
      </c>
      <c r="D2284" s="1671">
        <v>1885375</v>
      </c>
      <c r="E2284" s="1094">
        <v>5</v>
      </c>
      <c r="F2284" s="1671">
        <v>2522572</v>
      </c>
    </row>
    <row r="2285" spans="1:6" s="1672" customFormat="1" ht="15.75" x14ac:dyDescent="0.25">
      <c r="A2285" s="1673"/>
      <c r="B2285" s="1674">
        <v>5</v>
      </c>
      <c r="C2285" s="1670">
        <v>1</v>
      </c>
      <c r="D2285" s="1671">
        <v>8957970</v>
      </c>
      <c r="E2285" s="1094">
        <v>0</v>
      </c>
      <c r="F2285" s="1671">
        <v>7867904</v>
      </c>
    </row>
    <row r="2286" spans="1:6" s="1672" customFormat="1" ht="16.5" thickBot="1" x14ac:dyDescent="0.3">
      <c r="A2286" s="1673"/>
      <c r="B2286" s="1674">
        <v>6</v>
      </c>
      <c r="C2286" s="1670">
        <v>4</v>
      </c>
      <c r="D2286" s="1671">
        <v>14029940</v>
      </c>
      <c r="E2286" s="1094">
        <v>2</v>
      </c>
      <c r="F2286" s="1671">
        <v>13153675</v>
      </c>
    </row>
    <row r="2287" spans="1:6" s="1672" customFormat="1" ht="16.5" thickBot="1" x14ac:dyDescent="0.3">
      <c r="A2287" s="1675" t="s">
        <v>351</v>
      </c>
      <c r="B2287" s="1676"/>
      <c r="C2287" s="1677">
        <f>SUM(C2283:C2286)</f>
        <v>14</v>
      </c>
      <c r="D2287" s="1678">
        <f>SUM(D2283:D2286)</f>
        <v>30642050</v>
      </c>
      <c r="E2287" s="1679">
        <f>SUM(E2283:E2286)</f>
        <v>10</v>
      </c>
      <c r="F2287" s="1678">
        <f>SUM(F2283:F2286)</f>
        <v>25252630</v>
      </c>
    </row>
    <row r="2288" spans="1:6" s="1672" customFormat="1" ht="15.75" x14ac:dyDescent="0.25">
      <c r="A2288" s="1673"/>
      <c r="B2288" s="1674">
        <v>7</v>
      </c>
      <c r="C2288" s="1670">
        <v>11</v>
      </c>
      <c r="D2288" s="1671">
        <v>15095310</v>
      </c>
      <c r="E2288" s="1094">
        <v>12</v>
      </c>
      <c r="F2288" s="1671">
        <v>13873524</v>
      </c>
    </row>
    <row r="2289" spans="1:6" s="1672" customFormat="1" ht="15.75" x14ac:dyDescent="0.25">
      <c r="A2289" s="1673"/>
      <c r="B2289" s="1674">
        <v>8</v>
      </c>
      <c r="C2289" s="1670">
        <v>6</v>
      </c>
      <c r="D2289" s="1671">
        <v>7885495</v>
      </c>
      <c r="E2289" s="1094">
        <v>5</v>
      </c>
      <c r="F2289" s="1671">
        <v>4900170</v>
      </c>
    </row>
    <row r="2290" spans="1:6" s="1672" customFormat="1" ht="15.75" x14ac:dyDescent="0.25">
      <c r="A2290" s="1673"/>
      <c r="B2290" s="1674">
        <v>9</v>
      </c>
      <c r="C2290" s="1670">
        <v>1</v>
      </c>
      <c r="D2290" s="1671">
        <v>2290690</v>
      </c>
      <c r="E2290" s="1094">
        <v>1</v>
      </c>
      <c r="F2290" s="1671">
        <v>922061</v>
      </c>
    </row>
    <row r="2291" spans="1:6" s="1672" customFormat="1" ht="15.75" x14ac:dyDescent="0.25">
      <c r="A2291" s="1673"/>
      <c r="B2291" s="1674">
        <v>10</v>
      </c>
      <c r="C2291" s="1670">
        <v>5</v>
      </c>
      <c r="D2291" s="1671">
        <v>10279600</v>
      </c>
      <c r="E2291" s="1094">
        <v>8</v>
      </c>
      <c r="F2291" s="1671">
        <v>13636568</v>
      </c>
    </row>
    <row r="2292" spans="1:6" s="1672" customFormat="1" ht="15.75" x14ac:dyDescent="0.25">
      <c r="A2292" s="1673"/>
      <c r="B2292" s="1674">
        <v>11</v>
      </c>
      <c r="C2292" s="1670">
        <v>2</v>
      </c>
      <c r="D2292" s="1671">
        <v>6065875</v>
      </c>
      <c r="E2292" s="1094">
        <v>0</v>
      </c>
      <c r="F2292" s="1671">
        <v>6065875</v>
      </c>
    </row>
    <row r="2293" spans="1:6" s="1672" customFormat="1" ht="16.5" thickBot="1" x14ac:dyDescent="0.3">
      <c r="A2293" s="1673"/>
      <c r="B2293" s="1674">
        <v>12</v>
      </c>
      <c r="C2293" s="1670">
        <v>6</v>
      </c>
      <c r="D2293" s="1671">
        <v>17342165</v>
      </c>
      <c r="E2293" s="1094">
        <v>8</v>
      </c>
      <c r="F2293" s="1671">
        <v>19805659</v>
      </c>
    </row>
    <row r="2294" spans="1:6" s="1672" customFormat="1" ht="16.5" thickBot="1" x14ac:dyDescent="0.3">
      <c r="A2294" s="1675" t="s">
        <v>352</v>
      </c>
      <c r="B2294" s="1676"/>
      <c r="C2294" s="1677">
        <f>SUM(C2288:C2293)</f>
        <v>31</v>
      </c>
      <c r="D2294" s="1678">
        <f>SUM(D2288:D2293)</f>
        <v>58959135</v>
      </c>
      <c r="E2294" s="1677">
        <f t="shared" ref="E2294" si="57">SUM(E2288:E2293)</f>
        <v>34</v>
      </c>
      <c r="F2294" s="1678">
        <f>SUM(F2288:F2293)</f>
        <v>59203857</v>
      </c>
    </row>
    <row r="2295" spans="1:6" s="1672" customFormat="1" ht="15.75" x14ac:dyDescent="0.25">
      <c r="A2295" s="1673"/>
      <c r="B2295" s="1674">
        <v>13</v>
      </c>
      <c r="C2295" s="1670">
        <v>4</v>
      </c>
      <c r="D2295" s="1671">
        <v>8244530</v>
      </c>
      <c r="E2295" s="1094">
        <v>4</v>
      </c>
      <c r="F2295" s="1671">
        <v>8315291</v>
      </c>
    </row>
    <row r="2296" spans="1:6" s="1672" customFormat="1" ht="15.75" x14ac:dyDescent="0.25">
      <c r="A2296" s="1673"/>
      <c r="B2296" s="1674">
        <v>14</v>
      </c>
      <c r="C2296" s="1670">
        <v>10</v>
      </c>
      <c r="D2296" s="1671">
        <v>30880335</v>
      </c>
      <c r="E2296" s="1094">
        <v>8</v>
      </c>
      <c r="F2296" s="1671">
        <v>20778451</v>
      </c>
    </row>
    <row r="2297" spans="1:6" s="1672" customFormat="1" ht="15.75" x14ac:dyDescent="0.25">
      <c r="A2297" s="1673"/>
      <c r="B2297" s="1674">
        <v>15</v>
      </c>
      <c r="C2297" s="1670">
        <v>2</v>
      </c>
      <c r="D2297" s="1671">
        <v>3755725</v>
      </c>
      <c r="E2297" s="1094">
        <v>1</v>
      </c>
      <c r="F2297" s="1671">
        <v>3996115</v>
      </c>
    </row>
    <row r="2298" spans="1:6" s="1672" customFormat="1" ht="15.75" x14ac:dyDescent="0.25">
      <c r="A2298" s="1673"/>
      <c r="B2298" s="1674">
        <v>16</v>
      </c>
      <c r="C2298" s="1670">
        <v>1</v>
      </c>
      <c r="D2298" s="1671">
        <v>2345835</v>
      </c>
      <c r="E2298" s="1094">
        <v>2</v>
      </c>
      <c r="F2298" s="1671">
        <v>4828433</v>
      </c>
    </row>
    <row r="2299" spans="1:6" s="1672" customFormat="1" ht="16.5" thickBot="1" x14ac:dyDescent="0.3">
      <c r="A2299" s="1673"/>
      <c r="B2299" s="1674">
        <v>17</v>
      </c>
      <c r="C2299" s="1670" t="s">
        <v>179</v>
      </c>
      <c r="D2299" s="1671" t="s">
        <v>765</v>
      </c>
      <c r="E2299" s="1094">
        <v>0</v>
      </c>
      <c r="F2299" s="1671">
        <v>0</v>
      </c>
    </row>
    <row r="2300" spans="1:6" s="1672" customFormat="1" ht="16.5" thickBot="1" x14ac:dyDescent="0.3">
      <c r="A2300" s="1675" t="s">
        <v>353</v>
      </c>
      <c r="B2300" s="1676"/>
      <c r="C2300" s="1677">
        <f>SUM(C2295:C2299)</f>
        <v>17</v>
      </c>
      <c r="D2300" s="1678">
        <f>SUM(D2295:D2299)</f>
        <v>45226425</v>
      </c>
      <c r="E2300" s="1677">
        <f t="shared" ref="E2300" si="58">SUM(E2295:E2299)</f>
        <v>15</v>
      </c>
      <c r="F2300" s="1678">
        <f>SUM(F2295:F2299)</f>
        <v>37918290</v>
      </c>
    </row>
    <row r="2301" spans="1:6" s="1672" customFormat="1" ht="16.5" thickBot="1" x14ac:dyDescent="0.3">
      <c r="A2301" s="1680" t="s">
        <v>354</v>
      </c>
      <c r="B2301" s="1681"/>
      <c r="C2301" s="1682">
        <f>SUM(C2300,C2294,C2287)</f>
        <v>62</v>
      </c>
      <c r="D2301" s="1683">
        <f>SUM(D2300,D2294,D2287)</f>
        <v>134827610</v>
      </c>
      <c r="E2301" s="1682">
        <f t="shared" ref="E2301" si="59">SUM(E2300,E2294,E2287)</f>
        <v>59</v>
      </c>
      <c r="F2301" s="1684">
        <f>SUM(F2300,F2294,F2287)</f>
        <v>122374777</v>
      </c>
    </row>
    <row r="2302" spans="1:6" s="1672" customFormat="1" ht="15.75" x14ac:dyDescent="0.25">
      <c r="A2302" s="1685" t="s">
        <v>735</v>
      </c>
      <c r="B2302" s="1674"/>
      <c r="C2302" s="1686"/>
      <c r="D2302" s="1687"/>
      <c r="E2302" s="1688"/>
      <c r="F2302" s="1689"/>
    </row>
    <row r="2303" spans="1:6" s="1672" customFormat="1" ht="15.75" x14ac:dyDescent="0.25">
      <c r="A2303" s="1685" t="s">
        <v>384</v>
      </c>
      <c r="B2303" s="1674"/>
      <c r="C2303" s="1690"/>
      <c r="D2303" s="1691">
        <v>6408079390</v>
      </c>
      <c r="E2303" s="1692" t="s">
        <v>179</v>
      </c>
      <c r="F2303" s="1693"/>
    </row>
    <row r="2304" spans="1:6" s="1672" customFormat="1" ht="15.75" x14ac:dyDescent="0.25">
      <c r="A2304" s="1685" t="s">
        <v>330</v>
      </c>
      <c r="B2304" s="1694"/>
      <c r="C2304" s="1690"/>
      <c r="D2304" s="1691">
        <v>397484275</v>
      </c>
      <c r="E2304" s="1695" t="s">
        <v>179</v>
      </c>
      <c r="F2304" s="1693"/>
    </row>
    <row r="2305" spans="1:6" s="1672" customFormat="1" ht="15.75" x14ac:dyDescent="0.25">
      <c r="A2305" s="1685" t="s">
        <v>785</v>
      </c>
      <c r="B2305" s="1694"/>
      <c r="C2305" s="1690"/>
      <c r="D2305" s="1691">
        <v>254803430</v>
      </c>
      <c r="E2305" s="1695" t="s">
        <v>179</v>
      </c>
      <c r="F2305" s="1693"/>
    </row>
    <row r="2306" spans="1:6" s="1672" customFormat="1" ht="15.75" x14ac:dyDescent="0.25">
      <c r="A2306" s="1685" t="s">
        <v>385</v>
      </c>
      <c r="B2306" s="1694"/>
      <c r="C2306" s="1690"/>
      <c r="D2306" s="1691">
        <v>447837920</v>
      </c>
      <c r="E2306" s="1695" t="s">
        <v>179</v>
      </c>
      <c r="F2306" s="1693"/>
    </row>
    <row r="2307" spans="1:6" s="1672" customFormat="1" ht="15.75" x14ac:dyDescent="0.25">
      <c r="A2307" s="1685" t="s">
        <v>2702</v>
      </c>
      <c r="B2307" s="1694"/>
      <c r="C2307" s="1690"/>
      <c r="D2307" s="1691">
        <v>23731070</v>
      </c>
      <c r="E2307" s="1695" t="s">
        <v>179</v>
      </c>
      <c r="F2307" s="1693"/>
    </row>
    <row r="2308" spans="1:6" s="1672" customFormat="1" ht="15.75" x14ac:dyDescent="0.25">
      <c r="A2308" s="1685" t="s">
        <v>2703</v>
      </c>
      <c r="B2308" s="1694"/>
      <c r="C2308" s="1690"/>
      <c r="D2308" s="1691">
        <v>52749450</v>
      </c>
      <c r="E2308" s="1695" t="s">
        <v>179</v>
      </c>
      <c r="F2308" s="1693"/>
    </row>
    <row r="2309" spans="1:6" s="1672" customFormat="1" ht="15.75" x14ac:dyDescent="0.25">
      <c r="A2309" s="1685" t="s">
        <v>1942</v>
      </c>
      <c r="B2309" s="1694"/>
      <c r="C2309" s="1696">
        <v>300</v>
      </c>
      <c r="D2309" s="1691">
        <v>48720000</v>
      </c>
      <c r="E2309" s="1692" t="s">
        <v>179</v>
      </c>
      <c r="F2309" s="1693"/>
    </row>
    <row r="2310" spans="1:6" s="1672" customFormat="1" ht="16.5" thickBot="1" x14ac:dyDescent="0.3">
      <c r="A2310" s="1685" t="s">
        <v>1295</v>
      </c>
      <c r="B2310" s="1694"/>
      <c r="C2310" s="1697"/>
      <c r="D2310" s="1698">
        <v>0</v>
      </c>
      <c r="E2310" s="1699"/>
      <c r="F2310" s="1693"/>
    </row>
    <row r="2311" spans="1:6" s="1672" customFormat="1" ht="16.5" thickBot="1" x14ac:dyDescent="0.3">
      <c r="A2311" s="1700" t="s">
        <v>2</v>
      </c>
      <c r="B2311" s="1701"/>
      <c r="C2311" s="1702">
        <f>SUM(C2301:C2309)</f>
        <v>362</v>
      </c>
      <c r="D2311" s="1684">
        <f>SUM(D2301:D2310)</f>
        <v>7768233145</v>
      </c>
      <c r="E2311" s="1702">
        <f>SUM(E2301:E2309)</f>
        <v>59</v>
      </c>
      <c r="F2311" s="1703">
        <f>SUM(F2301:F2310)</f>
        <v>122374777</v>
      </c>
    </row>
    <row r="2312" spans="1:6" s="1672" customFormat="1" ht="15.75" x14ac:dyDescent="0.25">
      <c r="A2312" s="1685" t="s">
        <v>528</v>
      </c>
      <c r="B2312" s="1674"/>
      <c r="C2312" s="1670"/>
      <c r="D2312" s="1671">
        <v>1337225</v>
      </c>
      <c r="E2312" s="1094">
        <v>1</v>
      </c>
      <c r="F2312" s="1671">
        <v>1337225</v>
      </c>
    </row>
    <row r="2313" spans="1:6" s="1672" customFormat="1" ht="15.75" x14ac:dyDescent="0.25">
      <c r="A2313" s="1685" t="s">
        <v>529</v>
      </c>
      <c r="B2313" s="1674"/>
      <c r="C2313" s="1670"/>
      <c r="D2313" s="1671">
        <v>4479705</v>
      </c>
      <c r="E2313" s="1094"/>
      <c r="F2313" s="1671">
        <v>4479705</v>
      </c>
    </row>
    <row r="2314" spans="1:6" s="1672" customFormat="1" ht="15.75" x14ac:dyDescent="0.25">
      <c r="A2314" s="1685" t="s">
        <v>216</v>
      </c>
      <c r="B2314" s="1674"/>
      <c r="C2314" s="1670"/>
      <c r="D2314" s="1671">
        <v>1247870</v>
      </c>
      <c r="E2314" s="1094">
        <v>1</v>
      </c>
      <c r="F2314" s="1671">
        <v>1247870</v>
      </c>
    </row>
    <row r="2315" spans="1:6" s="1672" customFormat="1" ht="16.5" thickBot="1" x14ac:dyDescent="0.3">
      <c r="A2315" s="1685" t="s">
        <v>530</v>
      </c>
      <c r="B2315" s="1674"/>
      <c r="C2315" s="1704"/>
      <c r="D2315" s="1705">
        <v>4180365</v>
      </c>
      <c r="E2315" s="1094"/>
      <c r="F2315" s="1705">
        <v>4180365</v>
      </c>
    </row>
    <row r="2316" spans="1:6" s="1672" customFormat="1" ht="16.5" thickBot="1" x14ac:dyDescent="0.3">
      <c r="A2316" s="1700" t="s">
        <v>737</v>
      </c>
      <c r="B2316" s="1676"/>
      <c r="C2316" s="1677">
        <f>SUM(C2312:C2315)</f>
        <v>0</v>
      </c>
      <c r="D2316" s="1678">
        <f>SUM(D2312:D2315)</f>
        <v>11245165</v>
      </c>
      <c r="E2316" s="1677">
        <f t="shared" ref="E2316" si="60">SUM(E2312:E2315)</f>
        <v>2</v>
      </c>
      <c r="F2316" s="1678">
        <f>SUM(F2312:F2315)</f>
        <v>11245165</v>
      </c>
    </row>
    <row r="2317" spans="1:6" s="1662" customFormat="1" ht="17.25" thickBot="1" x14ac:dyDescent="0.3">
      <c r="A2317" s="1706" t="s">
        <v>1365</v>
      </c>
      <c r="B2317" s="1707"/>
      <c r="C2317" s="1708">
        <f>SUM(C2311,C2316)</f>
        <v>362</v>
      </c>
      <c r="D2317" s="1709">
        <f>SUM(D2311,D2316)</f>
        <v>7779478310</v>
      </c>
      <c r="E2317" s="1708">
        <f t="shared" ref="E2317" si="61">SUM(E2311,E2316)</f>
        <v>61</v>
      </c>
      <c r="F2317" s="1710">
        <f>SUM(F2311,F2316)</f>
        <v>133619942</v>
      </c>
    </row>
    <row r="2318" spans="1:6" s="1711" customFormat="1" ht="16.5" x14ac:dyDescent="0.2">
      <c r="A2318" s="3548"/>
      <c r="B2318" s="3548"/>
      <c r="C2318" s="3548"/>
      <c r="D2318" s="3548"/>
      <c r="E2318" s="3548"/>
      <c r="F2318" s="3548"/>
    </row>
    <row r="2319" spans="1:6" s="905" customFormat="1" x14ac:dyDescent="0.3">
      <c r="A2319" s="3543" t="s">
        <v>183</v>
      </c>
      <c r="B2319" s="3543"/>
      <c r="C2319" s="3543"/>
      <c r="D2319" s="3543"/>
      <c r="E2319" s="3543"/>
      <c r="F2319" s="3543"/>
    </row>
    <row r="2320" spans="1:6" s="905" customFormat="1" ht="21" thickBot="1" x14ac:dyDescent="0.35">
      <c r="A2320" s="3544" t="s">
        <v>2894</v>
      </c>
      <c r="B2320" s="3544"/>
      <c r="C2320" s="3544"/>
      <c r="D2320" s="3544"/>
      <c r="E2320" s="3544"/>
      <c r="F2320" s="3544"/>
    </row>
    <row r="2321" spans="1:6" s="906" customFormat="1" ht="41.25" thickBot="1" x14ac:dyDescent="0.35">
      <c r="A2321" s="1712" t="s">
        <v>185</v>
      </c>
      <c r="B2321" s="1713" t="s">
        <v>186</v>
      </c>
      <c r="C2321" s="1712" t="s">
        <v>1482</v>
      </c>
      <c r="D2321" s="1714" t="s">
        <v>1667</v>
      </c>
      <c r="E2321" s="1715" t="s">
        <v>1129</v>
      </c>
      <c r="F2321" s="1716" t="s">
        <v>2883</v>
      </c>
    </row>
    <row r="2322" spans="1:6" s="905" customFormat="1" x14ac:dyDescent="0.3">
      <c r="A2322" s="908"/>
      <c r="B2322" s="965">
        <v>1</v>
      </c>
      <c r="C2322" s="908">
        <v>0</v>
      </c>
      <c r="D2322" s="1389"/>
      <c r="E2322" s="929">
        <v>0</v>
      </c>
      <c r="F2322" s="1360">
        <v>0</v>
      </c>
    </row>
    <row r="2323" spans="1:6" s="905" customFormat="1" x14ac:dyDescent="0.3">
      <c r="A2323" s="1052"/>
      <c r="B2323" s="965">
        <v>2</v>
      </c>
      <c r="C2323" s="1139">
        <v>0</v>
      </c>
      <c r="D2323" s="967"/>
      <c r="E2323" s="935">
        <v>0</v>
      </c>
      <c r="F2323" s="1360">
        <v>0</v>
      </c>
    </row>
    <row r="2324" spans="1:6" s="905" customFormat="1" x14ac:dyDescent="0.3">
      <c r="A2324" s="1052"/>
      <c r="B2324" s="965">
        <v>3</v>
      </c>
      <c r="C2324" s="1139"/>
      <c r="D2324" s="967"/>
      <c r="E2324" s="935">
        <v>5</v>
      </c>
      <c r="F2324" s="1360">
        <v>1368297</v>
      </c>
    </row>
    <row r="2325" spans="1:6" s="905" customFormat="1" x14ac:dyDescent="0.3">
      <c r="A2325" s="1052"/>
      <c r="B2325" s="965">
        <v>4</v>
      </c>
      <c r="C2325" s="1139"/>
      <c r="D2325" s="967"/>
      <c r="E2325" s="935">
        <v>6</v>
      </c>
      <c r="F2325" s="1360">
        <v>504451</v>
      </c>
    </row>
    <row r="2326" spans="1:6" s="905" customFormat="1" x14ac:dyDescent="0.3">
      <c r="A2326" s="1052"/>
      <c r="B2326" s="965">
        <v>5</v>
      </c>
      <c r="C2326" s="1139">
        <v>0</v>
      </c>
      <c r="D2326" s="967"/>
      <c r="E2326" s="935">
        <v>0</v>
      </c>
      <c r="F2326" s="1360">
        <v>0</v>
      </c>
    </row>
    <row r="2327" spans="1:6" s="905" customFormat="1" ht="21" thickBot="1" x14ac:dyDescent="0.35">
      <c r="A2327" s="1052"/>
      <c r="B2327" s="965">
        <v>6</v>
      </c>
      <c r="C2327" s="1139">
        <v>0</v>
      </c>
      <c r="D2327" s="967"/>
      <c r="E2327" s="935">
        <v>0</v>
      </c>
      <c r="F2327" s="1360"/>
    </row>
    <row r="2328" spans="1:6" s="905" customFormat="1" ht="21" thickBot="1" x14ac:dyDescent="0.35">
      <c r="A2328" s="1056" t="s">
        <v>187</v>
      </c>
      <c r="B2328" s="1057"/>
      <c r="C2328" s="1717"/>
      <c r="D2328" s="1717">
        <f t="shared" ref="D2328:E2328" si="62">SUM(D2322:D2327)</f>
        <v>0</v>
      </c>
      <c r="E2328" s="1718">
        <f t="shared" si="62"/>
        <v>11</v>
      </c>
      <c r="F2328" s="684">
        <f>SUM(F2322:F2327)</f>
        <v>1872748</v>
      </c>
    </row>
    <row r="2329" spans="1:6" s="905" customFormat="1" x14ac:dyDescent="0.3">
      <c r="A2329" s="1052"/>
      <c r="B2329" s="965">
        <v>7</v>
      </c>
      <c r="C2329" s="1139">
        <v>887249</v>
      </c>
      <c r="D2329" s="967"/>
      <c r="E2329" s="935">
        <v>1</v>
      </c>
      <c r="F2329" s="1360">
        <v>887249</v>
      </c>
    </row>
    <row r="2330" spans="1:6" s="905" customFormat="1" x14ac:dyDescent="0.3">
      <c r="A2330" s="1052"/>
      <c r="B2330" s="965">
        <v>8</v>
      </c>
      <c r="C2330" s="1139"/>
      <c r="D2330" s="967"/>
      <c r="E2330" s="935">
        <v>2</v>
      </c>
      <c r="F2330" s="1360">
        <v>1275006</v>
      </c>
    </row>
    <row r="2331" spans="1:6" s="905" customFormat="1" x14ac:dyDescent="0.3">
      <c r="A2331" s="1052"/>
      <c r="B2331" s="965">
        <v>9</v>
      </c>
      <c r="C2331" s="1139">
        <v>844957</v>
      </c>
      <c r="D2331" s="967"/>
      <c r="E2331" s="935">
        <v>1</v>
      </c>
      <c r="F2331" s="1360">
        <v>890115</v>
      </c>
    </row>
    <row r="2332" spans="1:6" s="905" customFormat="1" x14ac:dyDescent="0.3">
      <c r="A2332" s="1052"/>
      <c r="B2332" s="965">
        <v>10</v>
      </c>
      <c r="C2332" s="1139">
        <v>1064167</v>
      </c>
      <c r="D2332" s="967"/>
      <c r="E2332" s="935">
        <v>2</v>
      </c>
      <c r="F2332" s="1360">
        <v>2293269</v>
      </c>
    </row>
    <row r="2333" spans="1:6" s="905" customFormat="1" ht="21" thickBot="1" x14ac:dyDescent="0.35">
      <c r="A2333" s="1052"/>
      <c r="B2333" s="965">
        <v>12</v>
      </c>
      <c r="C2333" s="1139"/>
      <c r="D2333" s="967"/>
      <c r="E2333" s="935">
        <v>2</v>
      </c>
      <c r="F2333" s="1719">
        <v>2014121</v>
      </c>
    </row>
    <row r="2334" spans="1:6" s="905" customFormat="1" ht="21" thickBot="1" x14ac:dyDescent="0.35">
      <c r="A2334" s="1056" t="s">
        <v>188</v>
      </c>
      <c r="B2334" s="1057"/>
      <c r="C2334" s="1717">
        <f>SUM(C2329:C2333)</f>
        <v>2796373</v>
      </c>
      <c r="D2334" s="1717">
        <f t="shared" ref="D2334:E2334" si="63">SUM(D2329:D2333)</f>
        <v>0</v>
      </c>
      <c r="E2334" s="1718">
        <f t="shared" si="63"/>
        <v>8</v>
      </c>
      <c r="F2334" s="684">
        <f>SUM(F2329:F2333)</f>
        <v>7359760</v>
      </c>
    </row>
    <row r="2335" spans="1:6" s="905" customFormat="1" x14ac:dyDescent="0.3">
      <c r="A2335" s="1052"/>
      <c r="B2335" s="965">
        <v>13</v>
      </c>
      <c r="C2335" s="1139">
        <v>2517159</v>
      </c>
      <c r="D2335" s="967"/>
      <c r="E2335" s="935">
        <v>3</v>
      </c>
      <c r="F2335" s="1720">
        <v>3659398</v>
      </c>
    </row>
    <row r="2336" spans="1:6" s="905" customFormat="1" x14ac:dyDescent="0.3">
      <c r="A2336" s="1052"/>
      <c r="B2336" s="965">
        <v>14</v>
      </c>
      <c r="C2336" s="1139">
        <v>1381808</v>
      </c>
      <c r="D2336" s="967"/>
      <c r="E2336" s="935">
        <v>2</v>
      </c>
      <c r="F2336" s="1360">
        <v>3056642</v>
      </c>
    </row>
    <row r="2337" spans="1:6" s="905" customFormat="1" x14ac:dyDescent="0.3">
      <c r="A2337" s="1052"/>
      <c r="B2337" s="965">
        <v>15</v>
      </c>
      <c r="C2337" s="1139"/>
      <c r="D2337" s="967"/>
      <c r="E2337" s="935">
        <v>4</v>
      </c>
      <c r="F2337" s="1360">
        <v>2378214</v>
      </c>
    </row>
    <row r="2338" spans="1:6" s="905" customFormat="1" ht="21" thickBot="1" x14ac:dyDescent="0.35">
      <c r="A2338" s="1052"/>
      <c r="B2338" s="965">
        <v>16</v>
      </c>
      <c r="C2338" s="1139">
        <v>17035730</v>
      </c>
      <c r="D2338" s="967"/>
      <c r="E2338" s="935">
        <v>5</v>
      </c>
      <c r="F2338" s="1360">
        <v>10296652</v>
      </c>
    </row>
    <row r="2339" spans="1:6" s="905" customFormat="1" ht="21" thickBot="1" x14ac:dyDescent="0.35">
      <c r="A2339" s="1056" t="s">
        <v>189</v>
      </c>
      <c r="B2339" s="1057"/>
      <c r="C2339" s="1717">
        <f>SUM(C2335:C2338)</f>
        <v>20934697</v>
      </c>
      <c r="D2339" s="1717">
        <f t="shared" ref="D2339:E2339" si="64">SUM(D2335:D2338)</f>
        <v>0</v>
      </c>
      <c r="E2339" s="1718">
        <f t="shared" si="64"/>
        <v>14</v>
      </c>
      <c r="F2339" s="684">
        <f>SUM(F2335:F2338)</f>
        <v>19390906</v>
      </c>
    </row>
    <row r="2340" spans="1:6" s="905" customFormat="1" ht="21" thickBot="1" x14ac:dyDescent="0.35">
      <c r="A2340" s="1062" t="s">
        <v>190</v>
      </c>
      <c r="B2340" s="1063"/>
      <c r="C2340" s="1134">
        <f>C2339+C2334+C2328</f>
        <v>23731070</v>
      </c>
      <c r="D2340" s="1134">
        <f t="shared" ref="D2340" si="65">D2339+D2334+D2328</f>
        <v>0</v>
      </c>
      <c r="E2340" s="1064">
        <f>E2339+E2334+E2328</f>
        <v>33</v>
      </c>
      <c r="F2340" s="1721">
        <f>SUM(F2339,F2334,F2328)</f>
        <v>28623414</v>
      </c>
    </row>
    <row r="2341" spans="1:6" s="905" customFormat="1" x14ac:dyDescent="0.3">
      <c r="A2341" s="905" t="s">
        <v>1569</v>
      </c>
      <c r="B2341" s="965"/>
      <c r="C2341" s="1360">
        <v>0</v>
      </c>
      <c r="D2341" s="967"/>
      <c r="E2341" s="935">
        <v>1</v>
      </c>
      <c r="F2341" s="1360">
        <v>1247870</v>
      </c>
    </row>
    <row r="2342" spans="1:6" s="905" customFormat="1" ht="21" thickBot="1" x14ac:dyDescent="0.35">
      <c r="A2342" s="905" t="s">
        <v>1570</v>
      </c>
      <c r="B2342" s="965"/>
      <c r="C2342" s="1360">
        <v>0</v>
      </c>
      <c r="D2342" s="967"/>
      <c r="E2342" s="935">
        <v>0</v>
      </c>
      <c r="F2342" s="1360">
        <v>4180365</v>
      </c>
    </row>
    <row r="2343" spans="1:6" s="906" customFormat="1" ht="21" thickBot="1" x14ac:dyDescent="0.35">
      <c r="A2343" s="1066" t="s">
        <v>117</v>
      </c>
      <c r="B2343" s="1057"/>
      <c r="C2343" s="684">
        <f>SUM(C2341:C2342)</f>
        <v>0</v>
      </c>
      <c r="D2343" s="684">
        <f>SUM(D2341:D2342)</f>
        <v>0</v>
      </c>
      <c r="E2343" s="1718">
        <f t="shared" ref="E2343" si="66">SUM(E2341:E2342)</f>
        <v>1</v>
      </c>
      <c r="F2343" s="684">
        <f>SUM(F2341:F2342)</f>
        <v>5428235</v>
      </c>
    </row>
    <row r="2344" spans="1:6" s="905" customFormat="1" ht="21" thickBot="1" x14ac:dyDescent="0.35">
      <c r="A2344" s="1140" t="s">
        <v>2895</v>
      </c>
      <c r="B2344" s="1057"/>
      <c r="C2344" s="1722">
        <v>23731070</v>
      </c>
      <c r="D2344" s="1068">
        <v>17946707</v>
      </c>
      <c r="E2344" s="943">
        <f t="shared" ref="E2344" si="67">SUM(E2340,E2343)</f>
        <v>34</v>
      </c>
      <c r="F2344" s="684">
        <f>SUM(F2340,F2343)</f>
        <v>34051649</v>
      </c>
    </row>
    <row r="2345" spans="1:6" s="905" customFormat="1" x14ac:dyDescent="0.3">
      <c r="E2345" s="907"/>
    </row>
    <row r="2346" spans="1:6" s="905" customFormat="1" x14ac:dyDescent="0.3">
      <c r="A2346" s="3543" t="s">
        <v>183</v>
      </c>
      <c r="B2346" s="3543"/>
      <c r="C2346" s="3543"/>
      <c r="D2346" s="3543"/>
      <c r="E2346" s="3543"/>
      <c r="F2346" s="3543"/>
    </row>
    <row r="2347" spans="1:6" s="905" customFormat="1" ht="21" thickBot="1" x14ac:dyDescent="0.35">
      <c r="A2347" s="3544" t="s">
        <v>2902</v>
      </c>
      <c r="B2347" s="3544"/>
      <c r="C2347" s="3544"/>
      <c r="D2347" s="3544"/>
      <c r="E2347" s="3544"/>
      <c r="F2347" s="3544"/>
    </row>
    <row r="2348" spans="1:6" s="906" customFormat="1" ht="41.25" thickBot="1" x14ac:dyDescent="0.35">
      <c r="A2348" s="1712" t="s">
        <v>185</v>
      </c>
      <c r="B2348" s="1723" t="s">
        <v>186</v>
      </c>
      <c r="C2348" s="1724" t="s">
        <v>1482</v>
      </c>
      <c r="D2348" s="1714" t="s">
        <v>1558</v>
      </c>
      <c r="E2348" s="1715" t="s">
        <v>1129</v>
      </c>
      <c r="F2348" s="1725" t="s">
        <v>2883</v>
      </c>
    </row>
    <row r="2349" spans="1:6" s="905" customFormat="1" x14ac:dyDescent="0.3">
      <c r="A2349" s="1152"/>
      <c r="B2349" s="1726">
        <v>1</v>
      </c>
      <c r="C2349" s="681">
        <v>402576</v>
      </c>
      <c r="D2349" s="1727"/>
      <c r="E2349" s="1728">
        <v>0</v>
      </c>
      <c r="F2349" s="908">
        <v>0</v>
      </c>
    </row>
    <row r="2350" spans="1:6" s="905" customFormat="1" x14ac:dyDescent="0.3">
      <c r="A2350" s="1154"/>
      <c r="B2350" s="1729">
        <v>2</v>
      </c>
      <c r="C2350" s="682">
        <v>3292142</v>
      </c>
      <c r="D2350" s="980"/>
      <c r="E2350" s="956">
        <v>8</v>
      </c>
      <c r="F2350" s="1360">
        <v>4922436</v>
      </c>
    </row>
    <row r="2351" spans="1:6" s="905" customFormat="1" x14ac:dyDescent="0.3">
      <c r="A2351" s="1154"/>
      <c r="B2351" s="1729">
        <v>3</v>
      </c>
      <c r="C2351" s="909">
        <v>14132976</v>
      </c>
      <c r="D2351" s="980"/>
      <c r="E2351" s="956">
        <v>25</v>
      </c>
      <c r="F2351" s="1360">
        <v>15042444</v>
      </c>
    </row>
    <row r="2352" spans="1:6" s="905" customFormat="1" x14ac:dyDescent="0.3">
      <c r="A2352" s="1154"/>
      <c r="B2352" s="1729">
        <v>4</v>
      </c>
      <c r="C2352" s="909">
        <v>6137019</v>
      </c>
      <c r="D2352" s="980"/>
      <c r="E2352" s="956">
        <v>8</v>
      </c>
      <c r="F2352" s="1360">
        <v>5159796</v>
      </c>
    </row>
    <row r="2353" spans="1:7" s="905" customFormat="1" x14ac:dyDescent="0.3">
      <c r="A2353" s="1154"/>
      <c r="B2353" s="1729">
        <v>5</v>
      </c>
      <c r="C2353" s="909">
        <v>21560636</v>
      </c>
      <c r="D2353" s="980"/>
      <c r="E2353" s="956">
        <v>2</v>
      </c>
      <c r="F2353" s="1360">
        <v>8483280</v>
      </c>
    </row>
    <row r="2354" spans="1:7" s="905" customFormat="1" ht="21" thickBot="1" x14ac:dyDescent="0.35">
      <c r="A2354" s="1154"/>
      <c r="B2354" s="1730">
        <v>6</v>
      </c>
      <c r="C2354" s="910">
        <v>9979580</v>
      </c>
      <c r="D2354" s="980"/>
      <c r="E2354" s="956">
        <v>12</v>
      </c>
      <c r="F2354" s="1719">
        <v>30003228</v>
      </c>
    </row>
    <row r="2355" spans="1:7" s="905" customFormat="1" ht="21" thickBot="1" x14ac:dyDescent="0.35">
      <c r="A2355" s="1056" t="s">
        <v>187</v>
      </c>
      <c r="B2355" s="1069"/>
      <c r="C2355" s="1731">
        <f>SUM(C2349:C2354)</f>
        <v>55504929</v>
      </c>
      <c r="D2355" s="1717">
        <f t="shared" ref="D2355" si="68">SUM(D2349:D2354)</f>
        <v>0</v>
      </c>
      <c r="E2355" s="1718">
        <v>55</v>
      </c>
      <c r="F2355" s="1721">
        <f>SUM(F2350:F2354)</f>
        <v>63611184</v>
      </c>
      <c r="G2355" s="911"/>
    </row>
    <row r="2356" spans="1:7" s="905" customFormat="1" x14ac:dyDescent="0.3">
      <c r="A2356" s="1154"/>
      <c r="B2356" s="1726">
        <v>7</v>
      </c>
      <c r="C2356" s="912">
        <v>31420235</v>
      </c>
      <c r="D2356" s="980"/>
      <c r="E2356" s="935">
        <v>31</v>
      </c>
      <c r="F2356" s="1360">
        <v>40653752</v>
      </c>
    </row>
    <row r="2357" spans="1:7" s="905" customFormat="1" x14ac:dyDescent="0.3">
      <c r="A2357" s="1154"/>
      <c r="B2357" s="1729">
        <v>8</v>
      </c>
      <c r="C2357" s="909">
        <v>12960189</v>
      </c>
      <c r="D2357" s="980"/>
      <c r="E2357" s="935">
        <v>9</v>
      </c>
      <c r="F2357" s="1360">
        <v>12939960</v>
      </c>
    </row>
    <row r="2358" spans="1:7" s="905" customFormat="1" x14ac:dyDescent="0.3">
      <c r="A2358" s="1154"/>
      <c r="B2358" s="1729">
        <v>9</v>
      </c>
      <c r="C2358" s="913">
        <v>23430084</v>
      </c>
      <c r="D2358" s="980"/>
      <c r="E2358" s="935">
        <v>7</v>
      </c>
      <c r="F2358" s="1360">
        <v>27038076</v>
      </c>
    </row>
    <row r="2359" spans="1:7" s="905" customFormat="1" x14ac:dyDescent="0.3">
      <c r="A2359" s="1154"/>
      <c r="B2359" s="1729">
        <v>10</v>
      </c>
      <c r="C2359" s="913">
        <v>13085124</v>
      </c>
      <c r="D2359" s="980"/>
      <c r="E2359" s="935">
        <v>11</v>
      </c>
      <c r="F2359" s="1360">
        <v>24408780</v>
      </c>
    </row>
    <row r="2360" spans="1:7" s="905" customFormat="1" x14ac:dyDescent="0.3">
      <c r="A2360" s="1154"/>
      <c r="B2360" s="1729">
        <v>11</v>
      </c>
      <c r="C2360" s="913">
        <v>39862991</v>
      </c>
      <c r="D2360" s="980"/>
      <c r="E2360" s="935">
        <v>8</v>
      </c>
      <c r="F2360" s="1360">
        <v>20809056</v>
      </c>
    </row>
    <row r="2361" spans="1:7" s="905" customFormat="1" ht="21" thickBot="1" x14ac:dyDescent="0.35">
      <c r="A2361" s="1154"/>
      <c r="B2361" s="1730">
        <v>12</v>
      </c>
      <c r="C2361" s="683">
        <v>165328502</v>
      </c>
      <c r="D2361" s="980"/>
      <c r="E2361" s="935">
        <v>36</v>
      </c>
      <c r="F2361" s="1719">
        <v>116838924</v>
      </c>
    </row>
    <row r="2362" spans="1:7" s="905" customFormat="1" ht="21" thickBot="1" x14ac:dyDescent="0.35">
      <c r="A2362" s="1056" t="s">
        <v>188</v>
      </c>
      <c r="B2362" s="1069"/>
      <c r="C2362" s="1731">
        <f>SUM(C2356:C2361)</f>
        <v>286087125</v>
      </c>
      <c r="D2362" s="1717">
        <f t="shared" ref="D2362:E2362" si="69">SUM(D2356:D2361)</f>
        <v>0</v>
      </c>
      <c r="E2362" s="1718">
        <f t="shared" si="69"/>
        <v>102</v>
      </c>
      <c r="F2362" s="684">
        <f>SUM(F2356:F2361)</f>
        <v>242688548</v>
      </c>
    </row>
    <row r="2363" spans="1:7" s="905" customFormat="1" x14ac:dyDescent="0.3">
      <c r="A2363" s="1154"/>
      <c r="B2363" s="1726">
        <v>13</v>
      </c>
      <c r="C2363" s="681">
        <v>27686412</v>
      </c>
      <c r="D2363" s="980"/>
      <c r="E2363" s="935">
        <v>7</v>
      </c>
      <c r="F2363" s="1720">
        <v>27008296</v>
      </c>
      <c r="G2363" s="914"/>
    </row>
    <row r="2364" spans="1:7" s="905" customFormat="1" x14ac:dyDescent="0.3">
      <c r="A2364" s="1154"/>
      <c r="B2364" s="1729">
        <v>14</v>
      </c>
      <c r="C2364" s="913">
        <v>33901322</v>
      </c>
      <c r="D2364" s="980"/>
      <c r="E2364" s="935">
        <v>10</v>
      </c>
      <c r="F2364" s="1360">
        <v>32996376</v>
      </c>
    </row>
    <row r="2365" spans="1:7" s="905" customFormat="1" x14ac:dyDescent="0.3">
      <c r="A2365" s="1154"/>
      <c r="B2365" s="1729">
        <v>15</v>
      </c>
      <c r="C2365" s="913">
        <v>5453840</v>
      </c>
      <c r="D2365" s="980"/>
      <c r="E2365" s="935">
        <v>3</v>
      </c>
      <c r="F2365" s="1360">
        <v>5808600</v>
      </c>
    </row>
    <row r="2366" spans="1:7" s="905" customFormat="1" x14ac:dyDescent="0.3">
      <c r="A2366" s="1154"/>
      <c r="B2366" s="1729">
        <v>16</v>
      </c>
      <c r="C2366" s="913">
        <v>31172284</v>
      </c>
      <c r="D2366" s="980"/>
      <c r="E2366" s="935">
        <v>2</v>
      </c>
      <c r="F2366" s="1360">
        <v>6900428</v>
      </c>
    </row>
    <row r="2367" spans="1:7" s="905" customFormat="1" ht="21" thickBot="1" x14ac:dyDescent="0.35">
      <c r="A2367" s="1154"/>
      <c r="B2367" s="1730">
        <v>17</v>
      </c>
      <c r="C2367" s="683">
        <v>8032008</v>
      </c>
      <c r="D2367" s="980"/>
      <c r="E2367" s="935"/>
      <c r="F2367" s="1360"/>
    </row>
    <row r="2368" spans="1:7" s="905" customFormat="1" ht="21" thickBot="1" x14ac:dyDescent="0.35">
      <c r="A2368" s="1056" t="s">
        <v>189</v>
      </c>
      <c r="B2368" s="1063"/>
      <c r="C2368" s="915">
        <f>SUM(C2363:C2367)</f>
        <v>106245866</v>
      </c>
      <c r="D2368" s="1717">
        <f t="shared" ref="D2368:E2368" si="70">SUM(D2363:D2366)</f>
        <v>0</v>
      </c>
      <c r="E2368" s="1718">
        <f t="shared" si="70"/>
        <v>22</v>
      </c>
      <c r="F2368" s="684">
        <f>SUM(F2363:F2367)</f>
        <v>72713700</v>
      </c>
      <c r="G2368" s="914"/>
    </row>
    <row r="2369" spans="1:6" s="905" customFormat="1" ht="21" thickBot="1" x14ac:dyDescent="0.35">
      <c r="A2369" s="1062" t="s">
        <v>190</v>
      </c>
      <c r="B2369" s="1063"/>
      <c r="C2369" s="1134">
        <f>C2368+C2362+C2355</f>
        <v>447837920</v>
      </c>
      <c r="D2369" s="684">
        <v>313298640</v>
      </c>
      <c r="E2369" s="1064">
        <f t="shared" ref="E2369:F2369" si="71">E2368+E2362+E2355</f>
        <v>179</v>
      </c>
      <c r="F2369" s="1134">
        <f t="shared" si="71"/>
        <v>379013432</v>
      </c>
    </row>
    <row r="2370" spans="1:6" s="905" customFormat="1" ht="21" thickBot="1" x14ac:dyDescent="0.35">
      <c r="A2370" s="1066"/>
      <c r="B2370" s="1654"/>
      <c r="C2370" s="1732"/>
      <c r="D2370" s="1732"/>
      <c r="E2370" s="1733"/>
      <c r="F2370" s="1732"/>
    </row>
    <row r="2371" spans="1:6" s="905" customFormat="1" ht="21" thickBot="1" x14ac:dyDescent="0.35">
      <c r="A2371" s="1140" t="s">
        <v>2903</v>
      </c>
      <c r="B2371" s="1057"/>
      <c r="C2371" s="1145">
        <v>447837920</v>
      </c>
      <c r="D2371" s="1722">
        <f>SUM(D2369,D2370)</f>
        <v>313298640</v>
      </c>
      <c r="E2371" s="943">
        <f>SUM(E2369,E2370)</f>
        <v>179</v>
      </c>
      <c r="F2371" s="684">
        <f>SUM(F2369,F2370)</f>
        <v>379013432</v>
      </c>
    </row>
    <row r="2372" spans="1:6" s="905" customFormat="1" x14ac:dyDescent="0.3">
      <c r="E2372" s="907"/>
    </row>
    <row r="2373" spans="1:6" s="905" customFormat="1" x14ac:dyDescent="0.3">
      <c r="A2373" s="3543" t="s">
        <v>183</v>
      </c>
      <c r="B2373" s="3543"/>
      <c r="C2373" s="3543"/>
      <c r="D2373" s="3543"/>
      <c r="E2373" s="3543"/>
      <c r="F2373" s="3543"/>
    </row>
    <row r="2374" spans="1:6" s="905" customFormat="1" ht="21" thickBot="1" x14ac:dyDescent="0.35">
      <c r="A2374" s="3549" t="s">
        <v>1920</v>
      </c>
      <c r="B2374" s="3549"/>
      <c r="C2374" s="3549"/>
      <c r="D2374" s="3549"/>
      <c r="E2374" s="3549"/>
      <c r="F2374" s="3549"/>
    </row>
    <row r="2375" spans="1:6" s="916" customFormat="1" ht="41.25" thickBot="1" x14ac:dyDescent="0.35">
      <c r="A2375" s="1712" t="s">
        <v>185</v>
      </c>
      <c r="B2375" s="1734" t="s">
        <v>186</v>
      </c>
      <c r="C2375" s="1714" t="s">
        <v>1482</v>
      </c>
      <c r="D2375" s="1714" t="s">
        <v>1558</v>
      </c>
      <c r="E2375" s="1715" t="s">
        <v>1129</v>
      </c>
      <c r="F2375" s="1716" t="s">
        <v>2883</v>
      </c>
    </row>
    <row r="2376" spans="1:6" s="905" customFormat="1" x14ac:dyDescent="0.3">
      <c r="A2376" s="1735"/>
      <c r="B2376" s="965">
        <v>1</v>
      </c>
      <c r="C2376" s="1736"/>
      <c r="D2376" s="1737"/>
      <c r="E2376" s="929"/>
      <c r="F2376" s="1738"/>
    </row>
    <row r="2377" spans="1:6" s="905" customFormat="1" x14ac:dyDescent="0.3">
      <c r="A2377" s="1739"/>
      <c r="B2377" s="965">
        <v>2</v>
      </c>
      <c r="C2377" s="1740">
        <v>490570</v>
      </c>
      <c r="D2377" s="1741">
        <v>6038209.1200000001</v>
      </c>
      <c r="E2377" s="935">
        <v>2</v>
      </c>
      <c r="F2377" s="682">
        <v>838608</v>
      </c>
    </row>
    <row r="2378" spans="1:6" s="905" customFormat="1" x14ac:dyDescent="0.3">
      <c r="A2378" s="1739"/>
      <c r="B2378" s="965">
        <v>3</v>
      </c>
      <c r="C2378" s="1740">
        <v>4706203</v>
      </c>
      <c r="D2378" s="1741">
        <v>5685916.7199999997</v>
      </c>
      <c r="E2378" s="935">
        <v>10</v>
      </c>
      <c r="F2378" s="682">
        <v>4383390</v>
      </c>
    </row>
    <row r="2379" spans="1:6" s="905" customFormat="1" x14ac:dyDescent="0.3">
      <c r="A2379" s="1739"/>
      <c r="B2379" s="965">
        <v>4</v>
      </c>
      <c r="C2379" s="1740">
        <v>4416424</v>
      </c>
      <c r="D2379" s="1741">
        <v>3075280.08</v>
      </c>
      <c r="E2379" s="935">
        <v>14</v>
      </c>
      <c r="F2379" s="682">
        <v>7011144</v>
      </c>
    </row>
    <row r="2380" spans="1:6" s="905" customFormat="1" x14ac:dyDescent="0.3">
      <c r="A2380" s="1739"/>
      <c r="B2380" s="965">
        <v>5</v>
      </c>
      <c r="C2380" s="1740">
        <v>659494</v>
      </c>
      <c r="D2380" s="1741">
        <v>499420</v>
      </c>
      <c r="E2380" s="935">
        <v>2</v>
      </c>
      <c r="F2380" s="682">
        <v>1250652</v>
      </c>
    </row>
    <row r="2381" spans="1:6" s="905" customFormat="1" ht="21" thickBot="1" x14ac:dyDescent="0.35">
      <c r="A2381" s="1739"/>
      <c r="B2381" s="965">
        <v>6</v>
      </c>
      <c r="C2381" s="1740">
        <v>11746010</v>
      </c>
      <c r="D2381" s="1741">
        <v>5059361.4400000004</v>
      </c>
      <c r="E2381" s="935">
        <v>12</v>
      </c>
      <c r="F2381" s="682">
        <v>11436928</v>
      </c>
    </row>
    <row r="2382" spans="1:6" s="905" customFormat="1" ht="21" thickBot="1" x14ac:dyDescent="0.35">
      <c r="A2382" s="1742" t="s">
        <v>351</v>
      </c>
      <c r="B2382" s="1654"/>
      <c r="C2382" s="1743">
        <f>SUM(C2376:C2381)</f>
        <v>22018701</v>
      </c>
      <c r="D2382" s="1743">
        <f t="shared" ref="D2382" si="72">SUM(D2376:D2381)</f>
        <v>20358187.359999999</v>
      </c>
      <c r="E2382" s="1744">
        <f>SUM(E2376:E2381)</f>
        <v>40</v>
      </c>
      <c r="F2382" s="1745">
        <f>SUM(F2376:F2381)</f>
        <v>24920722</v>
      </c>
    </row>
    <row r="2383" spans="1:6" s="905" customFormat="1" x14ac:dyDescent="0.3">
      <c r="A2383" s="1739"/>
      <c r="B2383" s="965">
        <v>7</v>
      </c>
      <c r="C2383" s="1740">
        <v>21080379</v>
      </c>
      <c r="D2383" s="1741">
        <v>13989140.560000001</v>
      </c>
      <c r="E2383" s="935">
        <v>24</v>
      </c>
      <c r="F2383" s="682">
        <v>29159024</v>
      </c>
    </row>
    <row r="2384" spans="1:6" s="905" customFormat="1" x14ac:dyDescent="0.3">
      <c r="A2384" s="1739"/>
      <c r="B2384" s="965">
        <v>8</v>
      </c>
      <c r="C2384" s="1740">
        <v>24099441</v>
      </c>
      <c r="D2384" s="1741">
        <v>16674166.640000001</v>
      </c>
      <c r="E2384" s="935">
        <v>16</v>
      </c>
      <c r="F2384" s="682">
        <v>19645865</v>
      </c>
    </row>
    <row r="2385" spans="1:6" s="905" customFormat="1" ht="21" thickBot="1" x14ac:dyDescent="0.35">
      <c r="A2385" s="1739"/>
      <c r="B2385" s="965">
        <v>9</v>
      </c>
      <c r="C2385" s="1740">
        <v>18448055</v>
      </c>
      <c r="D2385" s="1741">
        <v>21832503.359999999</v>
      </c>
      <c r="E2385" s="935">
        <v>16</v>
      </c>
      <c r="F2385" s="682">
        <v>22672168</v>
      </c>
    </row>
    <row r="2386" spans="1:6" s="905" customFormat="1" ht="21" thickBot="1" x14ac:dyDescent="0.35">
      <c r="A2386" s="1739"/>
      <c r="B2386" s="965">
        <v>10</v>
      </c>
      <c r="C2386" s="1736">
        <v>2603730</v>
      </c>
      <c r="D2386" s="1741">
        <v>4424488.24</v>
      </c>
      <c r="E2386" s="935"/>
      <c r="F2386" s="682"/>
    </row>
    <row r="2387" spans="1:6" s="905" customFormat="1" ht="21" thickBot="1" x14ac:dyDescent="0.35">
      <c r="A2387" s="1056" t="s">
        <v>2904</v>
      </c>
      <c r="B2387" s="1654"/>
      <c r="C2387" s="1746">
        <f>SUM(C2383:C2386)</f>
        <v>66231605</v>
      </c>
      <c r="D2387" s="1746">
        <f>SUM(D2383:D2386)</f>
        <v>56920298.800000004</v>
      </c>
      <c r="E2387" s="1718">
        <f>SUM(E2383:E2386)</f>
        <v>56</v>
      </c>
      <c r="F2387" s="684">
        <f>SUM(F2383:F2386)</f>
        <v>71477057</v>
      </c>
    </row>
    <row r="2388" spans="1:6" s="905" customFormat="1" x14ac:dyDescent="0.3">
      <c r="A2388" s="1317"/>
      <c r="B2388" s="1155">
        <v>11</v>
      </c>
      <c r="C2388" s="1747">
        <v>32384380</v>
      </c>
      <c r="D2388" s="1747">
        <v>27606932.239999998</v>
      </c>
      <c r="E2388" s="1748">
        <v>19</v>
      </c>
      <c r="F2388" s="1360">
        <v>34610314</v>
      </c>
    </row>
    <row r="2389" spans="1:6" s="905" customFormat="1" x14ac:dyDescent="0.3">
      <c r="A2389" s="1317"/>
      <c r="B2389" s="965">
        <v>12</v>
      </c>
      <c r="C2389" s="1747">
        <v>22392498</v>
      </c>
      <c r="D2389" s="1747">
        <v>14871982.800000001</v>
      </c>
      <c r="E2389" s="1748">
        <v>12</v>
      </c>
      <c r="F2389" s="1360">
        <v>24568180</v>
      </c>
    </row>
    <row r="2390" spans="1:6" s="905" customFormat="1" x14ac:dyDescent="0.3">
      <c r="A2390" s="1052"/>
      <c r="B2390" s="965">
        <v>13</v>
      </c>
      <c r="C2390" s="1747">
        <v>28651241</v>
      </c>
      <c r="D2390" s="1741">
        <v>24389682.16</v>
      </c>
      <c r="E2390" s="935">
        <v>11</v>
      </c>
      <c r="F2390" s="1360">
        <v>29586303</v>
      </c>
    </row>
    <row r="2391" spans="1:6" s="905" customFormat="1" x14ac:dyDescent="0.3">
      <c r="A2391" s="1052"/>
      <c r="B2391" s="965">
        <v>14</v>
      </c>
      <c r="C2391" s="1747">
        <v>19836952</v>
      </c>
      <c r="D2391" s="1741">
        <v>18971178.960000001</v>
      </c>
      <c r="E2391" s="935">
        <v>8</v>
      </c>
      <c r="F2391" s="1360">
        <v>26992817</v>
      </c>
    </row>
    <row r="2392" spans="1:6" s="905" customFormat="1" ht="21" thickBot="1" x14ac:dyDescent="0.35">
      <c r="A2392" s="1052"/>
      <c r="B2392" s="965" t="s">
        <v>2929</v>
      </c>
      <c r="C2392" s="1747"/>
      <c r="D2392" s="1741"/>
      <c r="E2392" s="935">
        <v>1</v>
      </c>
      <c r="F2392" s="1360">
        <v>1925376</v>
      </c>
    </row>
    <row r="2393" spans="1:6" s="905" customFormat="1" ht="21" thickBot="1" x14ac:dyDescent="0.35">
      <c r="A2393" s="1056" t="s">
        <v>2905</v>
      </c>
      <c r="B2393" s="1057"/>
      <c r="C2393" s="1746">
        <f>SUM(C2388:C2392)</f>
        <v>103265071</v>
      </c>
      <c r="D2393" s="1746">
        <f>SUM(D2388:D2392)</f>
        <v>85839776.159999996</v>
      </c>
      <c r="E2393" s="1718">
        <f>SUM(E2388:E2392)</f>
        <v>51</v>
      </c>
      <c r="F2393" s="684">
        <f>SUM(F2388:F2392)</f>
        <v>117682990</v>
      </c>
    </row>
    <row r="2394" spans="1:6" s="905" customFormat="1" ht="21" thickBot="1" x14ac:dyDescent="0.35">
      <c r="A2394" s="1062" t="s">
        <v>2906</v>
      </c>
      <c r="B2394" s="1063"/>
      <c r="C2394" s="1749">
        <v>193440721</v>
      </c>
      <c r="D2394" s="1749">
        <f>SUM(D2393,D2387,D2382)</f>
        <v>163118262.31999999</v>
      </c>
      <c r="E2394" s="1750">
        <f>SUM(E2393,E2387,E2382)</f>
        <v>147</v>
      </c>
      <c r="F2394" s="1721">
        <f>SUM(F2393,F2387,F2382)</f>
        <v>214080769</v>
      </c>
    </row>
    <row r="2395" spans="1:6" s="905" customFormat="1" x14ac:dyDescent="0.3">
      <c r="A2395" s="905" t="s">
        <v>2907</v>
      </c>
      <c r="B2395" s="1751"/>
      <c r="C2395" s="1720">
        <v>9147859</v>
      </c>
      <c r="D2395" s="1752">
        <v>9147859</v>
      </c>
      <c r="E2395" s="929"/>
      <c r="F2395" s="1753">
        <v>9147859</v>
      </c>
    </row>
    <row r="2396" spans="1:6" s="905" customFormat="1" x14ac:dyDescent="0.3">
      <c r="A2396" s="905" t="s">
        <v>2908</v>
      </c>
      <c r="B2396" s="1754"/>
      <c r="C2396" s="1360">
        <v>18819427</v>
      </c>
      <c r="D2396" s="1752"/>
      <c r="E2396" s="935"/>
      <c r="F2396" s="1755">
        <v>17800369</v>
      </c>
    </row>
    <row r="2397" spans="1:6" s="905" customFormat="1" x14ac:dyDescent="0.3">
      <c r="A2397" s="905" t="s">
        <v>2909</v>
      </c>
      <c r="B2397" s="1754"/>
      <c r="C2397" s="1360">
        <v>429306</v>
      </c>
      <c r="D2397" s="1752"/>
      <c r="E2397" s="935"/>
      <c r="F2397" s="1755">
        <v>435300</v>
      </c>
    </row>
    <row r="2398" spans="1:6" s="905" customFormat="1" x14ac:dyDescent="0.3">
      <c r="A2398" s="905" t="s">
        <v>2910</v>
      </c>
      <c r="B2398" s="1155"/>
      <c r="C2398" s="1360">
        <v>18933750</v>
      </c>
      <c r="D2398" s="1752"/>
      <c r="E2398" s="935"/>
      <c r="F2398" s="1755">
        <v>20933700</v>
      </c>
    </row>
    <row r="2399" spans="1:6" s="905" customFormat="1" x14ac:dyDescent="0.3">
      <c r="A2399" s="1756" t="s">
        <v>1530</v>
      </c>
      <c r="B2399" s="1203"/>
      <c r="C2399" s="1360">
        <v>1400000</v>
      </c>
      <c r="D2399" s="1752"/>
      <c r="E2399" s="935">
        <v>4</v>
      </c>
      <c r="F2399" s="1755">
        <v>1000000</v>
      </c>
    </row>
    <row r="2400" spans="1:6" s="905" customFormat="1" ht="21" thickBot="1" x14ac:dyDescent="0.35">
      <c r="A2400" s="905" t="s">
        <v>2911</v>
      </c>
      <c r="B2400" s="1155"/>
      <c r="C2400" s="1360"/>
      <c r="D2400" s="1752"/>
      <c r="E2400" s="935">
        <v>40</v>
      </c>
      <c r="F2400" s="1755">
        <v>20000000</v>
      </c>
    </row>
    <row r="2401" spans="1:6" s="905" customFormat="1" ht="21" thickBot="1" x14ac:dyDescent="0.35">
      <c r="A2401" s="1066" t="s">
        <v>737</v>
      </c>
      <c r="B2401" s="1057"/>
      <c r="C2401" s="1068">
        <f>SUM(C2395:C2399)</f>
        <v>48730342</v>
      </c>
      <c r="D2401" s="1068">
        <f t="shared" ref="D2401" si="73">SUM(D2395:D2397)</f>
        <v>9147859</v>
      </c>
      <c r="E2401" s="943">
        <f>SUM(E2395:E2400)</f>
        <v>44</v>
      </c>
      <c r="F2401" s="684">
        <f>SUM(F2395:F2400)</f>
        <v>69317228</v>
      </c>
    </row>
    <row r="2402" spans="1:6" s="905" customFormat="1" ht="21" thickBot="1" x14ac:dyDescent="0.35">
      <c r="A2402" s="1066" t="s">
        <v>2912</v>
      </c>
      <c r="B2402" s="1057"/>
      <c r="C2402" s="1757">
        <v>254803430</v>
      </c>
      <c r="D2402" s="1338">
        <f t="shared" ref="D2402:E2402" si="74">SUM(D2394,D2401)</f>
        <v>172266121.31999999</v>
      </c>
      <c r="E2402" s="943">
        <f t="shared" si="74"/>
        <v>191</v>
      </c>
      <c r="F2402" s="684">
        <f>SUM(F2394,F2401)</f>
        <v>283397997</v>
      </c>
    </row>
    <row r="2403" spans="1:6" s="905" customFormat="1" x14ac:dyDescent="0.3">
      <c r="A2403" s="3543" t="s">
        <v>183</v>
      </c>
      <c r="B2403" s="3543"/>
      <c r="C2403" s="3543"/>
      <c r="D2403" s="3543"/>
      <c r="E2403" s="3543"/>
      <c r="F2403" s="3543"/>
    </row>
    <row r="2404" spans="1:6" s="905" customFormat="1" ht="21" thickBot="1" x14ac:dyDescent="0.35">
      <c r="A2404" s="3544" t="s">
        <v>2898</v>
      </c>
      <c r="B2404" s="3544"/>
      <c r="C2404" s="3544"/>
      <c r="D2404" s="3544"/>
      <c r="E2404" s="3544"/>
      <c r="F2404" s="3544"/>
    </row>
    <row r="2405" spans="1:6" s="906" customFormat="1" ht="41.25" thickBot="1" x14ac:dyDescent="0.35">
      <c r="A2405" s="1712" t="s">
        <v>185</v>
      </c>
      <c r="B2405" s="1713" t="s">
        <v>2899</v>
      </c>
      <c r="C2405" s="1724" t="s">
        <v>1482</v>
      </c>
      <c r="D2405" s="1714" t="s">
        <v>1667</v>
      </c>
      <c r="E2405" s="1715" t="s">
        <v>1129</v>
      </c>
      <c r="F2405" s="1725" t="s">
        <v>2883</v>
      </c>
    </row>
    <row r="2406" spans="1:6" s="905" customFormat="1" x14ac:dyDescent="0.3">
      <c r="A2406" s="908"/>
      <c r="B2406" s="965">
        <v>1</v>
      </c>
      <c r="C2406" s="1720">
        <v>18742630</v>
      </c>
      <c r="D2406" s="1755">
        <v>0</v>
      </c>
      <c r="E2406" s="917">
        <v>19</v>
      </c>
      <c r="F2406" s="1758">
        <v>8412488.7056639995</v>
      </c>
    </row>
    <row r="2407" spans="1:6" s="905" customFormat="1" x14ac:dyDescent="0.3">
      <c r="A2407" s="1052"/>
      <c r="B2407" s="965">
        <v>2</v>
      </c>
      <c r="C2407" s="1360">
        <v>1376880</v>
      </c>
      <c r="D2407" s="1755">
        <v>0</v>
      </c>
      <c r="E2407" s="1759">
        <v>0</v>
      </c>
      <c r="F2407" s="1760" t="s">
        <v>130</v>
      </c>
    </row>
    <row r="2408" spans="1:6" s="905" customFormat="1" x14ac:dyDescent="0.3">
      <c r="A2408" s="1052"/>
      <c r="B2408" s="965">
        <v>3</v>
      </c>
      <c r="C2408" s="1360">
        <v>1376568</v>
      </c>
      <c r="D2408" s="980">
        <v>1565224</v>
      </c>
      <c r="E2408" s="1761">
        <v>4</v>
      </c>
      <c r="F2408" s="1360">
        <v>2391207.0173280002</v>
      </c>
    </row>
    <row r="2409" spans="1:6" s="905" customFormat="1" x14ac:dyDescent="0.3">
      <c r="A2409" s="1052"/>
      <c r="B2409" s="965">
        <v>4</v>
      </c>
      <c r="C2409" s="909">
        <v>0</v>
      </c>
      <c r="D2409" s="1755">
        <v>0</v>
      </c>
      <c r="E2409" s="956">
        <v>0</v>
      </c>
      <c r="F2409" s="1360">
        <v>0</v>
      </c>
    </row>
    <row r="2410" spans="1:6" s="905" customFormat="1" x14ac:dyDescent="0.3">
      <c r="A2410" s="1052"/>
      <c r="B2410" s="965">
        <v>5</v>
      </c>
      <c r="C2410" s="909">
        <v>1367241</v>
      </c>
      <c r="D2410" s="980">
        <v>1003328</v>
      </c>
      <c r="E2410" s="956">
        <v>2</v>
      </c>
      <c r="F2410" s="1360">
        <v>1544931.515232</v>
      </c>
    </row>
    <row r="2411" spans="1:6" s="905" customFormat="1" ht="21" thickBot="1" x14ac:dyDescent="0.35">
      <c r="A2411" s="1052"/>
      <c r="B2411" s="965">
        <v>6</v>
      </c>
      <c r="C2411" s="910">
        <v>8034813</v>
      </c>
      <c r="D2411" s="980">
        <v>2184182</v>
      </c>
      <c r="E2411" s="956">
        <v>3</v>
      </c>
      <c r="F2411" s="1762">
        <v>3334592.4325919999</v>
      </c>
    </row>
    <row r="2412" spans="1:6" s="905" customFormat="1" ht="21" thickBot="1" x14ac:dyDescent="0.35">
      <c r="A2412" s="1056" t="s">
        <v>187</v>
      </c>
      <c r="B2412" s="1057"/>
      <c r="C2412" s="1731">
        <f>SUM(C2406:C2411)</f>
        <v>30898132</v>
      </c>
      <c r="D2412" s="1717">
        <f t="shared" ref="D2412:E2412" si="75">SUM(D2406:D2411)</f>
        <v>4752734</v>
      </c>
      <c r="E2412" s="1718">
        <f t="shared" si="75"/>
        <v>28</v>
      </c>
      <c r="F2412" s="1721">
        <f>SUM(F2406:F2411)</f>
        <v>15683219.670816001</v>
      </c>
    </row>
    <row r="2413" spans="1:6" s="905" customFormat="1" x14ac:dyDescent="0.3">
      <c r="A2413" s="1052"/>
      <c r="B2413" s="965">
        <v>7</v>
      </c>
      <c r="C2413" s="912">
        <v>49174783</v>
      </c>
      <c r="D2413" s="980">
        <v>14126114</v>
      </c>
      <c r="E2413" s="935">
        <v>24</v>
      </c>
      <c r="F2413" s="1763">
        <v>31474186.66</v>
      </c>
    </row>
    <row r="2414" spans="1:6" s="905" customFormat="1" x14ac:dyDescent="0.3">
      <c r="A2414" s="1052"/>
      <c r="B2414" s="965">
        <v>8</v>
      </c>
      <c r="C2414" s="909">
        <v>46364337</v>
      </c>
      <c r="D2414" s="980">
        <v>26661781</v>
      </c>
      <c r="E2414" s="935">
        <v>26</v>
      </c>
      <c r="F2414" s="1763">
        <v>40618472.464080013</v>
      </c>
    </row>
    <row r="2415" spans="1:6" s="905" customFormat="1" x14ac:dyDescent="0.3">
      <c r="A2415" s="1052"/>
      <c r="B2415" s="965">
        <v>9</v>
      </c>
      <c r="C2415" s="909">
        <v>58283911</v>
      </c>
      <c r="D2415" s="980">
        <v>29724315</v>
      </c>
      <c r="E2415" s="935">
        <v>25</v>
      </c>
      <c r="F2415" s="1360">
        <v>45401239.479600005</v>
      </c>
    </row>
    <row r="2416" spans="1:6" s="905" customFormat="1" x14ac:dyDescent="0.3">
      <c r="A2416" s="1052"/>
      <c r="B2416" s="965">
        <v>10</v>
      </c>
      <c r="C2416" s="909">
        <v>15201903</v>
      </c>
      <c r="D2416" s="980">
        <v>7219498</v>
      </c>
      <c r="E2416" s="935">
        <v>5</v>
      </c>
      <c r="F2416" s="1360">
        <v>10987973.799983999</v>
      </c>
    </row>
    <row r="2417" spans="1:6" s="905" customFormat="1" ht="21" thickBot="1" x14ac:dyDescent="0.35">
      <c r="A2417" s="1052"/>
      <c r="B2417" s="965">
        <v>11</v>
      </c>
      <c r="C2417" s="909">
        <v>45924386</v>
      </c>
      <c r="D2417" s="980">
        <v>29016268</v>
      </c>
      <c r="E2417" s="935">
        <v>19</v>
      </c>
      <c r="F2417" s="1719">
        <v>44604896.137200005</v>
      </c>
    </row>
    <row r="2418" spans="1:6" s="905" customFormat="1" ht="21" thickBot="1" x14ac:dyDescent="0.35">
      <c r="A2418" s="1056" t="s">
        <v>2900</v>
      </c>
      <c r="B2418" s="1057"/>
      <c r="C2418" s="1717">
        <f>SUM(C2413:C2417)</f>
        <v>214949320</v>
      </c>
      <c r="D2418" s="1764">
        <f t="shared" ref="D2418:E2418" si="76">SUM(D2413:D2417)</f>
        <v>106747976</v>
      </c>
      <c r="E2418" s="1718">
        <f t="shared" si="76"/>
        <v>99</v>
      </c>
      <c r="F2418" s="684">
        <f>SUM(F2413:F2417)</f>
        <v>173086768.54086402</v>
      </c>
    </row>
    <row r="2419" spans="1:6" s="905" customFormat="1" x14ac:dyDescent="0.3">
      <c r="A2419" s="1052"/>
      <c r="B2419" s="965">
        <v>12</v>
      </c>
      <c r="C2419" s="909">
        <v>81765278</v>
      </c>
      <c r="D2419" s="980">
        <v>48252065</v>
      </c>
      <c r="E2419" s="935">
        <v>24</v>
      </c>
      <c r="F2419" s="1720">
        <v>66453682.117392004</v>
      </c>
    </row>
    <row r="2420" spans="1:6" s="905" customFormat="1" x14ac:dyDescent="0.3">
      <c r="A2420" s="1052"/>
      <c r="B2420" s="965">
        <v>13</v>
      </c>
      <c r="C2420" s="909">
        <v>7880202</v>
      </c>
      <c r="D2420" s="980">
        <v>4721573</v>
      </c>
      <c r="E2420" s="935">
        <v>2</v>
      </c>
      <c r="F2420" s="1360">
        <v>7123769.3047679998</v>
      </c>
    </row>
    <row r="2421" spans="1:6" s="905" customFormat="1" x14ac:dyDescent="0.3">
      <c r="A2421" s="1052"/>
      <c r="B2421" s="965">
        <v>14</v>
      </c>
      <c r="C2421" s="909">
        <v>31820191</v>
      </c>
      <c r="D2421" s="980">
        <v>12127334</v>
      </c>
      <c r="E2421" s="935">
        <v>4</v>
      </c>
      <c r="F2421" s="1360">
        <v>17435456.656272002</v>
      </c>
    </row>
    <row r="2422" spans="1:6" s="905" customFormat="1" x14ac:dyDescent="0.3">
      <c r="A2422" s="1052"/>
      <c r="B2422" s="965">
        <v>15</v>
      </c>
      <c r="C2422" s="1360" t="s">
        <v>179</v>
      </c>
      <c r="D2422" s="1755">
        <v>0</v>
      </c>
      <c r="E2422" s="935">
        <v>0</v>
      </c>
      <c r="F2422" s="1360">
        <v>0</v>
      </c>
    </row>
    <row r="2423" spans="1:6" s="905" customFormat="1" ht="21" thickBot="1" x14ac:dyDescent="0.35">
      <c r="A2423" s="1052"/>
      <c r="B2423" s="965">
        <v>16</v>
      </c>
      <c r="C2423" s="909">
        <v>19097582</v>
      </c>
      <c r="D2423" s="980">
        <v>11331752</v>
      </c>
      <c r="E2423" s="935">
        <v>3</v>
      </c>
      <c r="F2423" s="1360">
        <v>16977628</v>
      </c>
    </row>
    <row r="2424" spans="1:6" s="905" customFormat="1" ht="21" thickBot="1" x14ac:dyDescent="0.35">
      <c r="A2424" s="1056" t="s">
        <v>189</v>
      </c>
      <c r="B2424" s="1057"/>
      <c r="C2424" s="1717">
        <f>SUM(C2419:C2423)</f>
        <v>140563253</v>
      </c>
      <c r="D2424" s="1764">
        <f t="shared" ref="D2424:E2424" si="77">SUM(D2419:D2423)</f>
        <v>76432724</v>
      </c>
      <c r="E2424" s="1718">
        <f t="shared" si="77"/>
        <v>33</v>
      </c>
      <c r="F2424" s="684">
        <f>SUM(F2419:F2423)</f>
        <v>107990536.07843199</v>
      </c>
    </row>
    <row r="2425" spans="1:6" s="905" customFormat="1" ht="21" thickBot="1" x14ac:dyDescent="0.35">
      <c r="A2425" s="1062" t="s">
        <v>190</v>
      </c>
      <c r="B2425" s="1063"/>
      <c r="C2425" s="1765">
        <f>C2424+C2418+C2412</f>
        <v>386410705</v>
      </c>
      <c r="D2425" s="1134">
        <f>D2424+D2418+D2412</f>
        <v>187933434</v>
      </c>
      <c r="E2425" s="1064">
        <f>E2424+E2418+E2412</f>
        <v>160</v>
      </c>
      <c r="F2425" s="1721">
        <f>SUM(F2424,F2418,F2412)</f>
        <v>296760524.29011202</v>
      </c>
    </row>
    <row r="2426" spans="1:6" s="905" customFormat="1" x14ac:dyDescent="0.3">
      <c r="A2426" s="905" t="s">
        <v>1569</v>
      </c>
      <c r="B2426" s="965"/>
      <c r="C2426" s="1360">
        <v>1925865</v>
      </c>
      <c r="D2426" s="967">
        <v>1283910</v>
      </c>
      <c r="E2426" s="935">
        <v>1</v>
      </c>
      <c r="F2426" s="1360">
        <v>1925865</v>
      </c>
    </row>
    <row r="2427" spans="1:6" s="905" customFormat="1" ht="21" thickBot="1" x14ac:dyDescent="0.35">
      <c r="A2427" s="905" t="s">
        <v>1749</v>
      </c>
      <c r="B2427" s="965"/>
      <c r="C2427" s="1360">
        <v>9147855</v>
      </c>
      <c r="D2427" s="967">
        <v>6098572</v>
      </c>
      <c r="E2427" s="935">
        <v>0</v>
      </c>
      <c r="F2427" s="1360">
        <v>9147859</v>
      </c>
    </row>
    <row r="2428" spans="1:6" s="905" customFormat="1" ht="21" thickBot="1" x14ac:dyDescent="0.35">
      <c r="A2428" s="1066" t="s">
        <v>117</v>
      </c>
      <c r="B2428" s="1654"/>
      <c r="C2428" s="1732">
        <f>SUM(C2426:C2427)</f>
        <v>11073720</v>
      </c>
      <c r="D2428" s="1732">
        <f>SUM(D2426:D2427)</f>
        <v>7382482</v>
      </c>
      <c r="E2428" s="1733">
        <f>SUM(E2426:E2427)</f>
        <v>1</v>
      </c>
      <c r="F2428" s="1732">
        <f>SUM(F2426:F2427)</f>
        <v>11073724</v>
      </c>
    </row>
    <row r="2429" spans="1:6" s="905" customFormat="1" ht="21" thickBot="1" x14ac:dyDescent="0.35">
      <c r="A2429" s="1140" t="s">
        <v>2901</v>
      </c>
      <c r="B2429" s="1057"/>
      <c r="C2429" s="684">
        <f>(C2412+C2418+C2424+C2428)</f>
        <v>397484425</v>
      </c>
      <c r="D2429" s="1068">
        <f>SUM(D2425,D2428)</f>
        <v>195315916</v>
      </c>
      <c r="E2429" s="943">
        <f>SUM(E2425,E2428)</f>
        <v>161</v>
      </c>
      <c r="F2429" s="684">
        <f>SUM(F2425,F2428)</f>
        <v>307834248.29011202</v>
      </c>
    </row>
    <row r="2430" spans="1:6" s="905" customFormat="1" x14ac:dyDescent="0.3">
      <c r="C2430" s="914"/>
      <c r="E2430" s="907"/>
    </row>
    <row r="2431" spans="1:6" s="905" customFormat="1" x14ac:dyDescent="0.3">
      <c r="A2431" s="3543" t="s">
        <v>183</v>
      </c>
      <c r="B2431" s="3543"/>
      <c r="C2431" s="3543"/>
      <c r="D2431" s="3543"/>
      <c r="E2431" s="3543"/>
      <c r="F2431" s="3543"/>
    </row>
    <row r="2432" spans="1:6" s="905" customFormat="1" ht="21" thickBot="1" x14ac:dyDescent="0.35">
      <c r="A2432" s="3544" t="s">
        <v>2896</v>
      </c>
      <c r="B2432" s="3544"/>
      <c r="C2432" s="3544"/>
      <c r="D2432" s="3544"/>
      <c r="E2432" s="3544"/>
      <c r="F2432" s="3544"/>
    </row>
    <row r="2433" spans="1:6" s="906" customFormat="1" ht="41.25" thickBot="1" x14ac:dyDescent="0.35">
      <c r="A2433" s="1724" t="s">
        <v>185</v>
      </c>
      <c r="B2433" s="1713" t="s">
        <v>186</v>
      </c>
      <c r="C2433" s="1712" t="s">
        <v>1482</v>
      </c>
      <c r="D2433" s="1714" t="s">
        <v>1667</v>
      </c>
      <c r="E2433" s="1715" t="s">
        <v>1129</v>
      </c>
      <c r="F2433" s="1716" t="s">
        <v>2883</v>
      </c>
    </row>
    <row r="2434" spans="1:6" s="905" customFormat="1" x14ac:dyDescent="0.3">
      <c r="A2434" s="908"/>
      <c r="B2434" s="965">
        <v>1</v>
      </c>
      <c r="C2434" s="908">
        <v>0</v>
      </c>
      <c r="D2434" s="1389"/>
      <c r="E2434" s="929">
        <v>0</v>
      </c>
      <c r="F2434" s="1360">
        <v>0</v>
      </c>
    </row>
    <row r="2435" spans="1:6" s="905" customFormat="1" x14ac:dyDescent="0.3">
      <c r="A2435" s="1052"/>
      <c r="B2435" s="965">
        <v>2</v>
      </c>
      <c r="C2435" s="1139">
        <v>0</v>
      </c>
      <c r="D2435" s="967"/>
      <c r="E2435" s="935">
        <v>5</v>
      </c>
      <c r="F2435" s="1360">
        <v>1857850.2</v>
      </c>
    </row>
    <row r="2436" spans="1:6" s="905" customFormat="1" x14ac:dyDescent="0.3">
      <c r="A2436" s="1052"/>
      <c r="B2436" s="965">
        <v>3</v>
      </c>
      <c r="C2436" s="1139">
        <v>0</v>
      </c>
      <c r="D2436" s="967"/>
      <c r="E2436" s="935">
        <v>14</v>
      </c>
      <c r="F2436" s="1360">
        <v>7687313.8799999999</v>
      </c>
    </row>
    <row r="2437" spans="1:6" s="905" customFormat="1" x14ac:dyDescent="0.3">
      <c r="A2437" s="1052"/>
      <c r="B2437" s="965">
        <v>4</v>
      </c>
      <c r="C2437" s="1139">
        <v>0</v>
      </c>
      <c r="D2437" s="967"/>
      <c r="E2437" s="935">
        <v>2</v>
      </c>
      <c r="F2437" s="1360">
        <v>983349</v>
      </c>
    </row>
    <row r="2438" spans="1:6" s="905" customFormat="1" x14ac:dyDescent="0.3">
      <c r="A2438" s="1052"/>
      <c r="B2438" s="965">
        <v>5</v>
      </c>
      <c r="C2438" s="1139">
        <v>0</v>
      </c>
      <c r="D2438" s="967"/>
      <c r="E2438" s="935">
        <v>2</v>
      </c>
      <c r="F2438" s="1360">
        <v>1571168.64</v>
      </c>
    </row>
    <row r="2439" spans="1:6" s="905" customFormat="1" ht="21" thickBot="1" x14ac:dyDescent="0.35">
      <c r="A2439" s="1612"/>
      <c r="B2439" s="965">
        <v>6</v>
      </c>
      <c r="C2439" s="1139">
        <v>0</v>
      </c>
      <c r="D2439" s="967"/>
      <c r="E2439" s="935">
        <v>1</v>
      </c>
      <c r="F2439" s="1360">
        <v>942600.6</v>
      </c>
    </row>
    <row r="2440" spans="1:6" s="905" customFormat="1" ht="21" thickBot="1" x14ac:dyDescent="0.35">
      <c r="A2440" s="1062" t="s">
        <v>187</v>
      </c>
      <c r="B2440" s="1057"/>
      <c r="C2440" s="1717">
        <f>SUM(C2434:C2439)</f>
        <v>0</v>
      </c>
      <c r="D2440" s="1717">
        <f t="shared" ref="D2440:E2440" si="78">SUM(D2434:D2439)</f>
        <v>0</v>
      </c>
      <c r="E2440" s="1718">
        <f t="shared" si="78"/>
        <v>24</v>
      </c>
      <c r="F2440" s="684">
        <f>SUM(F2434:F2439)</f>
        <v>13042282.32</v>
      </c>
    </row>
    <row r="2441" spans="1:6" s="905" customFormat="1" x14ac:dyDescent="0.3">
      <c r="A2441" s="1052"/>
      <c r="B2441" s="965">
        <v>7</v>
      </c>
      <c r="C2441" s="1139">
        <v>0</v>
      </c>
      <c r="D2441" s="967"/>
      <c r="E2441" s="935">
        <v>0</v>
      </c>
      <c r="F2441" s="1360">
        <v>0</v>
      </c>
    </row>
    <row r="2442" spans="1:6" s="905" customFormat="1" x14ac:dyDescent="0.3">
      <c r="A2442" s="1052"/>
      <c r="B2442" s="965">
        <v>8</v>
      </c>
      <c r="C2442" s="1139">
        <v>0</v>
      </c>
      <c r="D2442" s="967"/>
      <c r="E2442" s="935">
        <v>2</v>
      </c>
      <c r="F2442" s="1360">
        <v>2077860.6</v>
      </c>
    </row>
    <row r="2443" spans="1:6" s="905" customFormat="1" x14ac:dyDescent="0.3">
      <c r="A2443" s="1052"/>
      <c r="B2443" s="965">
        <v>9</v>
      </c>
      <c r="C2443" s="1139">
        <v>0</v>
      </c>
      <c r="D2443" s="967"/>
      <c r="E2443" s="935">
        <v>0</v>
      </c>
      <c r="F2443" s="1360">
        <v>0</v>
      </c>
    </row>
    <row r="2444" spans="1:6" s="905" customFormat="1" x14ac:dyDescent="0.3">
      <c r="A2444" s="1052"/>
      <c r="B2444" s="965">
        <v>10</v>
      </c>
      <c r="C2444" s="1139">
        <v>0</v>
      </c>
      <c r="D2444" s="967"/>
      <c r="E2444" s="935">
        <v>6</v>
      </c>
      <c r="F2444" s="1360">
        <v>10238001.119999999</v>
      </c>
    </row>
    <row r="2445" spans="1:6" s="905" customFormat="1" ht="21" thickBot="1" x14ac:dyDescent="0.35">
      <c r="A2445" s="1052"/>
      <c r="B2445" s="965">
        <v>12</v>
      </c>
      <c r="C2445" s="1139">
        <v>0</v>
      </c>
      <c r="D2445" s="967"/>
      <c r="E2445" s="935">
        <v>1</v>
      </c>
      <c r="F2445" s="1719">
        <v>2615157.6</v>
      </c>
    </row>
    <row r="2446" spans="1:6" s="905" customFormat="1" ht="21" thickBot="1" x14ac:dyDescent="0.35">
      <c r="A2446" s="1056" t="s">
        <v>188</v>
      </c>
      <c r="B2446" s="1057"/>
      <c r="C2446" s="1717">
        <f>SUM(C2441:C2445)</f>
        <v>0</v>
      </c>
      <c r="D2446" s="1717">
        <f t="shared" ref="D2446:E2446" si="79">SUM(D2441:D2445)</f>
        <v>0</v>
      </c>
      <c r="E2446" s="1718">
        <f t="shared" si="79"/>
        <v>9</v>
      </c>
      <c r="F2446" s="684">
        <f>SUM(F2441:F2445)</f>
        <v>14931019.319999998</v>
      </c>
    </row>
    <row r="2447" spans="1:6" s="905" customFormat="1" x14ac:dyDescent="0.3">
      <c r="A2447" s="1052"/>
      <c r="B2447" s="965">
        <v>13</v>
      </c>
      <c r="C2447" s="1139">
        <v>0</v>
      </c>
      <c r="D2447" s="967"/>
      <c r="E2447" s="935">
        <v>2</v>
      </c>
      <c r="F2447" s="1720">
        <v>4282891.92</v>
      </c>
    </row>
    <row r="2448" spans="1:6" s="905" customFormat="1" x14ac:dyDescent="0.3">
      <c r="A2448" s="1052"/>
      <c r="B2448" s="965">
        <v>14</v>
      </c>
      <c r="C2448" s="1139">
        <v>0</v>
      </c>
      <c r="D2448" s="967"/>
      <c r="E2448" s="935">
        <v>6</v>
      </c>
      <c r="F2448" s="1360">
        <v>9027095.4000000004</v>
      </c>
    </row>
    <row r="2449" spans="1:6" s="905" customFormat="1" x14ac:dyDescent="0.3">
      <c r="A2449" s="1052"/>
      <c r="B2449" s="965">
        <v>15</v>
      </c>
      <c r="C2449" s="1139">
        <v>0</v>
      </c>
      <c r="D2449" s="967"/>
      <c r="E2449" s="935">
        <v>1</v>
      </c>
      <c r="F2449" s="1360">
        <v>4155120</v>
      </c>
    </row>
    <row r="2450" spans="1:6" s="905" customFormat="1" ht="21" thickBot="1" x14ac:dyDescent="0.35">
      <c r="A2450" s="1052"/>
      <c r="B2450" s="965">
        <v>16</v>
      </c>
      <c r="C2450" s="1139">
        <v>0</v>
      </c>
      <c r="D2450" s="967"/>
      <c r="E2450" s="935">
        <v>5</v>
      </c>
      <c r="F2450" s="1360">
        <v>22511302.98</v>
      </c>
    </row>
    <row r="2451" spans="1:6" s="905" customFormat="1" ht="21" thickBot="1" x14ac:dyDescent="0.35">
      <c r="A2451" s="1056" t="s">
        <v>189</v>
      </c>
      <c r="B2451" s="1057"/>
      <c r="C2451" s="1717">
        <f>SUM(C2447:C2450)</f>
        <v>0</v>
      </c>
      <c r="D2451" s="1717">
        <f t="shared" ref="D2451:E2451" si="80">SUM(D2447:D2450)</f>
        <v>0</v>
      </c>
      <c r="E2451" s="1718">
        <f t="shared" si="80"/>
        <v>14</v>
      </c>
      <c r="F2451" s="684">
        <f>SUM(F2447:F2450)</f>
        <v>39976410.299999997</v>
      </c>
    </row>
    <row r="2452" spans="1:6" s="905" customFormat="1" ht="21" thickBot="1" x14ac:dyDescent="0.35">
      <c r="A2452" s="1062" t="s">
        <v>190</v>
      </c>
      <c r="B2452" s="1063"/>
      <c r="C2452" s="1134">
        <f>C2451+C2446+C2440</f>
        <v>0</v>
      </c>
      <c r="D2452" s="1134">
        <f t="shared" ref="D2452:E2452" si="81">D2451+D2446+D2440</f>
        <v>0</v>
      </c>
      <c r="E2452" s="1064">
        <f t="shared" si="81"/>
        <v>47</v>
      </c>
      <c r="F2452" s="1721">
        <f>SUM(F2451,F2446,F2440)</f>
        <v>67949711.939999998</v>
      </c>
    </row>
    <row r="2453" spans="1:6" s="905" customFormat="1" x14ac:dyDescent="0.3">
      <c r="A2453" s="905" t="s">
        <v>1569</v>
      </c>
      <c r="B2453" s="965"/>
      <c r="C2453" s="1360">
        <v>0</v>
      </c>
      <c r="D2453" s="967"/>
      <c r="E2453" s="935">
        <v>1</v>
      </c>
      <c r="F2453" s="1360">
        <v>5575828.7999999998</v>
      </c>
    </row>
    <row r="2454" spans="1:6" s="905" customFormat="1" ht="21" thickBot="1" x14ac:dyDescent="0.35">
      <c r="A2454" s="905" t="s">
        <v>1749</v>
      </c>
      <c r="B2454" s="965"/>
      <c r="C2454" s="1360">
        <v>0</v>
      </c>
      <c r="D2454" s="967"/>
      <c r="E2454" s="935">
        <v>0</v>
      </c>
      <c r="F2454" s="1360">
        <v>0</v>
      </c>
    </row>
    <row r="2455" spans="1:6" s="906" customFormat="1" ht="21" thickBot="1" x14ac:dyDescent="0.35">
      <c r="A2455" s="1066" t="s">
        <v>117</v>
      </c>
      <c r="B2455" s="1057"/>
      <c r="C2455" s="684">
        <f>SUM(C2453:C2454)</f>
        <v>0</v>
      </c>
      <c r="D2455" s="684">
        <f t="shared" ref="D2455:E2455" si="82">SUM(D2453:D2454)</f>
        <v>0</v>
      </c>
      <c r="E2455" s="1718">
        <f t="shared" si="82"/>
        <v>1</v>
      </c>
      <c r="F2455" s="684">
        <f>SUM(F2453:F2454)</f>
        <v>5575828.7999999998</v>
      </c>
    </row>
    <row r="2456" spans="1:6" s="905" customFormat="1" ht="21" thickBot="1" x14ac:dyDescent="0.35">
      <c r="A2456" s="1140" t="s">
        <v>2897</v>
      </c>
      <c r="B2456" s="1057"/>
      <c r="C2456" s="1068">
        <f>SUM(C2452,C2455)</f>
        <v>0</v>
      </c>
      <c r="D2456" s="1068">
        <f t="shared" ref="D2456:E2456" si="83">SUM(D2452,D2455)</f>
        <v>0</v>
      </c>
      <c r="E2456" s="943">
        <f t="shared" si="83"/>
        <v>48</v>
      </c>
      <c r="F2456" s="684">
        <f>SUM(F2452,F2455)</f>
        <v>73525540.739999995</v>
      </c>
    </row>
    <row r="2457" spans="1:6" s="905" customFormat="1" x14ac:dyDescent="0.3">
      <c r="E2457" s="907"/>
    </row>
    <row r="2458" spans="1:6" s="1150" customFormat="1" ht="18.75" x14ac:dyDescent="0.3">
      <c r="A2458" s="3550" t="s">
        <v>183</v>
      </c>
      <c r="B2458" s="3550"/>
      <c r="C2458" s="3550"/>
      <c r="D2458" s="3550"/>
      <c r="E2458" s="3550"/>
      <c r="F2458" s="3550"/>
    </row>
    <row r="2459" spans="1:6" s="1150" customFormat="1" ht="19.5" thickBot="1" x14ac:dyDescent="0.35">
      <c r="A2459" s="3551" t="s">
        <v>2914</v>
      </c>
      <c r="B2459" s="3551"/>
      <c r="C2459" s="3551"/>
      <c r="D2459" s="3551"/>
      <c r="E2459" s="3551"/>
      <c r="F2459" s="3551"/>
    </row>
    <row r="2460" spans="1:6" s="906" customFormat="1" ht="41.25" thickBot="1" x14ac:dyDescent="0.35">
      <c r="A2460" s="1048" t="s">
        <v>185</v>
      </c>
      <c r="B2460" s="1049" t="s">
        <v>186</v>
      </c>
      <c r="C2460" s="1048" t="s">
        <v>1482</v>
      </c>
      <c r="D2460" s="1048" t="s">
        <v>1551</v>
      </c>
      <c r="E2460" s="922" t="s">
        <v>1129</v>
      </c>
      <c r="F2460" s="923" t="s">
        <v>3096</v>
      </c>
    </row>
    <row r="2461" spans="1:6" s="905" customFormat="1" x14ac:dyDescent="0.3">
      <c r="A2461" s="908"/>
      <c r="B2461" s="965"/>
      <c r="C2461" s="1655"/>
      <c r="D2461" s="1655"/>
      <c r="E2461" s="929"/>
      <c r="F2461" s="1766"/>
    </row>
    <row r="2462" spans="1:6" s="905" customFormat="1" x14ac:dyDescent="0.3">
      <c r="A2462" s="1052"/>
      <c r="B2462" s="965">
        <v>2</v>
      </c>
      <c r="C2462" s="1767">
        <v>82565236.120000005</v>
      </c>
      <c r="D2462" s="1767"/>
      <c r="E2462" s="935">
        <v>170</v>
      </c>
      <c r="F2462" s="1768">
        <v>81565236.120000005</v>
      </c>
    </row>
    <row r="2463" spans="1:6" s="905" customFormat="1" x14ac:dyDescent="0.3">
      <c r="A2463" s="1052"/>
      <c r="B2463" s="965">
        <v>3</v>
      </c>
      <c r="C2463" s="1767">
        <v>83073346.959999993</v>
      </c>
      <c r="D2463" s="1767"/>
      <c r="E2463" s="935">
        <v>149</v>
      </c>
      <c r="F2463" s="1768">
        <v>82073346.959999993</v>
      </c>
    </row>
    <row r="2464" spans="1:6" s="905" customFormat="1" x14ac:dyDescent="0.3">
      <c r="A2464" s="1052"/>
      <c r="B2464" s="965">
        <v>4</v>
      </c>
      <c r="C2464" s="1767">
        <v>297050344.68000001</v>
      </c>
      <c r="D2464" s="1767"/>
      <c r="E2464" s="935">
        <v>464</v>
      </c>
      <c r="F2464" s="1768">
        <v>297050344.68000001</v>
      </c>
    </row>
    <row r="2465" spans="1:6" s="905" customFormat="1" x14ac:dyDescent="0.3">
      <c r="A2465" s="1052"/>
      <c r="B2465" s="965">
        <v>5</v>
      </c>
      <c r="C2465" s="1767">
        <v>15796671.119999999</v>
      </c>
      <c r="D2465" s="1767"/>
      <c r="E2465" s="935">
        <v>26</v>
      </c>
      <c r="F2465" s="1768">
        <v>15796671.119999999</v>
      </c>
    </row>
    <row r="2466" spans="1:6" s="905" customFormat="1" ht="21" thickBot="1" x14ac:dyDescent="0.35">
      <c r="A2466" s="1052"/>
      <c r="B2466" s="965">
        <v>6</v>
      </c>
      <c r="C2466" s="1767">
        <v>43304523</v>
      </c>
      <c r="D2466" s="1767"/>
      <c r="E2466" s="935">
        <v>62</v>
      </c>
      <c r="F2466" s="1768">
        <v>43304523</v>
      </c>
    </row>
    <row r="2467" spans="1:6" s="905" customFormat="1" ht="21" thickBot="1" x14ac:dyDescent="0.35">
      <c r="A2467" s="1056" t="s">
        <v>187</v>
      </c>
      <c r="B2467" s="1057"/>
      <c r="C2467" s="1116">
        <f>SUM(C2461:C2466)</f>
        <v>521790121.88</v>
      </c>
      <c r="D2467" s="1116">
        <f>SUM(D2461:D2466)</f>
        <v>0</v>
      </c>
      <c r="E2467" s="1058">
        <f>SUM(E2461:E2466)</f>
        <v>871</v>
      </c>
      <c r="F2467" s="1116">
        <f>SUM(F2461:F2466)</f>
        <v>519790121.88</v>
      </c>
    </row>
    <row r="2468" spans="1:6" s="905" customFormat="1" x14ac:dyDescent="0.3">
      <c r="A2468" s="1052"/>
      <c r="B2468" s="965">
        <v>7</v>
      </c>
      <c r="C2468" s="1767">
        <v>395366999.27999997</v>
      </c>
      <c r="D2468" s="1767"/>
      <c r="E2468" s="935">
        <v>432</v>
      </c>
      <c r="F2468" s="1768">
        <v>395366999.25</v>
      </c>
    </row>
    <row r="2469" spans="1:6" s="905" customFormat="1" x14ac:dyDescent="0.3">
      <c r="A2469" s="1052"/>
      <c r="B2469" s="965">
        <v>8</v>
      </c>
      <c r="C2469" s="1767">
        <v>627731210.15999997</v>
      </c>
      <c r="D2469" s="1767"/>
      <c r="E2469" s="935">
        <v>489</v>
      </c>
      <c r="F2469" s="1768">
        <v>627731210.15999997</v>
      </c>
    </row>
    <row r="2470" spans="1:6" s="905" customFormat="1" x14ac:dyDescent="0.3">
      <c r="A2470" s="1052"/>
      <c r="B2470" s="965">
        <v>9</v>
      </c>
      <c r="C2470" s="1767">
        <v>700981973.36000001</v>
      </c>
      <c r="D2470" s="1767"/>
      <c r="E2470" s="935">
        <v>330</v>
      </c>
      <c r="F2470" s="1768">
        <v>500981973.36000001</v>
      </c>
    </row>
    <row r="2471" spans="1:6" s="905" customFormat="1" x14ac:dyDescent="0.3">
      <c r="A2471" s="1052"/>
      <c r="B2471" s="965">
        <v>11</v>
      </c>
      <c r="C2471" s="1767">
        <v>585277466.27999997</v>
      </c>
      <c r="D2471" s="1767"/>
      <c r="E2471" s="935">
        <v>306</v>
      </c>
      <c r="F2471" s="1768">
        <v>585277466.27999997</v>
      </c>
    </row>
    <row r="2472" spans="1:6" s="905" customFormat="1" ht="21" thickBot="1" x14ac:dyDescent="0.35">
      <c r="A2472" s="1052"/>
      <c r="B2472" s="965">
        <v>12</v>
      </c>
      <c r="C2472" s="1767">
        <v>852574412.88</v>
      </c>
      <c r="D2472" s="1767"/>
      <c r="E2472" s="935">
        <v>352</v>
      </c>
      <c r="F2472" s="1768">
        <v>852574412.88</v>
      </c>
    </row>
    <row r="2473" spans="1:6" s="905" customFormat="1" ht="21" thickBot="1" x14ac:dyDescent="0.35">
      <c r="A2473" s="1056" t="s">
        <v>188</v>
      </c>
      <c r="B2473" s="1057"/>
      <c r="C2473" s="1116">
        <f>SUM(C2468:C2472)</f>
        <v>3161932061.96</v>
      </c>
      <c r="D2473" s="1116">
        <f>SUM(D2468:D2472)</f>
        <v>0</v>
      </c>
      <c r="E2473" s="1058">
        <f>SUM(E2468:E2472)</f>
        <v>1909</v>
      </c>
      <c r="F2473" s="1116">
        <f>SUM(F2468:F2472)</f>
        <v>2961932061.9299998</v>
      </c>
    </row>
    <row r="2474" spans="1:6" s="905" customFormat="1" x14ac:dyDescent="0.3">
      <c r="A2474" s="1052"/>
      <c r="B2474" s="965">
        <v>13</v>
      </c>
      <c r="C2474" s="1660">
        <v>779099064.44000006</v>
      </c>
      <c r="D2474" s="1660"/>
      <c r="E2474" s="935">
        <v>211</v>
      </c>
      <c r="F2474" s="1657">
        <v>579099064.44000006</v>
      </c>
    </row>
    <row r="2475" spans="1:6" s="905" customFormat="1" x14ac:dyDescent="0.3">
      <c r="A2475" s="1052"/>
      <c r="B2475" s="965">
        <v>14</v>
      </c>
      <c r="C2475" s="1660">
        <v>808423382.75999999</v>
      </c>
      <c r="D2475" s="1660"/>
      <c r="E2475" s="935">
        <v>239</v>
      </c>
      <c r="F2475" s="1657">
        <v>808423382.75999999</v>
      </c>
    </row>
    <row r="2476" spans="1:6" s="905" customFormat="1" x14ac:dyDescent="0.3">
      <c r="A2476" s="1052"/>
      <c r="B2476" s="965">
        <v>15</v>
      </c>
      <c r="C2476" s="1660">
        <v>584552500</v>
      </c>
      <c r="D2476" s="1660"/>
      <c r="E2476" s="935">
        <v>73</v>
      </c>
      <c r="F2476" s="1657">
        <v>461936836.44</v>
      </c>
    </row>
    <row r="2477" spans="1:6" s="905" customFormat="1" x14ac:dyDescent="0.3">
      <c r="A2477" s="1052"/>
      <c r="B2477" s="965">
        <v>16</v>
      </c>
      <c r="C2477" s="1660">
        <v>282318876</v>
      </c>
      <c r="D2477" s="1660"/>
      <c r="E2477" s="935">
        <v>33</v>
      </c>
      <c r="F2477" s="1657">
        <v>252282258.80000001</v>
      </c>
    </row>
    <row r="2478" spans="1:6" s="905" customFormat="1" ht="21" thickBot="1" x14ac:dyDescent="0.35">
      <c r="A2478" s="1052"/>
      <c r="B2478" s="965">
        <v>17</v>
      </c>
      <c r="C2478" s="1660">
        <v>269963382.72000003</v>
      </c>
      <c r="D2478" s="1660"/>
      <c r="E2478" s="935">
        <v>21</v>
      </c>
      <c r="F2478" s="1657">
        <v>269963382.72000003</v>
      </c>
    </row>
    <row r="2479" spans="1:6" s="905" customFormat="1" ht="21" thickBot="1" x14ac:dyDescent="0.35">
      <c r="A2479" s="1056" t="s">
        <v>189</v>
      </c>
      <c r="B2479" s="1057"/>
      <c r="C2479" s="1116">
        <f>SUM(C2474:C2478)</f>
        <v>2724357205.9200001</v>
      </c>
      <c r="D2479" s="1116">
        <f>SUM(D2474:D2478)</f>
        <v>0</v>
      </c>
      <c r="E2479" s="1058">
        <f>SUM(E2474:E2478)</f>
        <v>577</v>
      </c>
      <c r="F2479" s="1116">
        <f>SUM(F2474:F2478)</f>
        <v>2371704925.1599998</v>
      </c>
    </row>
    <row r="2480" spans="1:6" s="905" customFormat="1" ht="21" thickBot="1" x14ac:dyDescent="0.35">
      <c r="A2480" s="1056" t="s">
        <v>190</v>
      </c>
      <c r="B2480" s="1057"/>
      <c r="C2480" s="1338">
        <f>C2479+C2473+C2467</f>
        <v>6408079389.7600002</v>
      </c>
      <c r="D2480" s="1769">
        <v>4190331147.1900001</v>
      </c>
      <c r="E2480" s="943">
        <f>E2479+E2473+E2467</f>
        <v>3357</v>
      </c>
      <c r="F2480" s="1116">
        <f>F2479+F2473+F2467</f>
        <v>5853427108.9700003</v>
      </c>
    </row>
    <row r="2481" spans="1:6" s="905" customFormat="1" x14ac:dyDescent="0.3">
      <c r="A2481" s="1152" t="s">
        <v>2935</v>
      </c>
      <c r="B2481" s="1373"/>
      <c r="C2481" s="1319"/>
      <c r="D2481" s="1770"/>
      <c r="E2481" s="1164"/>
      <c r="F2481" s="1771">
        <v>43200000</v>
      </c>
    </row>
    <row r="2482" spans="1:6" s="905" customFormat="1" x14ac:dyDescent="0.3">
      <c r="A2482" s="1154" t="s">
        <v>2936</v>
      </c>
      <c r="B2482" s="1069"/>
      <c r="C2482" s="1772"/>
      <c r="D2482" s="1773"/>
      <c r="E2482" s="1774"/>
      <c r="F2482" s="1775">
        <v>170000000</v>
      </c>
    </row>
    <row r="2483" spans="1:6" s="905" customFormat="1" x14ac:dyDescent="0.3">
      <c r="A2483" s="1154" t="s">
        <v>2937</v>
      </c>
      <c r="B2483" s="1069"/>
      <c r="C2483" s="1772"/>
      <c r="D2483" s="1773"/>
      <c r="E2483" s="1774"/>
      <c r="F2483" s="1775">
        <v>311452281</v>
      </c>
    </row>
    <row r="2484" spans="1:6" s="905" customFormat="1" ht="21" thickBot="1" x14ac:dyDescent="0.35">
      <c r="A2484" s="1331" t="s">
        <v>2938</v>
      </c>
      <c r="B2484" s="1063"/>
      <c r="C2484" s="1134"/>
      <c r="D2484" s="1776"/>
      <c r="E2484" s="1064"/>
      <c r="F2484" s="1777">
        <v>30000000</v>
      </c>
    </row>
    <row r="2485" spans="1:6" s="905" customFormat="1" ht="21" thickBot="1" x14ac:dyDescent="0.35">
      <c r="A2485" s="1066" t="s">
        <v>117</v>
      </c>
      <c r="B2485" s="1654"/>
      <c r="C2485" s="961"/>
      <c r="D2485" s="1778"/>
      <c r="E2485" s="1117"/>
      <c r="F2485" s="961">
        <f>SUM(F2481:F2484)</f>
        <v>554652281</v>
      </c>
    </row>
    <row r="2486" spans="1:6" s="905" customFormat="1" ht="21" thickBot="1" x14ac:dyDescent="0.35">
      <c r="A2486" s="1140" t="s">
        <v>1902</v>
      </c>
      <c r="B2486" s="1057"/>
      <c r="C2486" s="1116">
        <f>SUM(C2480,C2485)</f>
        <v>6408079389.7600002</v>
      </c>
      <c r="D2486" s="1769">
        <f>SUM(D2480,D2485)</f>
        <v>4190331147.1900001</v>
      </c>
      <c r="E2486" s="1058">
        <f>SUM(E2480,E2485)</f>
        <v>3357</v>
      </c>
      <c r="F2486" s="1116">
        <f>SUM(F2480,F2485)</f>
        <v>6408079389.9700003</v>
      </c>
    </row>
    <row r="2487" spans="1:6" s="905" customFormat="1" x14ac:dyDescent="0.3">
      <c r="A2487" s="1584"/>
      <c r="B2487" s="1069"/>
      <c r="C2487" s="1779"/>
      <c r="D2487" s="903"/>
      <c r="E2487" s="1779"/>
      <c r="F2487" s="1651"/>
    </row>
    <row r="2488" spans="1:6" s="905" customFormat="1" x14ac:dyDescent="0.3">
      <c r="A2488" s="3543" t="s">
        <v>183</v>
      </c>
      <c r="B2488" s="3543"/>
      <c r="C2488" s="3543"/>
      <c r="D2488" s="3543"/>
      <c r="E2488" s="3543"/>
      <c r="F2488" s="3543"/>
    </row>
    <row r="2489" spans="1:6" s="905" customFormat="1" ht="21" thickBot="1" x14ac:dyDescent="0.35">
      <c r="A2489" s="3544" t="s">
        <v>2913</v>
      </c>
      <c r="B2489" s="3544"/>
      <c r="C2489" s="3544"/>
      <c r="D2489" s="3544"/>
      <c r="E2489" s="3544"/>
      <c r="F2489" s="3544"/>
    </row>
    <row r="2490" spans="1:6" s="906" customFormat="1" ht="41.25" thickBot="1" x14ac:dyDescent="0.35">
      <c r="A2490" s="1712" t="s">
        <v>185</v>
      </c>
      <c r="B2490" s="1713" t="s">
        <v>186</v>
      </c>
      <c r="C2490" s="1712" t="s">
        <v>1482</v>
      </c>
      <c r="D2490" s="1714" t="s">
        <v>1667</v>
      </c>
      <c r="E2490" s="1715" t="s">
        <v>1129</v>
      </c>
      <c r="F2490" s="1716" t="s">
        <v>2883</v>
      </c>
    </row>
    <row r="2491" spans="1:6" s="905" customFormat="1" x14ac:dyDescent="0.3">
      <c r="A2491" s="908"/>
      <c r="B2491" s="965">
        <v>1</v>
      </c>
      <c r="C2491" s="908">
        <v>0</v>
      </c>
      <c r="D2491" s="1389">
        <v>0</v>
      </c>
      <c r="E2491" s="929">
        <v>0</v>
      </c>
      <c r="F2491" s="1360">
        <v>0</v>
      </c>
    </row>
    <row r="2492" spans="1:6" s="905" customFormat="1" x14ac:dyDescent="0.3">
      <c r="A2492" s="1052"/>
      <c r="B2492" s="965">
        <v>2</v>
      </c>
      <c r="C2492" s="1139">
        <v>0</v>
      </c>
      <c r="D2492" s="967">
        <v>0</v>
      </c>
      <c r="E2492" s="935">
        <v>0</v>
      </c>
      <c r="F2492" s="1360">
        <v>0</v>
      </c>
    </row>
    <row r="2493" spans="1:6" s="905" customFormat="1" x14ac:dyDescent="0.3">
      <c r="A2493" s="1052"/>
      <c r="B2493" s="965">
        <v>3</v>
      </c>
      <c r="C2493" s="1139">
        <v>0</v>
      </c>
      <c r="D2493" s="967">
        <v>0</v>
      </c>
      <c r="E2493" s="935">
        <v>0</v>
      </c>
      <c r="F2493" s="1360">
        <v>0</v>
      </c>
    </row>
    <row r="2494" spans="1:6" s="905" customFormat="1" x14ac:dyDescent="0.3">
      <c r="A2494" s="1052"/>
      <c r="B2494" s="965">
        <v>4</v>
      </c>
      <c r="C2494" s="1139">
        <v>2066355</v>
      </c>
      <c r="D2494" s="1131">
        <v>1549766</v>
      </c>
      <c r="E2494" s="935">
        <v>3</v>
      </c>
      <c r="F2494" s="1360">
        <v>2066355</v>
      </c>
    </row>
    <row r="2495" spans="1:6" s="905" customFormat="1" x14ac:dyDescent="0.3">
      <c r="A2495" s="1052"/>
      <c r="B2495" s="965">
        <v>5</v>
      </c>
      <c r="C2495" s="1139">
        <v>0</v>
      </c>
      <c r="D2495" s="967">
        <v>0</v>
      </c>
      <c r="E2495" s="935">
        <v>0</v>
      </c>
      <c r="F2495" s="1360">
        <v>0</v>
      </c>
    </row>
    <row r="2496" spans="1:6" s="905" customFormat="1" ht="21" thickBot="1" x14ac:dyDescent="0.35">
      <c r="A2496" s="1052"/>
      <c r="B2496" s="965">
        <v>6</v>
      </c>
      <c r="C2496" s="1139">
        <v>1260890</v>
      </c>
      <c r="D2496" s="1131">
        <v>945667</v>
      </c>
      <c r="E2496" s="935">
        <v>2</v>
      </c>
      <c r="F2496" s="1360">
        <v>1323934</v>
      </c>
    </row>
    <row r="2497" spans="1:6" s="905" customFormat="1" ht="21" thickBot="1" x14ac:dyDescent="0.35">
      <c r="A2497" s="1056" t="s">
        <v>187</v>
      </c>
      <c r="B2497" s="1057"/>
      <c r="C2497" s="1717">
        <f>SUM(C2491:C2496)</f>
        <v>3327245</v>
      </c>
      <c r="D2497" s="1717">
        <f t="shared" ref="D2497:E2497" si="84">SUM(D2491:D2496)</f>
        <v>2495433</v>
      </c>
      <c r="E2497" s="1718">
        <f t="shared" si="84"/>
        <v>5</v>
      </c>
      <c r="F2497" s="684">
        <f>SUM(F2491:F2496)</f>
        <v>3390289</v>
      </c>
    </row>
    <row r="2498" spans="1:6" s="905" customFormat="1" x14ac:dyDescent="0.3">
      <c r="A2498" s="1052"/>
      <c r="B2498" s="965">
        <v>7</v>
      </c>
      <c r="C2498" s="1139">
        <v>0</v>
      </c>
      <c r="D2498" s="967"/>
      <c r="E2498" s="935">
        <v>0</v>
      </c>
      <c r="F2498" s="1360">
        <v>0</v>
      </c>
    </row>
    <row r="2499" spans="1:6" s="905" customFormat="1" x14ac:dyDescent="0.3">
      <c r="A2499" s="1052"/>
      <c r="B2499" s="965">
        <v>8</v>
      </c>
      <c r="C2499" s="1139">
        <v>0</v>
      </c>
      <c r="D2499" s="967"/>
      <c r="E2499" s="935">
        <v>0</v>
      </c>
      <c r="F2499" s="1360">
        <v>0</v>
      </c>
    </row>
    <row r="2500" spans="1:6" s="905" customFormat="1" x14ac:dyDescent="0.3">
      <c r="A2500" s="1052"/>
      <c r="B2500" s="965">
        <v>9</v>
      </c>
      <c r="C2500" s="1139">
        <v>0</v>
      </c>
      <c r="D2500" s="967"/>
      <c r="E2500" s="935">
        <v>0</v>
      </c>
      <c r="F2500" s="1360">
        <v>0</v>
      </c>
    </row>
    <row r="2501" spans="1:6" s="905" customFormat="1" x14ac:dyDescent="0.3">
      <c r="A2501" s="1052"/>
      <c r="B2501" s="965">
        <v>10</v>
      </c>
      <c r="C2501" s="1139">
        <v>0</v>
      </c>
      <c r="D2501" s="967"/>
      <c r="E2501" s="935">
        <v>1</v>
      </c>
      <c r="F2501" s="1360">
        <v>0</v>
      </c>
    </row>
    <row r="2502" spans="1:6" s="905" customFormat="1" ht="21" thickBot="1" x14ac:dyDescent="0.35">
      <c r="A2502" s="1052"/>
      <c r="B2502" s="965">
        <v>12</v>
      </c>
      <c r="C2502" s="1139">
        <v>3235868</v>
      </c>
      <c r="D2502" s="1131">
        <v>2426901</v>
      </c>
      <c r="E2502" s="935">
        <v>3</v>
      </c>
      <c r="F2502" s="1719">
        <v>3397661</v>
      </c>
    </row>
    <row r="2503" spans="1:6" s="905" customFormat="1" ht="21" thickBot="1" x14ac:dyDescent="0.35">
      <c r="A2503" s="1056" t="s">
        <v>188</v>
      </c>
      <c r="B2503" s="1057"/>
      <c r="C2503" s="1717">
        <f>SUM(C2498:C2502)</f>
        <v>3235868</v>
      </c>
      <c r="D2503" s="1717">
        <f t="shared" ref="D2503:E2503" si="85">SUM(D2498:D2502)</f>
        <v>2426901</v>
      </c>
      <c r="E2503" s="1718">
        <f t="shared" si="85"/>
        <v>4</v>
      </c>
      <c r="F2503" s="684">
        <f>SUM(F2498:F2502)</f>
        <v>3397661</v>
      </c>
    </row>
    <row r="2504" spans="1:6" s="905" customFormat="1" x14ac:dyDescent="0.3">
      <c r="A2504" s="1052"/>
      <c r="B2504" s="965">
        <v>13</v>
      </c>
      <c r="C2504" s="1139">
        <v>1197085</v>
      </c>
      <c r="D2504" s="1131">
        <v>897814</v>
      </c>
      <c r="E2504" s="935">
        <v>2</v>
      </c>
      <c r="F2504" s="1720">
        <v>1256939</v>
      </c>
    </row>
    <row r="2505" spans="1:6" s="905" customFormat="1" x14ac:dyDescent="0.3">
      <c r="A2505" s="1052"/>
      <c r="B2505" s="965">
        <v>14</v>
      </c>
      <c r="C2505" s="918">
        <f>1923601+1705660</f>
        <v>3629261</v>
      </c>
      <c r="D2505" s="1131">
        <v>7442701</v>
      </c>
      <c r="E2505" s="935">
        <v>3</v>
      </c>
      <c r="F2505" s="1360">
        <v>10419781</v>
      </c>
    </row>
    <row r="2506" spans="1:6" s="905" customFormat="1" x14ac:dyDescent="0.3">
      <c r="A2506" s="1052"/>
      <c r="B2506" s="965">
        <v>15</v>
      </c>
      <c r="C2506" s="1139">
        <v>5971501</v>
      </c>
      <c r="D2506" s="1131">
        <v>4478626</v>
      </c>
      <c r="E2506" s="935">
        <v>2</v>
      </c>
      <c r="F2506" s="1360">
        <v>6270076</v>
      </c>
    </row>
    <row r="2507" spans="1:6" s="905" customFormat="1" x14ac:dyDescent="0.3">
      <c r="A2507" s="1052"/>
      <c r="B2507" s="965">
        <v>16</v>
      </c>
      <c r="C2507" s="1139">
        <v>11306838</v>
      </c>
      <c r="D2507" s="1131">
        <v>9230129</v>
      </c>
      <c r="E2507" s="935">
        <v>3</v>
      </c>
      <c r="F2507" s="1360">
        <v>12922180</v>
      </c>
    </row>
    <row r="2508" spans="1:6" s="905" customFormat="1" ht="21" thickBot="1" x14ac:dyDescent="0.35">
      <c r="A2508" s="1052"/>
      <c r="B2508" s="965">
        <v>17</v>
      </c>
      <c r="C2508" s="1139">
        <v>24081652</v>
      </c>
      <c r="D2508" s="1131">
        <v>19561239</v>
      </c>
      <c r="E2508" s="935">
        <v>2</v>
      </c>
      <c r="F2508" s="1360">
        <v>27385735</v>
      </c>
    </row>
    <row r="2509" spans="1:6" s="905" customFormat="1" ht="21" thickBot="1" x14ac:dyDescent="0.35">
      <c r="A2509" s="1056" t="s">
        <v>214</v>
      </c>
      <c r="B2509" s="1057">
        <v>12</v>
      </c>
      <c r="C2509" s="1717">
        <f>SUM(C2504:C2508)</f>
        <v>46186337</v>
      </c>
      <c r="D2509" s="1717">
        <f>SUM(D2504:D2508)</f>
        <v>41610509</v>
      </c>
      <c r="E2509" s="1718">
        <f>SUM(E2504:E2508)</f>
        <v>12</v>
      </c>
      <c r="F2509" s="684">
        <f>SUM(F2504:F2508)</f>
        <v>58254711</v>
      </c>
    </row>
    <row r="2510" spans="1:6" s="905" customFormat="1" ht="21" thickBot="1" x14ac:dyDescent="0.35">
      <c r="A2510" s="1062" t="s">
        <v>190</v>
      </c>
      <c r="B2510" s="1063"/>
      <c r="C2510" s="1134">
        <f>C2509+C2503+C2497</f>
        <v>52749450</v>
      </c>
      <c r="D2510" s="1134">
        <f>D2509+D2503+D2497</f>
        <v>46532843</v>
      </c>
      <c r="E2510" s="1064">
        <f>E2509+E2503+E2497</f>
        <v>21</v>
      </c>
      <c r="F2510" s="1721">
        <f>SUM(F2509,F2503,F2497)</f>
        <v>65042661</v>
      </c>
    </row>
    <row r="2511" spans="1:6" s="905" customFormat="1" x14ac:dyDescent="0.3">
      <c r="A2511" s="905" t="s">
        <v>1569</v>
      </c>
      <c r="B2511" s="965"/>
      <c r="C2511" s="1360">
        <v>0</v>
      </c>
      <c r="D2511" s="967"/>
      <c r="E2511" s="935">
        <v>0</v>
      </c>
      <c r="F2511" s="1360">
        <v>0</v>
      </c>
    </row>
    <row r="2512" spans="1:6" s="905" customFormat="1" ht="21" thickBot="1" x14ac:dyDescent="0.35">
      <c r="A2512" s="905" t="s">
        <v>1749</v>
      </c>
      <c r="B2512" s="965"/>
      <c r="C2512" s="1360">
        <v>0</v>
      </c>
      <c r="D2512" s="967"/>
      <c r="E2512" s="935">
        <v>0</v>
      </c>
      <c r="F2512" s="1360">
        <v>0</v>
      </c>
    </row>
    <row r="2513" spans="1:6" s="905" customFormat="1" ht="21" thickBot="1" x14ac:dyDescent="0.35">
      <c r="A2513" s="1066" t="s">
        <v>117</v>
      </c>
      <c r="B2513" s="1654"/>
      <c r="C2513" s="1732">
        <f>SUM(C2511:C2512)</f>
        <v>0</v>
      </c>
      <c r="D2513" s="1732">
        <f t="shared" ref="D2513:E2513" si="86">SUM(D2511:D2512)</f>
        <v>0</v>
      </c>
      <c r="E2513" s="1733">
        <f t="shared" si="86"/>
        <v>0</v>
      </c>
      <c r="F2513" s="1732">
        <f>SUM(F2511:F2512)</f>
        <v>0</v>
      </c>
    </row>
    <row r="2514" spans="1:6" s="905" customFormat="1" ht="21" thickBot="1" x14ac:dyDescent="0.35">
      <c r="A2514" s="1140" t="s">
        <v>1919</v>
      </c>
      <c r="B2514" s="1057"/>
      <c r="C2514" s="1068">
        <f>SUM(C2510,C2513)</f>
        <v>52749450</v>
      </c>
      <c r="D2514" s="1068">
        <f>SUM(D2510,D2513)</f>
        <v>46532843</v>
      </c>
      <c r="E2514" s="943">
        <f>SUM(E2510,E2513)</f>
        <v>21</v>
      </c>
      <c r="F2514" s="684">
        <f>SUM(F2510,F2513)</f>
        <v>65042661</v>
      </c>
    </row>
    <row r="2515" spans="1:6" s="905" customFormat="1" x14ac:dyDescent="0.3">
      <c r="C2515" s="911"/>
      <c r="E2515" s="907"/>
    </row>
    <row r="2516" spans="1:6" x14ac:dyDescent="0.2">
      <c r="A2516" s="3545" t="s">
        <v>183</v>
      </c>
      <c r="B2516" s="3545"/>
      <c r="C2516" s="3545"/>
      <c r="D2516" s="3545"/>
      <c r="E2516" s="3545"/>
      <c r="F2516" s="3545"/>
    </row>
    <row r="2517" spans="1:6" ht="21" thickBot="1" x14ac:dyDescent="0.25">
      <c r="A2517" s="3546" t="s">
        <v>1060</v>
      </c>
      <c r="B2517" s="3546"/>
      <c r="C2517" s="3546"/>
      <c r="D2517" s="3546"/>
      <c r="E2517" s="3546"/>
      <c r="F2517" s="3546"/>
    </row>
    <row r="2518" spans="1:6" ht="41.25" thickBot="1" x14ac:dyDescent="0.25">
      <c r="A2518" s="920" t="s">
        <v>185</v>
      </c>
      <c r="B2518" s="921" t="s">
        <v>186</v>
      </c>
      <c r="C2518" s="922" t="s">
        <v>564</v>
      </c>
      <c r="D2518" s="923" t="s">
        <v>1128</v>
      </c>
      <c r="E2518" s="922" t="s">
        <v>1129</v>
      </c>
      <c r="F2518" s="923" t="s">
        <v>3096</v>
      </c>
    </row>
    <row r="2519" spans="1:6" s="988" customFormat="1" x14ac:dyDescent="0.3">
      <c r="A2519" s="925"/>
      <c r="B2519" s="932">
        <v>1</v>
      </c>
      <c r="C2519" s="927" t="s">
        <v>179</v>
      </c>
      <c r="D2519" s="989" t="s">
        <v>179</v>
      </c>
      <c r="E2519" s="929">
        <v>14</v>
      </c>
      <c r="F2519" s="958">
        <v>3381400</v>
      </c>
    </row>
    <row r="2520" spans="1:6" x14ac:dyDescent="0.3">
      <c r="A2520" s="931"/>
      <c r="B2520" s="932">
        <v>2</v>
      </c>
      <c r="C2520" s="933"/>
      <c r="E2520" s="935">
        <v>4</v>
      </c>
      <c r="F2520" s="958">
        <v>1000900</v>
      </c>
    </row>
    <row r="2521" spans="1:6" x14ac:dyDescent="0.3">
      <c r="A2521" s="931"/>
      <c r="B2521" s="932">
        <v>3</v>
      </c>
      <c r="C2521" s="933"/>
      <c r="E2521" s="935">
        <v>22</v>
      </c>
      <c r="F2521" s="958">
        <v>5683200</v>
      </c>
    </row>
    <row r="2522" spans="1:6" x14ac:dyDescent="0.3">
      <c r="A2522" s="931"/>
      <c r="B2522" s="932">
        <v>4</v>
      </c>
      <c r="C2522" s="933"/>
      <c r="E2522" s="935">
        <v>0</v>
      </c>
      <c r="F2522" s="958"/>
    </row>
    <row r="2523" spans="1:6" x14ac:dyDescent="0.3">
      <c r="A2523" s="931"/>
      <c r="B2523" s="932">
        <v>5</v>
      </c>
      <c r="C2523" s="933"/>
      <c r="E2523" s="935">
        <v>2</v>
      </c>
      <c r="F2523" s="958">
        <v>595000</v>
      </c>
    </row>
    <row r="2524" spans="1:6" ht="21" thickBot="1" x14ac:dyDescent="0.35">
      <c r="A2524" s="931"/>
      <c r="B2524" s="932">
        <v>6</v>
      </c>
      <c r="C2524" s="933"/>
      <c r="E2524" s="935">
        <v>4</v>
      </c>
      <c r="F2524" s="958">
        <v>1443000</v>
      </c>
    </row>
    <row r="2525" spans="1:6" ht="21" thickBot="1" x14ac:dyDescent="0.35">
      <c r="A2525" s="937" t="s">
        <v>187</v>
      </c>
      <c r="B2525" s="938"/>
      <c r="C2525" s="939">
        <f>SUM(C2519:C2524)</f>
        <v>0</v>
      </c>
      <c r="D2525" s="940">
        <f>SUM(D2519:D2524)</f>
        <v>0</v>
      </c>
      <c r="E2525" s="943">
        <f t="shared" ref="E2525" si="87">SUM(E2519:E2524)</f>
        <v>46</v>
      </c>
      <c r="F2525" s="961">
        <f>SUM(F2519:F2524)</f>
        <v>12103500</v>
      </c>
    </row>
    <row r="2526" spans="1:6" x14ac:dyDescent="0.3">
      <c r="A2526" s="931"/>
      <c r="B2526" s="932">
        <v>7</v>
      </c>
      <c r="C2526" s="933"/>
      <c r="E2526" s="935">
        <v>4</v>
      </c>
      <c r="F2526" s="958">
        <v>1932000</v>
      </c>
    </row>
    <row r="2527" spans="1:6" x14ac:dyDescent="0.3">
      <c r="A2527" s="931"/>
      <c r="B2527" s="932">
        <v>8</v>
      </c>
      <c r="C2527" s="933"/>
      <c r="E2527" s="935">
        <v>2</v>
      </c>
      <c r="F2527" s="958">
        <v>1238900</v>
      </c>
    </row>
    <row r="2528" spans="1:6" x14ac:dyDescent="0.3">
      <c r="A2528" s="931"/>
      <c r="B2528" s="932">
        <v>9</v>
      </c>
      <c r="C2528" s="933"/>
      <c r="E2528" s="935"/>
      <c r="F2528" s="958"/>
    </row>
    <row r="2529" spans="1:6" x14ac:dyDescent="0.3">
      <c r="A2529" s="931"/>
      <c r="B2529" s="932">
        <v>10</v>
      </c>
      <c r="C2529" s="933"/>
      <c r="E2529" s="935"/>
      <c r="F2529" s="958"/>
    </row>
    <row r="2530" spans="1:6" ht="21" thickBot="1" x14ac:dyDescent="0.35">
      <c r="A2530" s="931"/>
      <c r="B2530" s="932">
        <v>12</v>
      </c>
      <c r="C2530" s="933"/>
      <c r="E2530" s="935"/>
      <c r="F2530" s="958"/>
    </row>
    <row r="2531" spans="1:6" ht="21" thickBot="1" x14ac:dyDescent="0.35">
      <c r="A2531" s="937" t="s">
        <v>188</v>
      </c>
      <c r="B2531" s="938"/>
      <c r="C2531" s="939">
        <f>SUM(C2526:C2530)</f>
        <v>0</v>
      </c>
      <c r="D2531" s="940">
        <f>SUM(D2526:D2530)</f>
        <v>0</v>
      </c>
      <c r="E2531" s="943">
        <f t="shared" ref="E2531" si="88">SUM(E2526:E2530)</f>
        <v>6</v>
      </c>
      <c r="F2531" s="961">
        <f>SUM(F2526:F2530)</f>
        <v>3170900</v>
      </c>
    </row>
    <row r="2532" spans="1:6" x14ac:dyDescent="0.3">
      <c r="A2532" s="931"/>
      <c r="B2532" s="932">
        <v>13</v>
      </c>
      <c r="C2532" s="933"/>
      <c r="E2532" s="935"/>
      <c r="F2532" s="958"/>
    </row>
    <row r="2533" spans="1:6" x14ac:dyDescent="0.3">
      <c r="A2533" s="931"/>
      <c r="B2533" s="932">
        <v>14</v>
      </c>
      <c r="C2533" s="933"/>
      <c r="E2533" s="935"/>
      <c r="F2533" s="958"/>
    </row>
    <row r="2534" spans="1:6" x14ac:dyDescent="0.3">
      <c r="A2534" s="931"/>
      <c r="B2534" s="932">
        <v>15</v>
      </c>
      <c r="C2534" s="933"/>
      <c r="E2534" s="935"/>
      <c r="F2534" s="958"/>
    </row>
    <row r="2535" spans="1:6" ht="21" thickBot="1" x14ac:dyDescent="0.35">
      <c r="A2535" s="931"/>
      <c r="B2535" s="932">
        <v>16</v>
      </c>
      <c r="C2535" s="933"/>
      <c r="E2535" s="935"/>
      <c r="F2535" s="958"/>
    </row>
    <row r="2536" spans="1:6" ht="21" thickBot="1" x14ac:dyDescent="0.35">
      <c r="A2536" s="937" t="s">
        <v>189</v>
      </c>
      <c r="B2536" s="938"/>
      <c r="C2536" s="939">
        <f>SUM(C2532:C2535)</f>
        <v>0</v>
      </c>
      <c r="D2536" s="940">
        <f>SUM(D2532:D2535)</f>
        <v>0</v>
      </c>
      <c r="E2536" s="943">
        <f t="shared" ref="E2536" si="89">SUM(E2532:E2535)</f>
        <v>0</v>
      </c>
      <c r="F2536" s="961">
        <f>SUM(F2532:F2535)</f>
        <v>0</v>
      </c>
    </row>
    <row r="2537" spans="1:6" ht="21" thickBot="1" x14ac:dyDescent="0.35">
      <c r="A2537" s="990" t="s">
        <v>190</v>
      </c>
      <c r="B2537" s="991"/>
      <c r="C2537" s="992">
        <f>SUM(C2536,C2531,C2525)</f>
        <v>0</v>
      </c>
      <c r="D2537" s="969">
        <f>SUM(D2536,D2531,D2525)</f>
        <v>0</v>
      </c>
      <c r="E2537" s="1064">
        <f t="shared" ref="E2537" si="90">SUM(E2536,E2531,E2525)</f>
        <v>52</v>
      </c>
      <c r="F2537" s="1065">
        <f>SUM(F2536,F2531,F2525)</f>
        <v>15274400</v>
      </c>
    </row>
    <row r="2538" spans="1:6" x14ac:dyDescent="0.2">
      <c r="A2538" s="919" t="s">
        <v>200</v>
      </c>
      <c r="C2538" s="1088">
        <v>1</v>
      </c>
      <c r="D2538" s="1089">
        <v>1250110</v>
      </c>
      <c r="E2538" s="1088">
        <v>1</v>
      </c>
      <c r="F2538" s="1780">
        <v>1250110</v>
      </c>
    </row>
    <row r="2539" spans="1:6" ht="21" thickBot="1" x14ac:dyDescent="0.25">
      <c r="A2539" s="919" t="s">
        <v>201</v>
      </c>
      <c r="C2539" s="1088"/>
      <c r="D2539" s="1089">
        <v>4479705</v>
      </c>
      <c r="E2539" s="1088"/>
      <c r="F2539" s="1447">
        <v>4479705</v>
      </c>
    </row>
    <row r="2540" spans="1:6" ht="21" thickBot="1" x14ac:dyDescent="0.35">
      <c r="A2540" s="950" t="s">
        <v>117</v>
      </c>
      <c r="B2540" s="1077"/>
      <c r="C2540" s="1351">
        <f>SUM(C2538:C2539)</f>
        <v>1</v>
      </c>
      <c r="D2540" s="1080">
        <f>SUM(D2538:D2539)</f>
        <v>5729815</v>
      </c>
      <c r="E2540" s="1058">
        <f t="shared" ref="E2540" si="91">SUM(E2538:E2539)</f>
        <v>1</v>
      </c>
      <c r="F2540" s="961">
        <f>SUM(F2538:F2539)</f>
        <v>5729815</v>
      </c>
    </row>
    <row r="2541" spans="1:6" ht="21" thickBot="1" x14ac:dyDescent="0.25">
      <c r="A2541" s="950" t="s">
        <v>2711</v>
      </c>
      <c r="B2541" s="938"/>
      <c r="C2541" s="968">
        <f>SUM(C2537,C2540)</f>
        <v>1</v>
      </c>
      <c r="D2541" s="940">
        <f>SUM(D2537,D2540)</f>
        <v>5729815</v>
      </c>
      <c r="E2541" s="968">
        <f>SUM(E2537,E2540)</f>
        <v>53</v>
      </c>
      <c r="F2541" s="940">
        <f>SUM(F2537,F2540)</f>
        <v>21004215</v>
      </c>
    </row>
    <row r="2542" spans="1:6" x14ac:dyDescent="0.2">
      <c r="A2542" s="3545" t="s">
        <v>183</v>
      </c>
      <c r="B2542" s="3545"/>
      <c r="C2542" s="3545"/>
      <c r="D2542" s="3545"/>
      <c r="E2542" s="3545"/>
      <c r="F2542" s="3545"/>
    </row>
    <row r="2543" spans="1:6" ht="21" thickBot="1" x14ac:dyDescent="0.25">
      <c r="A2543" s="3546" t="s">
        <v>459</v>
      </c>
      <c r="B2543" s="3546"/>
      <c r="C2543" s="3546"/>
      <c r="D2543" s="3546"/>
      <c r="E2543" s="3546"/>
      <c r="F2543" s="3546"/>
    </row>
    <row r="2544" spans="1:6" s="988" customFormat="1" ht="41.25" thickBot="1" x14ac:dyDescent="0.25">
      <c r="A2544" s="920" t="s">
        <v>185</v>
      </c>
      <c r="B2544" s="921" t="s">
        <v>186</v>
      </c>
      <c r="C2544" s="922" t="s">
        <v>564</v>
      </c>
      <c r="D2544" s="923" t="s">
        <v>1128</v>
      </c>
      <c r="E2544" s="922" t="s">
        <v>1129</v>
      </c>
      <c r="F2544" s="923" t="s">
        <v>3096</v>
      </c>
    </row>
    <row r="2545" spans="1:6" x14ac:dyDescent="0.2">
      <c r="A2545" s="931"/>
      <c r="B2545" s="932">
        <v>3</v>
      </c>
      <c r="C2545" s="933" t="s">
        <v>179</v>
      </c>
      <c r="D2545" s="989" t="s">
        <v>130</v>
      </c>
      <c r="E2545" s="955" t="s">
        <v>179</v>
      </c>
      <c r="F2545" s="934" t="s">
        <v>130</v>
      </c>
    </row>
    <row r="2546" spans="1:6" x14ac:dyDescent="0.2">
      <c r="A2546" s="931"/>
      <c r="B2546" s="932">
        <v>4</v>
      </c>
      <c r="C2546" s="933">
        <v>4</v>
      </c>
      <c r="D2546" s="1089">
        <v>1509365</v>
      </c>
      <c r="E2546" s="955">
        <v>4</v>
      </c>
      <c r="F2546" s="1149">
        <v>1509365</v>
      </c>
    </row>
    <row r="2547" spans="1:6" x14ac:dyDescent="0.2">
      <c r="A2547" s="931"/>
      <c r="B2547" s="932">
        <v>5</v>
      </c>
      <c r="C2547" s="933"/>
      <c r="D2547" s="1450" t="s">
        <v>762</v>
      </c>
      <c r="E2547" s="955"/>
      <c r="F2547" s="1149" t="s">
        <v>762</v>
      </c>
    </row>
    <row r="2548" spans="1:6" ht="21" thickBot="1" x14ac:dyDescent="0.25">
      <c r="A2548" s="931"/>
      <c r="B2548" s="932">
        <v>6</v>
      </c>
      <c r="C2548" s="933">
        <v>2</v>
      </c>
      <c r="D2548" s="1454">
        <v>2560345</v>
      </c>
      <c r="E2548" s="955">
        <v>2</v>
      </c>
      <c r="F2548" s="1458">
        <v>2560345</v>
      </c>
    </row>
    <row r="2549" spans="1:6" ht="21" thickBot="1" x14ac:dyDescent="0.25">
      <c r="A2549" s="937" t="s">
        <v>187</v>
      </c>
      <c r="B2549" s="938"/>
      <c r="C2549" s="968">
        <f>SUM(C2545:C2548)</f>
        <v>6</v>
      </c>
      <c r="D2549" s="940">
        <f>SUM(D2545:D2548)</f>
        <v>4069710</v>
      </c>
      <c r="E2549" s="962">
        <f>SUM(E2545:E2548)</f>
        <v>6</v>
      </c>
      <c r="F2549" s="940">
        <f>SUM(F2545:F2548)</f>
        <v>4069710</v>
      </c>
    </row>
    <row r="2550" spans="1:6" x14ac:dyDescent="0.2">
      <c r="A2550" s="931"/>
      <c r="B2550" s="932">
        <v>7</v>
      </c>
      <c r="C2550" s="933">
        <v>2</v>
      </c>
      <c r="D2550" s="1421">
        <v>740020</v>
      </c>
      <c r="E2550" s="955">
        <v>2</v>
      </c>
      <c r="F2550" s="1179">
        <v>740020</v>
      </c>
    </row>
    <row r="2551" spans="1:6" x14ac:dyDescent="0.2">
      <c r="A2551" s="931"/>
      <c r="B2551" s="932">
        <v>8</v>
      </c>
      <c r="C2551" s="933">
        <v>5</v>
      </c>
      <c r="D2551" s="1421">
        <v>3141120</v>
      </c>
      <c r="E2551" s="955">
        <v>5</v>
      </c>
      <c r="F2551" s="1179">
        <v>3141120</v>
      </c>
    </row>
    <row r="2552" spans="1:6" x14ac:dyDescent="0.2">
      <c r="A2552" s="931"/>
      <c r="B2552" s="932">
        <v>9</v>
      </c>
      <c r="C2552" s="933">
        <v>2</v>
      </c>
      <c r="D2552" s="1421">
        <v>2055055</v>
      </c>
      <c r="E2552" s="955">
        <v>2</v>
      </c>
      <c r="F2552" s="1179">
        <v>2055055</v>
      </c>
    </row>
    <row r="2553" spans="1:6" x14ac:dyDescent="0.2">
      <c r="A2553" s="931"/>
      <c r="B2553" s="932">
        <v>10</v>
      </c>
      <c r="C2553" s="933">
        <v>3</v>
      </c>
      <c r="D2553" s="1421">
        <v>2252920</v>
      </c>
      <c r="E2553" s="955">
        <v>3</v>
      </c>
      <c r="F2553" s="1179">
        <v>2252920</v>
      </c>
    </row>
    <row r="2554" spans="1:6" ht="21" thickBot="1" x14ac:dyDescent="0.25">
      <c r="A2554" s="931"/>
      <c r="B2554" s="932">
        <v>12</v>
      </c>
      <c r="C2554" s="933">
        <v>1</v>
      </c>
      <c r="D2554" s="1421">
        <v>1022485</v>
      </c>
      <c r="E2554" s="955">
        <v>1</v>
      </c>
      <c r="F2554" s="1179">
        <v>1022485</v>
      </c>
    </row>
    <row r="2555" spans="1:6" ht="21" thickBot="1" x14ac:dyDescent="0.25">
      <c r="A2555" s="937" t="s">
        <v>188</v>
      </c>
      <c r="B2555" s="938"/>
      <c r="C2555" s="968">
        <f>SUM(C2550:C2554)</f>
        <v>13</v>
      </c>
      <c r="D2555" s="940">
        <f>SUM(D2550:D2554)</f>
        <v>9211600</v>
      </c>
      <c r="E2555" s="962">
        <f>SUM(E2550:E2554)</f>
        <v>13</v>
      </c>
      <c r="F2555" s="940">
        <f>SUM(F2550:F2554)</f>
        <v>9211600</v>
      </c>
    </row>
    <row r="2556" spans="1:6" x14ac:dyDescent="0.2">
      <c r="A2556" s="931"/>
      <c r="B2556" s="932">
        <v>13</v>
      </c>
      <c r="C2556" s="933">
        <v>4</v>
      </c>
      <c r="D2556" s="1421">
        <v>3652700</v>
      </c>
      <c r="E2556" s="955">
        <v>4</v>
      </c>
      <c r="F2556" s="1179">
        <v>3652700</v>
      </c>
    </row>
    <row r="2557" spans="1:6" x14ac:dyDescent="0.2">
      <c r="A2557" s="931"/>
      <c r="B2557" s="932">
        <v>14</v>
      </c>
      <c r="C2557" s="933">
        <v>7</v>
      </c>
      <c r="D2557" s="1421">
        <v>7214765</v>
      </c>
      <c r="E2557" s="955">
        <v>7</v>
      </c>
      <c r="F2557" s="1179">
        <v>7214765</v>
      </c>
    </row>
    <row r="2558" spans="1:6" x14ac:dyDescent="0.2">
      <c r="A2558" s="931"/>
      <c r="B2558" s="932">
        <v>15</v>
      </c>
      <c r="C2558" s="933">
        <v>2</v>
      </c>
      <c r="D2558" s="1421">
        <v>2135900</v>
      </c>
      <c r="E2558" s="955">
        <v>2</v>
      </c>
      <c r="F2558" s="1179">
        <v>2135900</v>
      </c>
    </row>
    <row r="2559" spans="1:6" ht="21" thickBot="1" x14ac:dyDescent="0.25">
      <c r="A2559" s="931"/>
      <c r="B2559" s="932">
        <v>16</v>
      </c>
      <c r="C2559" s="933">
        <v>4</v>
      </c>
      <c r="D2559" s="1421">
        <v>4205540</v>
      </c>
      <c r="E2559" s="955">
        <v>4</v>
      </c>
      <c r="F2559" s="1179">
        <v>4205540</v>
      </c>
    </row>
    <row r="2560" spans="1:6" ht="21" thickBot="1" x14ac:dyDescent="0.25">
      <c r="A2560" s="937" t="s">
        <v>189</v>
      </c>
      <c r="B2560" s="938"/>
      <c r="C2560" s="968">
        <f>SUM(C2556:C2559)</f>
        <v>17</v>
      </c>
      <c r="D2560" s="940">
        <f>SUM(D2556:D2559)</f>
        <v>17208905</v>
      </c>
      <c r="E2560" s="962">
        <f>SUM(E2556:E2559)</f>
        <v>17</v>
      </c>
      <c r="F2560" s="940">
        <f>SUM(F2556:F2559)</f>
        <v>17208905</v>
      </c>
    </row>
    <row r="2561" spans="1:6" ht="21" thickBot="1" x14ac:dyDescent="0.25">
      <c r="A2561" s="1036" t="s">
        <v>190</v>
      </c>
      <c r="B2561" s="1037"/>
      <c r="C2561" s="1185">
        <f>SUM(C2560,C2555,C2549)</f>
        <v>36</v>
      </c>
      <c r="D2561" s="1076">
        <f>SUM(D2560,D2555,D2549)</f>
        <v>30490215</v>
      </c>
      <c r="E2561" s="1781">
        <f>SUM(E2560,E2555,E2549)</f>
        <v>36</v>
      </c>
      <c r="F2561" s="1076">
        <f>SUM(F2560,F2555,F2549)</f>
        <v>30490215</v>
      </c>
    </row>
    <row r="2562" spans="1:6" s="975" customFormat="1" ht="18.75" x14ac:dyDescent="0.2">
      <c r="A2562" s="1782" t="s">
        <v>735</v>
      </c>
      <c r="B2562" s="1783"/>
      <c r="C2562" s="1784"/>
      <c r="D2562" s="1785"/>
      <c r="E2562" s="972"/>
      <c r="F2562" s="1786"/>
    </row>
    <row r="2563" spans="1:6" s="975" customFormat="1" ht="18.75" x14ac:dyDescent="0.2">
      <c r="A2563" s="1028" t="s">
        <v>209</v>
      </c>
      <c r="B2563" s="1029"/>
      <c r="C2563" s="1787"/>
      <c r="D2563" s="974">
        <v>250101215</v>
      </c>
      <c r="E2563" s="977"/>
      <c r="F2563" s="1788"/>
    </row>
    <row r="2564" spans="1:6" s="975" customFormat="1" ht="19.5" thickBot="1" x14ac:dyDescent="0.25">
      <c r="A2564" s="1789" t="s">
        <v>562</v>
      </c>
      <c r="B2564" s="1790"/>
      <c r="C2564" s="1791"/>
      <c r="D2564" s="1792">
        <v>18834750</v>
      </c>
      <c r="E2564" s="1793"/>
      <c r="F2564" s="1794"/>
    </row>
    <row r="2565" spans="1:6" s="924" customFormat="1" ht="21" thickBot="1" x14ac:dyDescent="0.25">
      <c r="A2565" s="1045" t="s">
        <v>117</v>
      </c>
      <c r="B2565" s="991"/>
      <c r="C2565" s="992"/>
      <c r="D2565" s="1795">
        <f>SUM(D2561:D2564)</f>
        <v>299426180</v>
      </c>
      <c r="E2565" s="1147"/>
      <c r="F2565" s="1796">
        <f>SUM(F2561:F2564)</f>
        <v>30490215</v>
      </c>
    </row>
    <row r="2566" spans="1:6" x14ac:dyDescent="0.2">
      <c r="A2566" s="964" t="s">
        <v>528</v>
      </c>
      <c r="B2566" s="954"/>
      <c r="C2566" s="933">
        <v>1</v>
      </c>
      <c r="D2566" s="978">
        <v>1337225</v>
      </c>
      <c r="E2566" s="955">
        <v>1</v>
      </c>
      <c r="F2566" s="934">
        <v>1337225</v>
      </c>
    </row>
    <row r="2567" spans="1:6" x14ac:dyDescent="0.2">
      <c r="A2567" s="964" t="s">
        <v>529</v>
      </c>
      <c r="B2567" s="954"/>
      <c r="C2567" s="933"/>
      <c r="D2567" s="978">
        <v>4479705</v>
      </c>
      <c r="E2567" s="955"/>
      <c r="F2567" s="934">
        <v>4479705</v>
      </c>
    </row>
    <row r="2568" spans="1:6" x14ac:dyDescent="0.2">
      <c r="A2568" s="964" t="s">
        <v>216</v>
      </c>
      <c r="B2568" s="954"/>
      <c r="C2568" s="933">
        <v>1</v>
      </c>
      <c r="D2568" s="978">
        <v>1247870</v>
      </c>
      <c r="E2568" s="955">
        <v>1</v>
      </c>
      <c r="F2568" s="934">
        <v>1247870</v>
      </c>
    </row>
    <row r="2569" spans="1:6" ht="21" thickBot="1" x14ac:dyDescent="0.25">
      <c r="A2569" s="964" t="s">
        <v>530</v>
      </c>
      <c r="B2569" s="954"/>
      <c r="C2569" s="933"/>
      <c r="D2569" s="978">
        <v>4180365</v>
      </c>
      <c r="E2569" s="955"/>
      <c r="F2569" s="934">
        <v>4180365</v>
      </c>
    </row>
    <row r="2570" spans="1:6" ht="21" thickBot="1" x14ac:dyDescent="0.25">
      <c r="A2570" s="950" t="s">
        <v>117</v>
      </c>
      <c r="B2570" s="938"/>
      <c r="C2570" s="939">
        <f>SUM(C2566:C2569)</f>
        <v>2</v>
      </c>
      <c r="D2570" s="1032">
        <f>SUM(D2566:D2569)</f>
        <v>11245165</v>
      </c>
      <c r="E2570" s="959">
        <f>SUM(E2566:E2569)</f>
        <v>2</v>
      </c>
      <c r="F2570" s="940">
        <f>SUM(F2566:F2569)</f>
        <v>11245165</v>
      </c>
    </row>
    <row r="2571" spans="1:6" ht="21" thickBot="1" x14ac:dyDescent="0.25">
      <c r="A2571" s="950" t="s">
        <v>208</v>
      </c>
      <c r="B2571" s="938"/>
      <c r="C2571" s="939">
        <f>SUM(C2561,C2570)</f>
        <v>38</v>
      </c>
      <c r="D2571" s="940">
        <f>SUM(D2565,D2570)</f>
        <v>310671345</v>
      </c>
      <c r="E2571" s="959">
        <f>SUM(E2561,E2570)</f>
        <v>38</v>
      </c>
      <c r="F2571" s="940">
        <f>SUM(F2565,F2570)</f>
        <v>41735380</v>
      </c>
    </row>
    <row r="2572" spans="1:6" x14ac:dyDescent="0.2">
      <c r="B2572" s="919"/>
      <c r="D2572" s="1797"/>
      <c r="F2572" s="1588"/>
    </row>
    <row r="2573" spans="1:6" s="900" customFormat="1" x14ac:dyDescent="0.3">
      <c r="A2573" s="3543" t="s">
        <v>183</v>
      </c>
      <c r="B2573" s="3543"/>
      <c r="C2573" s="3543"/>
      <c r="D2573" s="3543"/>
      <c r="E2573" s="3543"/>
      <c r="F2573" s="3543"/>
    </row>
    <row r="2574" spans="1:6" s="900" customFormat="1" ht="21" customHeight="1" thickBot="1" x14ac:dyDescent="0.35">
      <c r="A2574" s="3552" t="s">
        <v>1567</v>
      </c>
      <c r="B2574" s="3552"/>
      <c r="C2574" s="3552"/>
      <c r="D2574" s="3552"/>
      <c r="E2574" s="3552"/>
      <c r="F2574" s="3552"/>
    </row>
    <row r="2575" spans="1:6" s="901" customFormat="1" ht="41.25" thickBot="1" x14ac:dyDescent="0.35">
      <c r="A2575" s="920" t="s">
        <v>185</v>
      </c>
      <c r="B2575" s="921" t="s">
        <v>186</v>
      </c>
      <c r="C2575" s="922" t="s">
        <v>564</v>
      </c>
      <c r="D2575" s="923" t="s">
        <v>1128</v>
      </c>
      <c r="E2575" s="1159" t="s">
        <v>1129</v>
      </c>
      <c r="F2575" s="923" t="s">
        <v>3096</v>
      </c>
    </row>
    <row r="2576" spans="1:6" s="901" customFormat="1" x14ac:dyDescent="0.3">
      <c r="A2576" s="1551"/>
      <c r="B2576" s="1552">
        <v>1</v>
      </c>
      <c r="C2576" s="1798"/>
      <c r="D2576" s="1799"/>
      <c r="E2576" s="1761">
        <v>0</v>
      </c>
      <c r="F2576" s="958">
        <v>0</v>
      </c>
    </row>
    <row r="2577" spans="1:6" s="901" customFormat="1" x14ac:dyDescent="0.3">
      <c r="A2577" s="1551"/>
      <c r="B2577" s="1552">
        <v>2</v>
      </c>
      <c r="C2577" s="1798"/>
      <c r="D2577" s="1799"/>
      <c r="E2577" s="1761">
        <v>0</v>
      </c>
      <c r="F2577" s="958">
        <v>0</v>
      </c>
    </row>
    <row r="2578" spans="1:6" s="901" customFormat="1" x14ac:dyDescent="0.3">
      <c r="A2578" s="1551"/>
      <c r="B2578" s="1552">
        <v>3</v>
      </c>
      <c r="C2578" s="1798"/>
      <c r="D2578" s="1799">
        <v>2646000</v>
      </c>
      <c r="E2578" s="1761">
        <v>3</v>
      </c>
      <c r="F2578" s="958">
        <v>1420978</v>
      </c>
    </row>
    <row r="2579" spans="1:6" s="901" customFormat="1" x14ac:dyDescent="0.3">
      <c r="A2579" s="1551"/>
      <c r="B2579" s="1552">
        <v>4</v>
      </c>
      <c r="C2579" s="1798"/>
      <c r="D2579" s="1799">
        <v>6405000</v>
      </c>
      <c r="E2579" s="1761">
        <v>10</v>
      </c>
      <c r="F2579" s="958">
        <v>5044514</v>
      </c>
    </row>
    <row r="2580" spans="1:6" s="901" customFormat="1" x14ac:dyDescent="0.3">
      <c r="A2580" s="1551"/>
      <c r="B2580" s="1552">
        <v>5</v>
      </c>
      <c r="C2580" s="1798"/>
      <c r="D2580" s="1799">
        <v>1927800</v>
      </c>
      <c r="E2580" s="1761">
        <v>0</v>
      </c>
      <c r="F2580" s="958">
        <v>0</v>
      </c>
    </row>
    <row r="2581" spans="1:6" s="901" customFormat="1" ht="21" thickBot="1" x14ac:dyDescent="0.35">
      <c r="A2581" s="1551"/>
      <c r="B2581" s="1552">
        <v>6</v>
      </c>
      <c r="C2581" s="1798"/>
      <c r="D2581" s="1799">
        <v>819000</v>
      </c>
      <c r="E2581" s="1761">
        <v>2</v>
      </c>
      <c r="F2581" s="958">
        <v>1165737</v>
      </c>
    </row>
    <row r="2582" spans="1:6" s="900" customFormat="1" ht="21" thickBot="1" x14ac:dyDescent="0.35">
      <c r="A2582" s="1066" t="s">
        <v>187</v>
      </c>
      <c r="B2582" s="1619"/>
      <c r="C2582" s="1800"/>
      <c r="D2582" s="1801">
        <f>SUM(D2578:D2581)</f>
        <v>11797800</v>
      </c>
      <c r="E2582" s="1802">
        <f t="shared" ref="E2582" si="92">SUM(E2576:E2581)</f>
        <v>15</v>
      </c>
      <c r="F2582" s="1158">
        <f>SUM(F2578:F2581)</f>
        <v>7631229</v>
      </c>
    </row>
    <row r="2583" spans="1:6" s="901" customFormat="1" x14ac:dyDescent="0.3">
      <c r="B2583" s="1552">
        <v>7</v>
      </c>
      <c r="C2583" s="1803"/>
      <c r="D2583" s="1804">
        <v>11297686</v>
      </c>
      <c r="E2583" s="1803">
        <v>14</v>
      </c>
      <c r="F2583" s="1805">
        <v>9745037</v>
      </c>
    </row>
    <row r="2584" spans="1:6" s="901" customFormat="1" x14ac:dyDescent="0.3">
      <c r="B2584" s="1552">
        <v>8</v>
      </c>
      <c r="C2584" s="1803"/>
      <c r="D2584" s="1806">
        <v>4289558</v>
      </c>
      <c r="E2584" s="1803">
        <v>0</v>
      </c>
      <c r="F2584" s="958">
        <v>0</v>
      </c>
    </row>
    <row r="2585" spans="1:6" s="901" customFormat="1" x14ac:dyDescent="0.3">
      <c r="B2585" s="1552">
        <v>9</v>
      </c>
      <c r="C2585" s="1803"/>
      <c r="D2585" s="1806"/>
      <c r="E2585" s="1803">
        <v>1</v>
      </c>
      <c r="F2585" s="958">
        <v>1548530</v>
      </c>
    </row>
    <row r="2586" spans="1:6" s="901" customFormat="1" x14ac:dyDescent="0.3">
      <c r="B2586" s="1552">
        <v>10</v>
      </c>
      <c r="C2586" s="1803"/>
      <c r="D2586" s="1806">
        <v>4530481</v>
      </c>
      <c r="E2586" s="1803">
        <v>0</v>
      </c>
      <c r="F2586" s="958">
        <v>0</v>
      </c>
    </row>
    <row r="2587" spans="1:6" s="901" customFormat="1" ht="21" thickBot="1" x14ac:dyDescent="0.35">
      <c r="B2587" s="1552">
        <v>12</v>
      </c>
      <c r="C2587" s="1803"/>
      <c r="D2587" s="1806">
        <v>8211729</v>
      </c>
      <c r="E2587" s="1803">
        <v>8</v>
      </c>
      <c r="F2587" s="958">
        <v>21015176</v>
      </c>
    </row>
    <row r="2588" spans="1:6" s="900" customFormat="1" ht="21" thickBot="1" x14ac:dyDescent="0.35">
      <c r="A2588" s="1066" t="s">
        <v>188</v>
      </c>
      <c r="B2588" s="1555"/>
      <c r="C2588" s="1807"/>
      <c r="D2588" s="1808">
        <f>SUM(D2583:D2587)</f>
        <v>28329454</v>
      </c>
      <c r="E2588" s="1807">
        <f t="shared" ref="E2588" si="93">SUM(E2583:E2587)</f>
        <v>23</v>
      </c>
      <c r="F2588" s="961">
        <f>SUM(F2583:F2587)</f>
        <v>32308743</v>
      </c>
    </row>
    <row r="2589" spans="1:6" s="901" customFormat="1" x14ac:dyDescent="0.3">
      <c r="B2589" s="1552">
        <v>13</v>
      </c>
      <c r="C2589" s="1803"/>
      <c r="D2589" s="1806">
        <v>8334524</v>
      </c>
      <c r="E2589" s="1803">
        <v>3</v>
      </c>
      <c r="F2589" s="958">
        <v>10493677</v>
      </c>
    </row>
    <row r="2590" spans="1:6" s="901" customFormat="1" x14ac:dyDescent="0.3">
      <c r="B2590" s="1552">
        <v>14</v>
      </c>
      <c r="C2590" s="1803"/>
      <c r="D2590" s="1806">
        <v>22282644</v>
      </c>
      <c r="E2590" s="1803">
        <v>6</v>
      </c>
      <c r="F2590" s="958">
        <v>9423756</v>
      </c>
    </row>
    <row r="2591" spans="1:6" s="901" customFormat="1" x14ac:dyDescent="0.3">
      <c r="B2591" s="1552">
        <v>15</v>
      </c>
      <c r="C2591" s="1803"/>
      <c r="D2591" s="1806">
        <v>8834430</v>
      </c>
      <c r="E2591" s="1803">
        <v>5</v>
      </c>
      <c r="F2591" s="958">
        <v>9974060</v>
      </c>
    </row>
    <row r="2592" spans="1:6" s="901" customFormat="1" ht="21" thickBot="1" x14ac:dyDescent="0.35">
      <c r="B2592" s="1552">
        <v>16</v>
      </c>
      <c r="C2592" s="1803"/>
      <c r="D2592" s="1806">
        <v>2077022</v>
      </c>
      <c r="E2592" s="1803">
        <v>1</v>
      </c>
      <c r="F2592" s="958">
        <v>4082183</v>
      </c>
    </row>
    <row r="2593" spans="1:6" s="900" customFormat="1" ht="21" thickBot="1" x14ac:dyDescent="0.35">
      <c r="A2593" s="1066" t="s">
        <v>189</v>
      </c>
      <c r="B2593" s="1555"/>
      <c r="C2593" s="1807"/>
      <c r="D2593" s="1808">
        <f>SUM(D2589:D2592)</f>
        <v>41528620</v>
      </c>
      <c r="E2593" s="1807">
        <f t="shared" ref="E2593" si="94">SUM(E2589:E2592)</f>
        <v>15</v>
      </c>
      <c r="F2593" s="961">
        <f>SUM(F2589:F2592)</f>
        <v>33973676</v>
      </c>
    </row>
    <row r="2594" spans="1:6" s="900" customFormat="1" ht="21" thickBot="1" x14ac:dyDescent="0.35">
      <c r="A2594" s="1809" t="s">
        <v>190</v>
      </c>
      <c r="B2594" s="1810"/>
      <c r="C2594" s="1811"/>
      <c r="D2594" s="1812">
        <f t="shared" ref="D2594:F2594" si="95">D2593+D2588+D2582</f>
        <v>81655874</v>
      </c>
      <c r="E2594" s="1811">
        <f t="shared" si="95"/>
        <v>53</v>
      </c>
      <c r="F2594" s="1065">
        <f t="shared" si="95"/>
        <v>73913648</v>
      </c>
    </row>
    <row r="2595" spans="1:6" s="901" customFormat="1" x14ac:dyDescent="0.3">
      <c r="A2595" s="901" t="s">
        <v>1568</v>
      </c>
      <c r="B2595" s="1552"/>
      <c r="C2595" s="1803">
        <v>1810</v>
      </c>
      <c r="D2595" s="1806">
        <v>165168000</v>
      </c>
      <c r="E2595" s="1803">
        <v>1860</v>
      </c>
      <c r="F2595" s="958">
        <v>169368000</v>
      </c>
    </row>
    <row r="2596" spans="1:6" s="901" customFormat="1" x14ac:dyDescent="0.3">
      <c r="A2596" s="901" t="s">
        <v>1569</v>
      </c>
      <c r="B2596" s="1552"/>
      <c r="C2596" s="1803">
        <v>1</v>
      </c>
      <c r="D2596" s="1806">
        <v>2378117</v>
      </c>
      <c r="E2596" s="1803">
        <v>1</v>
      </c>
      <c r="F2596" s="958">
        <v>2378117</v>
      </c>
    </row>
    <row r="2597" spans="1:6" s="901" customFormat="1" ht="21" thickBot="1" x14ac:dyDescent="0.35">
      <c r="A2597" s="901" t="s">
        <v>1570</v>
      </c>
      <c r="B2597" s="1552"/>
      <c r="C2597" s="1803"/>
      <c r="D2597" s="1806">
        <v>899224</v>
      </c>
      <c r="E2597" s="1803"/>
      <c r="F2597" s="958">
        <v>594530</v>
      </c>
    </row>
    <row r="2598" spans="1:6" s="900" customFormat="1" ht="21" thickBot="1" x14ac:dyDescent="0.35">
      <c r="A2598" s="1157" t="s">
        <v>117</v>
      </c>
      <c r="B2598" s="1577"/>
      <c r="C2598" s="1813"/>
      <c r="D2598" s="1801">
        <f>SUM(D2595:D2597)</f>
        <v>168445341</v>
      </c>
      <c r="E2598" s="1814">
        <f>SUM(E2595:E2597)</f>
        <v>1861</v>
      </c>
      <c r="F2598" s="961">
        <f>SUM(F2595:F2597)</f>
        <v>172340647</v>
      </c>
    </row>
    <row r="2599" spans="1:6" s="1773" customFormat="1" ht="21" thickBot="1" x14ac:dyDescent="0.35">
      <c r="A2599" s="1815" t="s">
        <v>2533</v>
      </c>
      <c r="B2599" s="1816"/>
      <c r="C2599" s="1633"/>
      <c r="D2599" s="1817">
        <f>SUM(D2594,D2598)</f>
        <v>250101215</v>
      </c>
      <c r="E2599" s="1633">
        <f>SUM(E2594,E2598)</f>
        <v>1914</v>
      </c>
      <c r="F2599" s="1072">
        <f>SUM(F2594,F2598)</f>
        <v>246254295</v>
      </c>
    </row>
    <row r="2600" spans="1:6" x14ac:dyDescent="0.2">
      <c r="A2600" s="3545"/>
      <c r="B2600" s="3545"/>
      <c r="C2600" s="3545"/>
      <c r="D2600" s="3545"/>
      <c r="E2600" s="3545"/>
      <c r="F2600" s="3545"/>
    </row>
    <row r="2601" spans="1:6" x14ac:dyDescent="0.2">
      <c r="A2601" s="3545" t="s">
        <v>183</v>
      </c>
      <c r="B2601" s="3545"/>
      <c r="C2601" s="3545"/>
      <c r="D2601" s="3545"/>
      <c r="E2601" s="3545"/>
      <c r="F2601" s="3545"/>
    </row>
    <row r="2602" spans="1:6" ht="21" thickBot="1" x14ac:dyDescent="0.25">
      <c r="A2602" s="3546" t="s">
        <v>786</v>
      </c>
      <c r="B2602" s="3546"/>
      <c r="C2602" s="3546"/>
      <c r="D2602" s="3546"/>
      <c r="E2602" s="3546"/>
      <c r="F2602" s="3546"/>
    </row>
    <row r="2603" spans="1:6" s="988" customFormat="1" ht="41.25" thickBot="1" x14ac:dyDescent="0.25">
      <c r="A2603" s="920" t="s">
        <v>185</v>
      </c>
      <c r="B2603" s="921" t="s">
        <v>186</v>
      </c>
      <c r="C2603" s="922" t="s">
        <v>564</v>
      </c>
      <c r="D2603" s="923" t="s">
        <v>1128</v>
      </c>
      <c r="E2603" s="922" t="s">
        <v>1129</v>
      </c>
      <c r="F2603" s="923" t="s">
        <v>3096</v>
      </c>
    </row>
    <row r="2604" spans="1:6" x14ac:dyDescent="0.2">
      <c r="A2604" s="925"/>
      <c r="B2604" s="932">
        <v>1</v>
      </c>
      <c r="C2604" s="927"/>
      <c r="D2604" s="989">
        <v>0</v>
      </c>
      <c r="E2604" s="927"/>
      <c r="F2604" s="928">
        <v>0</v>
      </c>
    </row>
    <row r="2605" spans="1:6" x14ac:dyDescent="0.2">
      <c r="A2605" s="931"/>
      <c r="B2605" s="932">
        <v>2</v>
      </c>
      <c r="C2605" s="933"/>
      <c r="D2605" s="989">
        <v>0</v>
      </c>
      <c r="E2605" s="933"/>
      <c r="F2605" s="934">
        <v>0</v>
      </c>
    </row>
    <row r="2606" spans="1:6" x14ac:dyDescent="0.2">
      <c r="A2606" s="931"/>
      <c r="B2606" s="932">
        <v>3</v>
      </c>
      <c r="C2606" s="933"/>
      <c r="D2606" s="989">
        <v>0</v>
      </c>
      <c r="E2606" s="933"/>
      <c r="F2606" s="934">
        <v>0</v>
      </c>
    </row>
    <row r="2607" spans="1:6" x14ac:dyDescent="0.2">
      <c r="A2607" s="931"/>
      <c r="B2607" s="932">
        <v>4</v>
      </c>
      <c r="C2607" s="933"/>
      <c r="D2607" s="989">
        <v>0</v>
      </c>
      <c r="E2607" s="933"/>
      <c r="F2607" s="934">
        <v>0</v>
      </c>
    </row>
    <row r="2608" spans="1:6" x14ac:dyDescent="0.2">
      <c r="A2608" s="931"/>
      <c r="B2608" s="932">
        <v>5</v>
      </c>
      <c r="C2608" s="933"/>
      <c r="D2608" s="989">
        <v>0</v>
      </c>
      <c r="E2608" s="933"/>
      <c r="F2608" s="934">
        <v>0</v>
      </c>
    </row>
    <row r="2609" spans="1:6" ht="21" thickBot="1" x14ac:dyDescent="0.25">
      <c r="A2609" s="931"/>
      <c r="B2609" s="932">
        <v>6</v>
      </c>
      <c r="C2609" s="933"/>
      <c r="D2609" s="989">
        <v>0</v>
      </c>
      <c r="E2609" s="933"/>
      <c r="F2609" s="934">
        <v>0</v>
      </c>
    </row>
    <row r="2610" spans="1:6" ht="21" thickBot="1" x14ac:dyDescent="0.25">
      <c r="A2610" s="937" t="s">
        <v>187</v>
      </c>
      <c r="B2610" s="938"/>
      <c r="C2610" s="968">
        <f>SUM(C2604:C2609)</f>
        <v>0</v>
      </c>
      <c r="D2610" s="940">
        <f>SUM(D2604:D2609)</f>
        <v>0</v>
      </c>
      <c r="E2610" s="968">
        <f>SUM(E2604:E2609)</f>
        <v>0</v>
      </c>
      <c r="F2610" s="940">
        <f>SUM(F2604:F2609)</f>
        <v>0</v>
      </c>
    </row>
    <row r="2611" spans="1:6" x14ac:dyDescent="0.2">
      <c r="A2611" s="931"/>
      <c r="B2611" s="932">
        <v>7</v>
      </c>
      <c r="C2611" s="933"/>
      <c r="D2611" s="989">
        <v>0</v>
      </c>
      <c r="E2611" s="933"/>
      <c r="F2611" s="934">
        <v>0</v>
      </c>
    </row>
    <row r="2612" spans="1:6" x14ac:dyDescent="0.2">
      <c r="A2612" s="931"/>
      <c r="B2612" s="932">
        <v>8</v>
      </c>
      <c r="C2612" s="933"/>
      <c r="D2612" s="989">
        <v>0</v>
      </c>
      <c r="E2612" s="933"/>
      <c r="F2612" s="934">
        <v>0</v>
      </c>
    </row>
    <row r="2613" spans="1:6" x14ac:dyDescent="0.2">
      <c r="A2613" s="931"/>
      <c r="B2613" s="932">
        <v>9</v>
      </c>
      <c r="C2613" s="933"/>
      <c r="D2613" s="989">
        <v>0</v>
      </c>
      <c r="E2613" s="933"/>
      <c r="F2613" s="934">
        <v>0</v>
      </c>
    </row>
    <row r="2614" spans="1:6" x14ac:dyDescent="0.2">
      <c r="A2614" s="931"/>
      <c r="B2614" s="932">
        <v>10</v>
      </c>
      <c r="C2614" s="933"/>
      <c r="D2614" s="989">
        <v>0</v>
      </c>
      <c r="E2614" s="933"/>
      <c r="F2614" s="934">
        <v>0</v>
      </c>
    </row>
    <row r="2615" spans="1:6" ht="21" thickBot="1" x14ac:dyDescent="0.25">
      <c r="A2615" s="931"/>
      <c r="B2615" s="932">
        <v>12</v>
      </c>
      <c r="C2615" s="933"/>
      <c r="D2615" s="989">
        <v>0</v>
      </c>
      <c r="E2615" s="933"/>
      <c r="F2615" s="934">
        <v>0</v>
      </c>
    </row>
    <row r="2616" spans="1:6" ht="21" thickBot="1" x14ac:dyDescent="0.25">
      <c r="A2616" s="937" t="s">
        <v>188</v>
      </c>
      <c r="B2616" s="938"/>
      <c r="C2616" s="968">
        <f>SUM(C2611:C2615)</f>
        <v>0</v>
      </c>
      <c r="D2616" s="940">
        <f>SUM(D2611:D2615)</f>
        <v>0</v>
      </c>
      <c r="E2616" s="968">
        <f>SUM(E2611:E2615)</f>
        <v>0</v>
      </c>
      <c r="F2616" s="940">
        <f>SUM(F2611:F2615)</f>
        <v>0</v>
      </c>
    </row>
    <row r="2617" spans="1:6" x14ac:dyDescent="0.2">
      <c r="A2617" s="931"/>
      <c r="B2617" s="932">
        <v>13</v>
      </c>
      <c r="C2617" s="933"/>
      <c r="D2617" s="989">
        <v>0</v>
      </c>
      <c r="E2617" s="933"/>
      <c r="F2617" s="934">
        <v>0</v>
      </c>
    </row>
    <row r="2618" spans="1:6" x14ac:dyDescent="0.2">
      <c r="A2618" s="931"/>
      <c r="B2618" s="932">
        <v>14</v>
      </c>
      <c r="C2618" s="933"/>
      <c r="D2618" s="989">
        <v>0</v>
      </c>
      <c r="E2618" s="933"/>
      <c r="F2618" s="934">
        <v>0</v>
      </c>
    </row>
    <row r="2619" spans="1:6" x14ac:dyDescent="0.2">
      <c r="A2619" s="931"/>
      <c r="B2619" s="932">
        <v>15</v>
      </c>
      <c r="C2619" s="933"/>
      <c r="D2619" s="989">
        <v>0</v>
      </c>
      <c r="E2619" s="933"/>
      <c r="F2619" s="934">
        <v>0</v>
      </c>
    </row>
    <row r="2620" spans="1:6" ht="21" thickBot="1" x14ac:dyDescent="0.25">
      <c r="A2620" s="931"/>
      <c r="B2620" s="932">
        <v>16</v>
      </c>
      <c r="C2620" s="933"/>
      <c r="D2620" s="989">
        <v>0</v>
      </c>
      <c r="E2620" s="933"/>
      <c r="F2620" s="934">
        <v>0</v>
      </c>
    </row>
    <row r="2621" spans="1:6" ht="21" thickBot="1" x14ac:dyDescent="0.25">
      <c r="A2621" s="937" t="s">
        <v>189</v>
      </c>
      <c r="B2621" s="938"/>
      <c r="C2621" s="968">
        <f>SUM(C2617:C2620)</f>
        <v>0</v>
      </c>
      <c r="D2621" s="940">
        <f>SUM(D2617:D2620)</f>
        <v>0</v>
      </c>
      <c r="E2621" s="968">
        <f>SUM(E2617:E2620)</f>
        <v>0</v>
      </c>
      <c r="F2621" s="940">
        <f>SUM(F2617:F2620)</f>
        <v>0</v>
      </c>
    </row>
    <row r="2622" spans="1:6" ht="21" thickBot="1" x14ac:dyDescent="0.25">
      <c r="A2622" s="937" t="s">
        <v>190</v>
      </c>
      <c r="B2622" s="938"/>
      <c r="C2622" s="939">
        <f>SUM(C2621,C2616,C2610)</f>
        <v>0</v>
      </c>
      <c r="D2622" s="1418">
        <f>SUM(D2621,D2616,D2610)</f>
        <v>0</v>
      </c>
      <c r="E2622" s="939">
        <f>SUM(E2621,E2616,E2610)</f>
        <v>0</v>
      </c>
      <c r="F2622" s="940">
        <f>SUM(F2621,F2616,F2610)</f>
        <v>0</v>
      </c>
    </row>
    <row r="2623" spans="1:6" x14ac:dyDescent="0.2">
      <c r="A2623" s="964" t="s">
        <v>528</v>
      </c>
      <c r="B2623" s="954"/>
      <c r="C2623" s="933">
        <v>1</v>
      </c>
      <c r="D2623" s="978">
        <v>1337225</v>
      </c>
      <c r="E2623" s="933">
        <v>1</v>
      </c>
      <c r="F2623" s="934">
        <v>1337225</v>
      </c>
    </row>
    <row r="2624" spans="1:6" x14ac:dyDescent="0.2">
      <c r="A2624" s="964" t="s">
        <v>529</v>
      </c>
      <c r="B2624" s="954"/>
      <c r="C2624" s="933"/>
      <c r="D2624" s="978">
        <v>4479705</v>
      </c>
      <c r="E2624" s="933"/>
      <c r="F2624" s="934">
        <v>4479705</v>
      </c>
    </row>
    <row r="2625" spans="1:6" x14ac:dyDescent="0.2">
      <c r="A2625" s="964" t="s">
        <v>216</v>
      </c>
      <c r="B2625" s="954"/>
      <c r="C2625" s="933">
        <v>1</v>
      </c>
      <c r="D2625" s="978">
        <v>1247870</v>
      </c>
      <c r="E2625" s="933">
        <v>1</v>
      </c>
      <c r="F2625" s="934">
        <v>1247870</v>
      </c>
    </row>
    <row r="2626" spans="1:6" ht="21" thickBot="1" x14ac:dyDescent="0.25">
      <c r="A2626" s="964" t="s">
        <v>530</v>
      </c>
      <c r="B2626" s="954"/>
      <c r="C2626" s="933"/>
      <c r="D2626" s="978">
        <v>4180365</v>
      </c>
      <c r="E2626" s="933"/>
      <c r="F2626" s="934">
        <v>4180365</v>
      </c>
    </row>
    <row r="2627" spans="1:6" ht="21" thickBot="1" x14ac:dyDescent="0.25">
      <c r="A2627" s="950" t="s">
        <v>117</v>
      </c>
      <c r="B2627" s="938"/>
      <c r="C2627" s="939">
        <v>2</v>
      </c>
      <c r="D2627" s="1032">
        <f>SUM(D2623:D2626)</f>
        <v>11245165</v>
      </c>
      <c r="E2627" s="939">
        <v>2</v>
      </c>
      <c r="F2627" s="940">
        <f>SUM(F2623:F2626)</f>
        <v>11245165</v>
      </c>
    </row>
    <row r="2628" spans="1:6" ht="21" thickBot="1" x14ac:dyDescent="0.25">
      <c r="A2628" s="950" t="s">
        <v>2871</v>
      </c>
      <c r="B2628" s="938"/>
      <c r="C2628" s="939">
        <v>336</v>
      </c>
      <c r="D2628" s="1032">
        <f>SUM(D2622,D2627)</f>
        <v>11245165</v>
      </c>
      <c r="E2628" s="939">
        <v>336</v>
      </c>
      <c r="F2628" s="940">
        <f>SUM(F2622,F2627)</f>
        <v>11245165</v>
      </c>
    </row>
    <row r="2629" spans="1:6" x14ac:dyDescent="0.2">
      <c r="A2629" s="3545"/>
      <c r="B2629" s="3545"/>
      <c r="C2629" s="3545"/>
      <c r="D2629" s="3545"/>
      <c r="E2629" s="3545"/>
      <c r="F2629" s="3545"/>
    </row>
    <row r="2630" spans="1:6" x14ac:dyDescent="0.2">
      <c r="A2630" s="3545" t="s">
        <v>183</v>
      </c>
      <c r="B2630" s="3545"/>
      <c r="C2630" s="3545"/>
      <c r="D2630" s="3545"/>
      <c r="E2630" s="3545"/>
      <c r="F2630" s="3545"/>
    </row>
    <row r="2631" spans="1:6" ht="21" thickBot="1" x14ac:dyDescent="0.25">
      <c r="A2631" s="3546" t="s">
        <v>386</v>
      </c>
      <c r="B2631" s="3546"/>
      <c r="C2631" s="3546"/>
      <c r="D2631" s="3546"/>
      <c r="E2631" s="3546"/>
      <c r="F2631" s="3546"/>
    </row>
    <row r="2632" spans="1:6" s="988" customFormat="1" ht="41.25" thickBot="1" x14ac:dyDescent="0.25">
      <c r="A2632" s="920" t="s">
        <v>185</v>
      </c>
      <c r="B2632" s="921" t="s">
        <v>186</v>
      </c>
      <c r="C2632" s="922" t="s">
        <v>564</v>
      </c>
      <c r="D2632" s="923" t="s">
        <v>1128</v>
      </c>
      <c r="E2632" s="1159" t="s">
        <v>1129</v>
      </c>
      <c r="F2632" s="923" t="s">
        <v>3096</v>
      </c>
    </row>
    <row r="2633" spans="1:6" x14ac:dyDescent="0.2">
      <c r="A2633" s="925"/>
      <c r="B2633" s="932">
        <v>1</v>
      </c>
      <c r="C2633" s="927" t="s">
        <v>179</v>
      </c>
      <c r="D2633" s="989" t="s">
        <v>130</v>
      </c>
      <c r="E2633" s="1146" t="s">
        <v>179</v>
      </c>
      <c r="F2633" s="934" t="s">
        <v>130</v>
      </c>
    </row>
    <row r="2634" spans="1:6" x14ac:dyDescent="0.2">
      <c r="A2634" s="931"/>
      <c r="B2634" s="932">
        <v>2</v>
      </c>
      <c r="C2634" s="933" t="s">
        <v>179</v>
      </c>
      <c r="D2634" s="989" t="s">
        <v>130</v>
      </c>
      <c r="E2634" s="955" t="s">
        <v>179</v>
      </c>
      <c r="F2634" s="934" t="s">
        <v>130</v>
      </c>
    </row>
    <row r="2635" spans="1:6" x14ac:dyDescent="0.2">
      <c r="A2635" s="931"/>
      <c r="B2635" s="932">
        <v>3</v>
      </c>
      <c r="C2635" s="933" t="s">
        <v>179</v>
      </c>
      <c r="D2635" s="989" t="s">
        <v>130</v>
      </c>
      <c r="E2635" s="955" t="s">
        <v>179</v>
      </c>
      <c r="F2635" s="934" t="s">
        <v>130</v>
      </c>
    </row>
    <row r="2636" spans="1:6" x14ac:dyDescent="0.2">
      <c r="A2636" s="931"/>
      <c r="B2636" s="932">
        <v>4</v>
      </c>
      <c r="C2636" s="933" t="s">
        <v>179</v>
      </c>
      <c r="D2636" s="989" t="s">
        <v>130</v>
      </c>
      <c r="E2636" s="955" t="s">
        <v>179</v>
      </c>
      <c r="F2636" s="934" t="s">
        <v>130</v>
      </c>
    </row>
    <row r="2637" spans="1:6" x14ac:dyDescent="0.2">
      <c r="A2637" s="931"/>
      <c r="B2637" s="932">
        <v>5</v>
      </c>
      <c r="C2637" s="933" t="s">
        <v>179</v>
      </c>
      <c r="D2637" s="989" t="s">
        <v>130</v>
      </c>
      <c r="E2637" s="955" t="s">
        <v>179</v>
      </c>
      <c r="F2637" s="934" t="s">
        <v>130</v>
      </c>
    </row>
    <row r="2638" spans="1:6" ht="21" thickBot="1" x14ac:dyDescent="0.25">
      <c r="A2638" s="931"/>
      <c r="B2638" s="932">
        <v>6</v>
      </c>
      <c r="C2638" s="933" t="s">
        <v>179</v>
      </c>
      <c r="D2638" s="989" t="s">
        <v>130</v>
      </c>
      <c r="E2638" s="955" t="s">
        <v>179</v>
      </c>
      <c r="F2638" s="934" t="s">
        <v>130</v>
      </c>
    </row>
    <row r="2639" spans="1:6" ht="21" thickBot="1" x14ac:dyDescent="0.25">
      <c r="A2639" s="937" t="s">
        <v>187</v>
      </c>
      <c r="B2639" s="938"/>
      <c r="C2639" s="968">
        <f>SUM(C2633:C2638)</f>
        <v>0</v>
      </c>
      <c r="D2639" s="940">
        <f>SUM(D2633:D2638)</f>
        <v>0</v>
      </c>
      <c r="E2639" s="962">
        <f>SUM(E2633:E2638)</f>
        <v>0</v>
      </c>
      <c r="F2639" s="940">
        <f>SUM(F2633:F2638)</f>
        <v>0</v>
      </c>
    </row>
    <row r="2640" spans="1:6" x14ac:dyDescent="0.2">
      <c r="A2640" s="931"/>
      <c r="B2640" s="932">
        <v>7</v>
      </c>
      <c r="C2640" s="933" t="s">
        <v>179</v>
      </c>
      <c r="D2640" s="989" t="s">
        <v>130</v>
      </c>
      <c r="E2640" s="955" t="s">
        <v>179</v>
      </c>
      <c r="F2640" s="934" t="s">
        <v>130</v>
      </c>
    </row>
    <row r="2641" spans="1:6" x14ac:dyDescent="0.2">
      <c r="A2641" s="931"/>
      <c r="B2641" s="932">
        <v>8</v>
      </c>
      <c r="C2641" s="933">
        <v>1</v>
      </c>
      <c r="D2641" s="989" t="s">
        <v>130</v>
      </c>
      <c r="E2641" s="955">
        <v>1</v>
      </c>
      <c r="F2641" s="934" t="s">
        <v>130</v>
      </c>
    </row>
    <row r="2642" spans="1:6" x14ac:dyDescent="0.2">
      <c r="A2642" s="931"/>
      <c r="B2642" s="932">
        <v>9</v>
      </c>
      <c r="C2642" s="933" t="s">
        <v>179</v>
      </c>
      <c r="D2642" s="989">
        <v>0</v>
      </c>
      <c r="E2642" s="955" t="s">
        <v>179</v>
      </c>
      <c r="F2642" s="934">
        <v>0</v>
      </c>
    </row>
    <row r="2643" spans="1:6" x14ac:dyDescent="0.2">
      <c r="A2643" s="931"/>
      <c r="B2643" s="932">
        <v>10</v>
      </c>
      <c r="C2643" s="933">
        <v>2</v>
      </c>
      <c r="D2643" s="989" t="s">
        <v>130</v>
      </c>
      <c r="E2643" s="955">
        <v>2</v>
      </c>
      <c r="F2643" s="934" t="s">
        <v>130</v>
      </c>
    </row>
    <row r="2644" spans="1:6" ht="21" thickBot="1" x14ac:dyDescent="0.25">
      <c r="A2644" s="931"/>
      <c r="B2644" s="932">
        <v>12</v>
      </c>
      <c r="C2644" s="933">
        <v>2</v>
      </c>
      <c r="D2644" s="989">
        <v>0</v>
      </c>
      <c r="E2644" s="955">
        <v>2</v>
      </c>
      <c r="F2644" s="934">
        <v>0</v>
      </c>
    </row>
    <row r="2645" spans="1:6" ht="21" thickBot="1" x14ac:dyDescent="0.25">
      <c r="A2645" s="937" t="s">
        <v>188</v>
      </c>
      <c r="B2645" s="938"/>
      <c r="C2645" s="968">
        <f>SUM(C2640:C2644)</f>
        <v>5</v>
      </c>
      <c r="D2645" s="940">
        <f>SUM(D2640:D2644)</f>
        <v>0</v>
      </c>
      <c r="E2645" s="962">
        <f>SUM(E2640:E2644)</f>
        <v>5</v>
      </c>
      <c r="F2645" s="940">
        <f>SUM(F2640:F2644)</f>
        <v>0</v>
      </c>
    </row>
    <row r="2646" spans="1:6" x14ac:dyDescent="0.2">
      <c r="A2646" s="931"/>
      <c r="B2646" s="932">
        <v>13</v>
      </c>
      <c r="C2646" s="933">
        <v>1</v>
      </c>
      <c r="D2646" s="989">
        <v>0</v>
      </c>
      <c r="E2646" s="955">
        <v>1</v>
      </c>
      <c r="F2646" s="934">
        <v>0</v>
      </c>
    </row>
    <row r="2647" spans="1:6" x14ac:dyDescent="0.2">
      <c r="A2647" s="931"/>
      <c r="B2647" s="932">
        <v>14</v>
      </c>
      <c r="C2647" s="933">
        <v>1</v>
      </c>
      <c r="D2647" s="989">
        <v>0</v>
      </c>
      <c r="E2647" s="955">
        <v>1</v>
      </c>
      <c r="F2647" s="934">
        <v>0</v>
      </c>
    </row>
    <row r="2648" spans="1:6" x14ac:dyDescent="0.2">
      <c r="A2648" s="931"/>
      <c r="B2648" s="932">
        <v>15</v>
      </c>
      <c r="C2648" s="933">
        <v>1</v>
      </c>
      <c r="D2648" s="989">
        <v>0</v>
      </c>
      <c r="E2648" s="955">
        <v>1</v>
      </c>
      <c r="F2648" s="934">
        <v>0</v>
      </c>
    </row>
    <row r="2649" spans="1:6" ht="21" thickBot="1" x14ac:dyDescent="0.25">
      <c r="A2649" s="931"/>
      <c r="B2649" s="932">
        <v>16</v>
      </c>
      <c r="C2649" s="933" t="s">
        <v>179</v>
      </c>
      <c r="D2649" s="989" t="s">
        <v>130</v>
      </c>
      <c r="E2649" s="955" t="s">
        <v>179</v>
      </c>
      <c r="F2649" s="934" t="s">
        <v>130</v>
      </c>
    </row>
    <row r="2650" spans="1:6" ht="21" thickBot="1" x14ac:dyDescent="0.25">
      <c r="A2650" s="937" t="s">
        <v>189</v>
      </c>
      <c r="B2650" s="938"/>
      <c r="C2650" s="968">
        <f>SUM(C2646:C2649)</f>
        <v>3</v>
      </c>
      <c r="D2650" s="940">
        <f>SUM(D2646:D2649)</f>
        <v>0</v>
      </c>
      <c r="E2650" s="962">
        <f>SUM(E2646:E2649)</f>
        <v>3</v>
      </c>
      <c r="F2650" s="940">
        <f>SUM(F2646:F2649)</f>
        <v>0</v>
      </c>
    </row>
    <row r="2651" spans="1:6" ht="21" thickBot="1" x14ac:dyDescent="0.25">
      <c r="A2651" s="937" t="s">
        <v>190</v>
      </c>
      <c r="B2651" s="938"/>
      <c r="C2651" s="939">
        <f>SUM(C2650,C2645,C2639)</f>
        <v>8</v>
      </c>
      <c r="D2651" s="940">
        <f>SUM(D2650,D2645,D2639)</f>
        <v>0</v>
      </c>
      <c r="E2651" s="959">
        <f>SUM(E2650,E2645,E2639)</f>
        <v>8</v>
      </c>
      <c r="F2651" s="940">
        <f>SUM(F2650,F2645,F2639)</f>
        <v>0</v>
      </c>
    </row>
    <row r="2652" spans="1:6" x14ac:dyDescent="0.2">
      <c r="A2652" s="919" t="s">
        <v>200</v>
      </c>
      <c r="C2652" s="1088">
        <v>1</v>
      </c>
      <c r="D2652" s="1089">
        <v>1250110</v>
      </c>
      <c r="E2652" s="1148">
        <v>1</v>
      </c>
      <c r="F2652" s="1149">
        <v>1250110</v>
      </c>
    </row>
    <row r="2653" spans="1:6" ht="21" thickBot="1" x14ac:dyDescent="0.25">
      <c r="A2653" s="919" t="s">
        <v>201</v>
      </c>
      <c r="C2653" s="1088"/>
      <c r="D2653" s="1089">
        <v>4479705</v>
      </c>
      <c r="E2653" s="1148"/>
      <c r="F2653" s="1149">
        <v>4479705</v>
      </c>
    </row>
    <row r="2654" spans="1:6" s="924" customFormat="1" ht="21" thickBot="1" x14ac:dyDescent="0.25">
      <c r="A2654" s="950" t="s">
        <v>117</v>
      </c>
      <c r="B2654" s="938"/>
      <c r="C2654" s="939">
        <f>SUM(C2652:C2653)</f>
        <v>1</v>
      </c>
      <c r="D2654" s="1032">
        <f>SUM(D2652:D2653)</f>
        <v>5729815</v>
      </c>
      <c r="E2654" s="959">
        <f>SUM(E2652:E2653)</f>
        <v>1</v>
      </c>
      <c r="F2654" s="940">
        <f>SUM(F2652:F2653)</f>
        <v>5729815</v>
      </c>
    </row>
    <row r="2655" spans="1:6" ht="21" thickBot="1" x14ac:dyDescent="0.25">
      <c r="A2655" s="3560" t="s">
        <v>211</v>
      </c>
      <c r="B2655" s="3561"/>
      <c r="C2655" s="1818">
        <f>SUM(C2651,C2654)</f>
        <v>9</v>
      </c>
      <c r="D2655" s="1032">
        <f>SUM(D2651,D2654)</f>
        <v>5729815</v>
      </c>
      <c r="E2655" s="1819">
        <f>SUM(E2651,E2654)</f>
        <v>9</v>
      </c>
      <c r="F2655" s="940">
        <f>SUM(F2651,F2654)</f>
        <v>5729815</v>
      </c>
    </row>
    <row r="2656" spans="1:6" x14ac:dyDescent="0.2">
      <c r="A2656" s="1820"/>
      <c r="B2656" s="1820"/>
      <c r="C2656" s="1821"/>
      <c r="D2656" s="985"/>
      <c r="E2656" s="1821"/>
      <c r="F2656" s="985"/>
    </row>
    <row r="2657" spans="1:6" x14ac:dyDescent="0.2">
      <c r="A2657" s="3545" t="s">
        <v>183</v>
      </c>
      <c r="B2657" s="3545"/>
      <c r="C2657" s="3545"/>
      <c r="D2657" s="3545"/>
      <c r="E2657" s="3545"/>
      <c r="F2657" s="3545"/>
    </row>
    <row r="2658" spans="1:6" ht="25.5" customHeight="1" thickBot="1" x14ac:dyDescent="0.25">
      <c r="A2658" s="3562" t="s">
        <v>1794</v>
      </c>
      <c r="B2658" s="3562"/>
      <c r="C2658" s="3562"/>
      <c r="D2658" s="3562"/>
      <c r="E2658" s="3562"/>
      <c r="F2658" s="3562"/>
    </row>
    <row r="2659" spans="1:6" s="988" customFormat="1" ht="41.25" thickBot="1" x14ac:dyDescent="0.25">
      <c r="A2659" s="920" t="s">
        <v>185</v>
      </c>
      <c r="B2659" s="921" t="s">
        <v>186</v>
      </c>
      <c r="C2659" s="922" t="s">
        <v>564</v>
      </c>
      <c r="D2659" s="923" t="s">
        <v>1128</v>
      </c>
      <c r="E2659" s="922" t="s">
        <v>1129</v>
      </c>
      <c r="F2659" s="923" t="s">
        <v>3096</v>
      </c>
    </row>
    <row r="2660" spans="1:6" x14ac:dyDescent="0.2">
      <c r="A2660" s="925"/>
      <c r="B2660" s="932">
        <v>1</v>
      </c>
      <c r="C2660" s="927" t="s">
        <v>179</v>
      </c>
      <c r="D2660" s="989" t="s">
        <v>130</v>
      </c>
      <c r="E2660" s="927">
        <v>0</v>
      </c>
      <c r="F2660" s="928">
        <v>0</v>
      </c>
    </row>
    <row r="2661" spans="1:6" x14ac:dyDescent="0.2">
      <c r="A2661" s="931"/>
      <c r="B2661" s="932">
        <v>2</v>
      </c>
      <c r="C2661" s="933">
        <v>0</v>
      </c>
      <c r="D2661" s="989">
        <v>0</v>
      </c>
      <c r="E2661" s="933">
        <v>0</v>
      </c>
      <c r="F2661" s="934">
        <v>0</v>
      </c>
    </row>
    <row r="2662" spans="1:6" x14ac:dyDescent="0.2">
      <c r="A2662" s="931"/>
      <c r="B2662" s="932">
        <v>3</v>
      </c>
      <c r="C2662" s="933">
        <v>0</v>
      </c>
      <c r="D2662" s="989">
        <v>0</v>
      </c>
      <c r="E2662" s="933">
        <v>0</v>
      </c>
      <c r="F2662" s="934">
        <v>0</v>
      </c>
    </row>
    <row r="2663" spans="1:6" x14ac:dyDescent="0.2">
      <c r="A2663" s="931"/>
      <c r="B2663" s="932">
        <v>4</v>
      </c>
      <c r="C2663" s="933">
        <v>6</v>
      </c>
      <c r="D2663" s="989">
        <v>2511700</v>
      </c>
      <c r="E2663" s="933">
        <v>3</v>
      </c>
      <c r="F2663" s="934">
        <v>1255849</v>
      </c>
    </row>
    <row r="2664" spans="1:6" x14ac:dyDescent="0.2">
      <c r="A2664" s="931"/>
      <c r="B2664" s="932">
        <v>5</v>
      </c>
      <c r="C2664" s="933"/>
      <c r="E2664" s="933">
        <v>0</v>
      </c>
      <c r="F2664" s="934">
        <v>0</v>
      </c>
    </row>
    <row r="2665" spans="1:6" ht="21" thickBot="1" x14ac:dyDescent="0.25">
      <c r="A2665" s="931"/>
      <c r="B2665" s="932">
        <v>6</v>
      </c>
      <c r="C2665" s="933">
        <v>2</v>
      </c>
      <c r="D2665" s="989">
        <v>926040</v>
      </c>
      <c r="E2665" s="933">
        <v>2</v>
      </c>
      <c r="F2665" s="934">
        <v>926040</v>
      </c>
    </row>
    <row r="2666" spans="1:6" ht="21" thickBot="1" x14ac:dyDescent="0.25">
      <c r="A2666" s="937" t="s">
        <v>187</v>
      </c>
      <c r="B2666" s="938"/>
      <c r="C2666" s="968">
        <f>SUM(C2660:C2665)</f>
        <v>8</v>
      </c>
      <c r="D2666" s="940">
        <f>SUM(D2660:D2665)</f>
        <v>3437740</v>
      </c>
      <c r="E2666" s="968">
        <v>5</v>
      </c>
      <c r="F2666" s="940">
        <v>2181889</v>
      </c>
    </row>
    <row r="2667" spans="1:6" x14ac:dyDescent="0.2">
      <c r="A2667" s="931"/>
      <c r="B2667" s="932">
        <v>7</v>
      </c>
      <c r="C2667" s="933">
        <v>3</v>
      </c>
      <c r="D2667" s="989">
        <v>2987340</v>
      </c>
      <c r="E2667" s="933">
        <v>4</v>
      </c>
      <c r="F2667" s="934">
        <v>3983120</v>
      </c>
    </row>
    <row r="2668" spans="1:6" x14ac:dyDescent="0.2">
      <c r="A2668" s="931"/>
      <c r="B2668" s="932">
        <v>8</v>
      </c>
      <c r="C2668" s="933">
        <v>3</v>
      </c>
      <c r="D2668" s="989">
        <v>2139445</v>
      </c>
      <c r="E2668" s="933">
        <v>3</v>
      </c>
      <c r="F2668" s="934">
        <v>2139444</v>
      </c>
    </row>
    <row r="2669" spans="1:6" x14ac:dyDescent="0.2">
      <c r="A2669" s="931"/>
      <c r="B2669" s="932">
        <v>9</v>
      </c>
      <c r="C2669" s="933">
        <v>5</v>
      </c>
      <c r="D2669" s="989">
        <v>4377960</v>
      </c>
      <c r="E2669" s="933">
        <v>7</v>
      </c>
      <c r="F2669" s="934">
        <v>6129144</v>
      </c>
    </row>
    <row r="2670" spans="1:6" x14ac:dyDescent="0.2">
      <c r="A2670" s="931"/>
      <c r="B2670" s="932">
        <v>10</v>
      </c>
      <c r="C2670" s="933">
        <v>4</v>
      </c>
      <c r="D2670" s="989">
        <v>4341505</v>
      </c>
      <c r="E2670" s="933">
        <v>4</v>
      </c>
      <c r="F2670" s="934">
        <v>4341504</v>
      </c>
    </row>
    <row r="2671" spans="1:6" ht="21" thickBot="1" x14ac:dyDescent="0.25">
      <c r="A2671" s="931"/>
      <c r="B2671" s="932">
        <v>12</v>
      </c>
      <c r="C2671" s="933">
        <v>8</v>
      </c>
      <c r="D2671" s="989">
        <v>8827210</v>
      </c>
      <c r="E2671" s="933">
        <v>4</v>
      </c>
      <c r="F2671" s="934">
        <v>4413606</v>
      </c>
    </row>
    <row r="2672" spans="1:6" ht="21" thickBot="1" x14ac:dyDescent="0.25">
      <c r="A2672" s="937" t="s">
        <v>188</v>
      </c>
      <c r="B2672" s="938"/>
      <c r="C2672" s="968">
        <f>SUM(C2667:C2671)</f>
        <v>23</v>
      </c>
      <c r="D2672" s="940">
        <f>SUM(D2667:D2671)</f>
        <v>22673460</v>
      </c>
      <c r="E2672" s="968">
        <v>22</v>
      </c>
      <c r="F2672" s="940">
        <v>21006818</v>
      </c>
    </row>
    <row r="2673" spans="1:6" x14ac:dyDescent="0.2">
      <c r="A2673" s="931"/>
      <c r="B2673" s="932">
        <v>13</v>
      </c>
      <c r="C2673" s="933">
        <v>8</v>
      </c>
      <c r="D2673" s="989">
        <v>9215975</v>
      </c>
      <c r="E2673" s="933">
        <v>12</v>
      </c>
      <c r="F2673" s="934">
        <v>13823964</v>
      </c>
    </row>
    <row r="2674" spans="1:6" x14ac:dyDescent="0.2">
      <c r="A2674" s="931"/>
      <c r="B2674" s="932">
        <v>14</v>
      </c>
      <c r="C2674" s="933">
        <v>26</v>
      </c>
      <c r="D2674" s="989">
        <v>38463820</v>
      </c>
      <c r="E2674" s="933">
        <v>25</v>
      </c>
      <c r="F2674" s="934">
        <v>37145300</v>
      </c>
    </row>
    <row r="2675" spans="1:6" x14ac:dyDescent="0.2">
      <c r="A2675" s="931"/>
      <c r="B2675" s="932">
        <v>15</v>
      </c>
      <c r="C2675" s="933">
        <v>6</v>
      </c>
      <c r="D2675" s="989">
        <v>11626630</v>
      </c>
      <c r="E2675" s="933">
        <v>3</v>
      </c>
      <c r="F2675" s="934">
        <v>5813316</v>
      </c>
    </row>
    <row r="2676" spans="1:6" ht="21" thickBot="1" x14ac:dyDescent="0.25">
      <c r="A2676" s="931"/>
      <c r="B2676" s="932">
        <v>16</v>
      </c>
      <c r="C2676" s="933">
        <v>4</v>
      </c>
      <c r="D2676" s="989">
        <v>9512545</v>
      </c>
      <c r="E2676" s="933">
        <v>4</v>
      </c>
      <c r="F2676" s="934">
        <v>9512544</v>
      </c>
    </row>
    <row r="2677" spans="1:6" ht="21" thickBot="1" x14ac:dyDescent="0.25">
      <c r="A2677" s="937" t="s">
        <v>189</v>
      </c>
      <c r="B2677" s="938"/>
      <c r="C2677" s="968">
        <f>SUM(C2673:C2676)</f>
        <v>44</v>
      </c>
      <c r="D2677" s="940">
        <f>SUM(D2673:D2676)</f>
        <v>68818970</v>
      </c>
      <c r="E2677" s="968">
        <f>SUM(E2673:E2676)</f>
        <v>44</v>
      </c>
      <c r="F2677" s="940">
        <f>SUM(F2673:F2676)</f>
        <v>66295124</v>
      </c>
    </row>
    <row r="2678" spans="1:6" ht="21" thickBot="1" x14ac:dyDescent="0.25">
      <c r="A2678" s="937" t="s">
        <v>190</v>
      </c>
      <c r="B2678" s="938"/>
      <c r="C2678" s="939">
        <f>SUM(C2677,C2672,C2666)</f>
        <v>75</v>
      </c>
      <c r="D2678" s="940">
        <f>SUM(D2677,D2672,D2666)</f>
        <v>94930170</v>
      </c>
      <c r="E2678" s="939">
        <f>SUM(E2677,E2672,E2666)</f>
        <v>71</v>
      </c>
      <c r="F2678" s="940">
        <f>SUM(F2677,F2672,F2666)</f>
        <v>89483831</v>
      </c>
    </row>
    <row r="2679" spans="1:6" x14ac:dyDescent="0.2">
      <c r="A2679" s="964" t="s">
        <v>528</v>
      </c>
      <c r="B2679" s="954"/>
      <c r="C2679" s="933">
        <v>1</v>
      </c>
      <c r="D2679" s="978">
        <v>1337225</v>
      </c>
      <c r="E2679" s="933">
        <v>1</v>
      </c>
      <c r="F2679" s="934">
        <v>1337225</v>
      </c>
    </row>
    <row r="2680" spans="1:6" x14ac:dyDescent="0.2">
      <c r="A2680" s="964" t="s">
        <v>529</v>
      </c>
      <c r="B2680" s="954"/>
      <c r="C2680" s="933"/>
      <c r="D2680" s="978">
        <v>4479705</v>
      </c>
      <c r="E2680" s="933"/>
      <c r="F2680" s="934">
        <v>4479705</v>
      </c>
    </row>
    <row r="2681" spans="1:6" x14ac:dyDescent="0.2">
      <c r="A2681" s="964" t="s">
        <v>216</v>
      </c>
      <c r="B2681" s="954"/>
      <c r="C2681" s="933">
        <v>1</v>
      </c>
      <c r="D2681" s="978">
        <v>1247870</v>
      </c>
      <c r="E2681" s="933">
        <v>1</v>
      </c>
      <c r="F2681" s="934">
        <v>1247870</v>
      </c>
    </row>
    <row r="2682" spans="1:6" ht="21" thickBot="1" x14ac:dyDescent="0.25">
      <c r="A2682" s="964" t="s">
        <v>530</v>
      </c>
      <c r="B2682" s="954"/>
      <c r="C2682" s="933"/>
      <c r="D2682" s="978">
        <v>4180365</v>
      </c>
      <c r="E2682" s="933"/>
      <c r="F2682" s="934">
        <v>4180365</v>
      </c>
    </row>
    <row r="2683" spans="1:6" s="924" customFormat="1" ht="21" thickBot="1" x14ac:dyDescent="0.25">
      <c r="A2683" s="950" t="s">
        <v>117</v>
      </c>
      <c r="B2683" s="938"/>
      <c r="C2683" s="939">
        <f>SUM(C2679:C2682)</f>
        <v>2</v>
      </c>
      <c r="D2683" s="940">
        <f>SUM(D2679:D2682)</f>
        <v>11245165</v>
      </c>
      <c r="E2683" s="939">
        <f>SUM(E2679:E2682)</f>
        <v>2</v>
      </c>
      <c r="F2683" s="940">
        <f>SUM(F2679:F2682)</f>
        <v>11245165</v>
      </c>
    </row>
    <row r="2684" spans="1:6" ht="21" thickBot="1" x14ac:dyDescent="0.25">
      <c r="A2684" s="950" t="s">
        <v>207</v>
      </c>
      <c r="B2684" s="938"/>
      <c r="C2684" s="939">
        <f>SUM(C2678,C2683)</f>
        <v>77</v>
      </c>
      <c r="D2684" s="940">
        <f>SUM(D2678,D2683)</f>
        <v>106175335</v>
      </c>
      <c r="E2684" s="939">
        <f>SUM(E2678,E2683)</f>
        <v>73</v>
      </c>
      <c r="F2684" s="940">
        <f>SUM(F2678,F2683)</f>
        <v>100728996</v>
      </c>
    </row>
    <row r="2685" spans="1:6" x14ac:dyDescent="0.2">
      <c r="A2685" s="3545"/>
      <c r="B2685" s="3545"/>
      <c r="C2685" s="3545"/>
      <c r="D2685" s="3545"/>
      <c r="E2685" s="3545"/>
      <c r="F2685" s="3545"/>
    </row>
  </sheetData>
  <mergeCells count="224">
    <mergeCell ref="A1609:F1609"/>
    <mergeCell ref="A1497:F1497"/>
    <mergeCell ref="A1498:F1498"/>
    <mergeCell ref="A1525:F1525"/>
    <mergeCell ref="A1526:F1526"/>
    <mergeCell ref="A2432:F2432"/>
    <mergeCell ref="A2403:F2403"/>
    <mergeCell ref="A1610:F1610"/>
    <mergeCell ref="A1611:F1611"/>
    <mergeCell ref="A1639:F1639"/>
    <mergeCell ref="A1640:F1640"/>
    <mergeCell ref="A1641:F1641"/>
    <mergeCell ref="A1667:F1667"/>
    <mergeCell ref="A1696:F1696"/>
    <mergeCell ref="A1697:F1697"/>
    <mergeCell ref="A1527:F1527"/>
    <mergeCell ref="A1552:F1552"/>
    <mergeCell ref="A1553:F1553"/>
    <mergeCell ref="A1932:B1932"/>
    <mergeCell ref="A2015:F2015"/>
    <mergeCell ref="A2095:F2095"/>
    <mergeCell ref="A2096:F2096"/>
    <mergeCell ref="A2229:F2229"/>
    <mergeCell ref="A2016:F2016"/>
    <mergeCell ref="A2655:B2655"/>
    <mergeCell ref="A120:F120"/>
    <mergeCell ref="A2600:F2600"/>
    <mergeCell ref="A2601:F2601"/>
    <mergeCell ref="A2602:F2602"/>
    <mergeCell ref="A2629:F2629"/>
    <mergeCell ref="A2657:F2657"/>
    <mergeCell ref="A2658:F2658"/>
    <mergeCell ref="A2130:F2130"/>
    <mergeCell ref="A2131:F2131"/>
    <mergeCell ref="A2255:F2255"/>
    <mergeCell ref="A2256:F2256"/>
    <mergeCell ref="A2280:F2280"/>
    <mergeCell ref="A2281:F2281"/>
    <mergeCell ref="A264:F264"/>
    <mergeCell ref="A265:F265"/>
    <mergeCell ref="A290:F290"/>
    <mergeCell ref="A614:F614"/>
    <mergeCell ref="A557:F557"/>
    <mergeCell ref="A674:F674"/>
    <mergeCell ref="A675:F675"/>
    <mergeCell ref="A703:F703"/>
    <mergeCell ref="A704:F704"/>
    <mergeCell ref="A389:F389"/>
    <mergeCell ref="A1:F1"/>
    <mergeCell ref="A2:F2"/>
    <mergeCell ref="A31:F31"/>
    <mergeCell ref="A32:F32"/>
    <mergeCell ref="A792:F792"/>
    <mergeCell ref="A793:F793"/>
    <mergeCell ref="A179:F179"/>
    <mergeCell ref="A180:F180"/>
    <mergeCell ref="A61:F61"/>
    <mergeCell ref="A93:F93"/>
    <mergeCell ref="A94:F94"/>
    <mergeCell ref="A119:F119"/>
    <mergeCell ref="A146:F146"/>
    <mergeCell ref="A147:F147"/>
    <mergeCell ref="A63:F63"/>
    <mergeCell ref="A291:F291"/>
    <mergeCell ref="A292:F292"/>
    <mergeCell ref="A293:F293"/>
    <mergeCell ref="A318:F318"/>
    <mergeCell ref="A319:F319"/>
    <mergeCell ref="A211:F211"/>
    <mergeCell ref="A62:F62"/>
    <mergeCell ref="A238:F238"/>
    <mergeCell ref="A239:F239"/>
    <mergeCell ref="A558:F558"/>
    <mergeCell ref="A320:F320"/>
    <mergeCell ref="A361:F361"/>
    <mergeCell ref="A388:F388"/>
    <mergeCell ref="A121:F121"/>
    <mergeCell ref="A449:F449"/>
    <mergeCell ref="A450:F450"/>
    <mergeCell ref="A423:E423"/>
    <mergeCell ref="A424:E424"/>
    <mergeCell ref="A504:F504"/>
    <mergeCell ref="A505:F505"/>
    <mergeCell ref="A476:F476"/>
    <mergeCell ref="A477:F477"/>
    <mergeCell ref="A532:F532"/>
    <mergeCell ref="A362:F362"/>
    <mergeCell ref="A363:F363"/>
    <mergeCell ref="A212:F212"/>
    <mergeCell ref="A213:F213"/>
    <mergeCell ref="A559:F559"/>
    <mergeCell ref="A584:F584"/>
    <mergeCell ref="A585:F585"/>
    <mergeCell ref="A586:F586"/>
    <mergeCell ref="A613:F613"/>
    <mergeCell ref="A648:F648"/>
    <mergeCell ref="A646:F646"/>
    <mergeCell ref="A763:F763"/>
    <mergeCell ref="A647:F647"/>
    <mergeCell ref="A791:F791"/>
    <mergeCell ref="A821:F821"/>
    <mergeCell ref="A822:F822"/>
    <mergeCell ref="A849:F849"/>
    <mergeCell ref="A705:F705"/>
    <mergeCell ref="A731:F731"/>
    <mergeCell ref="A732:F732"/>
    <mergeCell ref="A733:F733"/>
    <mergeCell ref="A761:F761"/>
    <mergeCell ref="A762:F762"/>
    <mergeCell ref="A993:F993"/>
    <mergeCell ref="A1020:F1020"/>
    <mergeCell ref="A1021:F1021"/>
    <mergeCell ref="A850:F850"/>
    <mergeCell ref="A909:F909"/>
    <mergeCell ref="A935:F935"/>
    <mergeCell ref="A936:F936"/>
    <mergeCell ref="A962:F962"/>
    <mergeCell ref="A963:F963"/>
    <mergeCell ref="A883:E883"/>
    <mergeCell ref="A884:E884"/>
    <mergeCell ref="A910:E910"/>
    <mergeCell ref="A911:F911"/>
    <mergeCell ref="A964:F964"/>
    <mergeCell ref="A991:F991"/>
    <mergeCell ref="A992:F992"/>
    <mergeCell ref="A1108:F1108"/>
    <mergeCell ref="A1219:F1219"/>
    <mergeCell ref="A1220:F1220"/>
    <mergeCell ref="A1245:F1245"/>
    <mergeCell ref="A1246:F1246"/>
    <mergeCell ref="A1022:F1022"/>
    <mergeCell ref="A1047:F1047"/>
    <mergeCell ref="A1048:F1048"/>
    <mergeCell ref="A1107:F1107"/>
    <mergeCell ref="A1134:F1134"/>
    <mergeCell ref="A1135:F1135"/>
    <mergeCell ref="A1193:F1193"/>
    <mergeCell ref="A1194:F1194"/>
    <mergeCell ref="A1165:F1165"/>
    <mergeCell ref="A1079:F1079"/>
    <mergeCell ref="A1080:F1080"/>
    <mergeCell ref="A1581:F1581"/>
    <mergeCell ref="A1247:F1247"/>
    <mergeCell ref="A1272:F1272"/>
    <mergeCell ref="A1273:F1273"/>
    <mergeCell ref="A1334:F1334"/>
    <mergeCell ref="A1390:F1390"/>
    <mergeCell ref="A1166:F1166"/>
    <mergeCell ref="A1167:F1167"/>
    <mergeCell ref="A1336:F1336"/>
    <mergeCell ref="A1364:F1364"/>
    <mergeCell ref="A1365:F1365"/>
    <mergeCell ref="A1934:F1934"/>
    <mergeCell ref="A1935:F1935"/>
    <mergeCell ref="A1808:F1808"/>
    <mergeCell ref="A1899:F1899"/>
    <mergeCell ref="A1391:F1391"/>
    <mergeCell ref="A1418:F1418"/>
    <mergeCell ref="A1809:F1809"/>
    <mergeCell ref="A1810:F1810"/>
    <mergeCell ref="A1837:F1837"/>
    <mergeCell ref="A1668:F1668"/>
    <mergeCell ref="A1669:F1669"/>
    <mergeCell ref="A1695:F1695"/>
    <mergeCell ref="A1721:F1721"/>
    <mergeCell ref="A1722:F1722"/>
    <mergeCell ref="A1752:F1752"/>
    <mergeCell ref="A1753:E1753"/>
    <mergeCell ref="A1754:E1754"/>
    <mergeCell ref="A1419:F1419"/>
    <mergeCell ref="B1445:F1445"/>
    <mergeCell ref="A1471:F1471"/>
    <mergeCell ref="A1472:F1472"/>
    <mergeCell ref="A1446:F1446"/>
    <mergeCell ref="A1447:F1447"/>
    <mergeCell ref="A1580:F1580"/>
    <mergeCell ref="A2070:F2070"/>
    <mergeCell ref="A2319:F2319"/>
    <mergeCell ref="A2320:F2320"/>
    <mergeCell ref="A2431:F2431"/>
    <mergeCell ref="A2685:F2685"/>
    <mergeCell ref="A531:F531"/>
    <mergeCell ref="A1865:F1865"/>
    <mergeCell ref="A1866:F1866"/>
    <mergeCell ref="A1335:F1335"/>
    <mergeCell ref="A2630:F2630"/>
    <mergeCell ref="A2631:F2631"/>
    <mergeCell ref="A2573:F2573"/>
    <mergeCell ref="A2574:F2574"/>
    <mergeCell ref="A1304:F1304"/>
    <mergeCell ref="A1305:F1305"/>
    <mergeCell ref="A2542:F2542"/>
    <mergeCell ref="A2543:F2543"/>
    <mergeCell ref="A1987:F1987"/>
    <mergeCell ref="A1988:F1988"/>
    <mergeCell ref="A1780:F1780"/>
    <mergeCell ref="A1781:F1781"/>
    <mergeCell ref="A1838:F1838"/>
    <mergeCell ref="A1839:F1839"/>
    <mergeCell ref="A1898:F1898"/>
    <mergeCell ref="A2017:F2017"/>
    <mergeCell ref="A2175:F2175"/>
    <mergeCell ref="A2176:F2176"/>
    <mergeCell ref="A1933:F1933"/>
    <mergeCell ref="A2516:F2516"/>
    <mergeCell ref="A2517:F2517"/>
    <mergeCell ref="A1961:F1961"/>
    <mergeCell ref="A1962:F1962"/>
    <mergeCell ref="A2201:F2201"/>
    <mergeCell ref="A2202:F2202"/>
    <mergeCell ref="A2228:F2228"/>
    <mergeCell ref="A2318:F2318"/>
    <mergeCell ref="A2404:F2404"/>
    <mergeCell ref="A2346:F2346"/>
    <mergeCell ref="A2347:F2347"/>
    <mergeCell ref="A2373:F2373"/>
    <mergeCell ref="A2374:F2374"/>
    <mergeCell ref="A2488:F2488"/>
    <mergeCell ref="A2489:F2489"/>
    <mergeCell ref="A2458:F2458"/>
    <mergeCell ref="A2459:F2459"/>
    <mergeCell ref="A2043:F2043"/>
    <mergeCell ref="A2044:F2044"/>
    <mergeCell ref="A2069:F2069"/>
  </mergeCells>
  <printOptions horizontalCentered="1"/>
  <pageMargins left="0.37076271186440701" right="0.25" top="0.75" bottom="0.75" header="0.3" footer="0.3"/>
  <pageSetup paperSize="9" scale="78" firstPageNumber="137" fitToHeight="0" orientation="landscape" useFirstPageNumber="1" r:id="rId1"/>
  <headerFooter>
    <oddHeader>&amp;L&amp;G&amp;R&amp;K05-022KATSINA STATE GOVERNMENT 2021 APPROVED APPROPRIATION LAW</oddHeader>
    <oddFooter>&amp;L&amp;11&amp;K05-017KATSINA STATE GOVERNMENT 2021 APPROVED APPROPRIATION LAW&amp;C&amp;14&amp;P&amp;R&amp;G</oddFooter>
  </headerFooter>
  <rowBreaks count="97" manualBreakCount="97">
    <brk id="30" max="16383" man="1"/>
    <brk id="60" max="5" man="1"/>
    <brk id="91" max="5" man="1"/>
    <brk id="118" max="16383" man="1"/>
    <brk id="145" max="16383" man="1"/>
    <brk id="178" max="16383" man="1"/>
    <brk id="210" max="5" man="1"/>
    <brk id="237" max="5" man="1"/>
    <brk id="262" max="5" man="1"/>
    <brk id="289" max="5" man="1"/>
    <brk id="317" max="16383" man="1"/>
    <brk id="341" max="5" man="1"/>
    <brk id="360" max="16383" man="1"/>
    <brk id="387" max="16383" man="1"/>
    <brk id="421" max="5" man="1"/>
    <brk id="447" max="5" man="1"/>
    <brk id="474" max="16383" man="1"/>
    <brk id="501" max="5" man="1"/>
    <brk id="529" max="5" man="1"/>
    <brk id="556" max="5" man="1"/>
    <brk id="583" max="5" man="1"/>
    <brk id="612" max="16383" man="1"/>
    <brk id="645" max="5" man="1"/>
    <brk id="672" max="5" man="1"/>
    <brk id="702" max="5" man="1"/>
    <brk id="730" max="16383" man="1"/>
    <brk id="760" max="16383" man="1"/>
    <brk id="790" max="5" man="1"/>
    <brk id="819" max="16383" man="1"/>
    <brk id="848" max="16383" man="1"/>
    <brk id="881" max="5" man="1"/>
    <brk id="908" max="5" man="1"/>
    <brk id="933" max="5" man="1"/>
    <brk id="961" max="5" man="1"/>
    <brk id="990" max="5" man="1"/>
    <brk id="1019" max="5" man="1"/>
    <brk id="1046" max="16383" man="1"/>
    <brk id="1077" max="16383" man="1"/>
    <brk id="1105" max="5" man="1"/>
    <brk id="1132" max="5" man="1"/>
    <brk id="1163" max="5" man="1"/>
    <brk id="1191" max="5" man="1"/>
    <brk id="1217" max="5" man="1"/>
    <brk id="1191" max="5" man="1"/>
    <brk id="1244" max="5" man="1"/>
    <brk id="1271" max="16383" man="1"/>
    <brk id="1303" max="5" man="1"/>
    <brk id="1333" max="16383" man="1"/>
    <brk id="1362" max="5" man="1"/>
    <brk id="1388" max="5" man="1"/>
    <brk id="1417" max="16383" man="1"/>
    <brk id="1444" max="5" man="1"/>
    <brk id="1469" max="5" man="1"/>
    <brk id="1494" max="5" man="1"/>
    <brk id="1524" max="16383" man="1"/>
    <brk id="1550" max="5" man="1"/>
    <brk id="1578" max="16383" man="1"/>
    <brk id="1550" max="5" man="1"/>
    <brk id="1608" max="5" man="1"/>
    <brk id="1638" max="5" man="1"/>
    <brk id="1666" max="5" man="1"/>
    <brk id="1694" max="5" man="1"/>
    <brk id="1720" max="16383" man="1"/>
    <brk id="1751" max="5" man="1"/>
    <brk id="1778" max="5" man="1"/>
    <brk id="1807" max="5" man="1"/>
    <brk id="1836" max="5" man="1"/>
    <brk id="1864" max="5" man="1"/>
    <brk id="1897" max="5" man="1"/>
    <brk id="1932" max="5" man="1"/>
    <brk id="1959" max="16383" man="1"/>
    <brk id="1985" max="16383" man="1"/>
    <brk id="2014" max="5" man="1"/>
    <brk id="2041" max="5" man="1"/>
    <brk id="2067" max="5" man="1"/>
    <brk id="2094" max="16383" man="1"/>
    <brk id="2128" max="16383" man="1"/>
    <brk id="2154" max="5" man="1"/>
    <brk id="2173" max="16383" man="1"/>
    <brk id="2199" max="5" man="1"/>
    <brk id="2226" max="16383" man="1"/>
    <brk id="2253" max="16383" man="1"/>
    <brk id="2279" max="16383" man="1"/>
    <brk id="2317" max="16383" man="1"/>
    <brk id="2345" max="5" man="1"/>
    <brk id="2372" max="5" man="1"/>
    <brk id="2402" max="5" man="1"/>
    <brk id="2372" max="5" man="1"/>
    <brk id="2430" max="5" man="1"/>
    <brk id="2456" max="5" man="1"/>
    <brk id="2486" max="5" man="1"/>
    <brk id="2514" max="5" man="1"/>
    <brk id="2541" max="16383" man="1"/>
    <brk id="2571" max="16383" man="1"/>
    <brk id="2599" max="5" man="1"/>
    <brk id="2628" max="5" man="1"/>
    <brk id="2655" max="5" man="1"/>
  </rowBreaks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0"/>
  <sheetViews>
    <sheetView topLeftCell="A21" workbookViewId="0">
      <selection activeCell="C115" sqref="C115"/>
    </sheetView>
  </sheetViews>
  <sheetFormatPr defaultRowHeight="18.75" x14ac:dyDescent="0.3"/>
  <cols>
    <col min="1" max="1" width="9.140625" style="3394"/>
    <col min="2" max="2" width="20.85546875" style="3393" customWidth="1"/>
    <col min="3" max="3" width="129.42578125" style="5" customWidth="1"/>
    <col min="4" max="16384" width="9.140625" style="3383"/>
  </cols>
  <sheetData>
    <row r="1" spans="1:3" x14ac:dyDescent="0.3">
      <c r="B1" s="3383"/>
      <c r="C1" s="3383"/>
    </row>
    <row r="2" spans="1:3" ht="19.5" thickBot="1" x14ac:dyDescent="0.35">
      <c r="B2" s="3383"/>
      <c r="C2" s="3383"/>
    </row>
    <row r="3" spans="1:3" x14ac:dyDescent="0.25">
      <c r="A3" s="3567" t="s">
        <v>1120</v>
      </c>
      <c r="B3" s="3384" t="s">
        <v>394</v>
      </c>
      <c r="C3" s="3385" t="s">
        <v>520</v>
      </c>
    </row>
    <row r="4" spans="1:3" ht="19.5" thickBot="1" x14ac:dyDescent="0.3">
      <c r="A4" s="3568"/>
      <c r="B4" s="3386" t="s">
        <v>1</v>
      </c>
      <c r="C4" s="3387"/>
    </row>
    <row r="5" spans="1:3" ht="19.5" thickBot="1" x14ac:dyDescent="0.3">
      <c r="A5" s="3569"/>
      <c r="B5" s="3389" t="s">
        <v>83</v>
      </c>
      <c r="C5" s="3388" t="s">
        <v>641</v>
      </c>
    </row>
    <row r="6" spans="1:3" x14ac:dyDescent="0.3">
      <c r="A6" s="3395">
        <v>1</v>
      </c>
      <c r="B6" s="3408" t="s">
        <v>398</v>
      </c>
      <c r="C6" s="3397" t="s">
        <v>1375</v>
      </c>
    </row>
    <row r="7" spans="1:3" x14ac:dyDescent="0.3">
      <c r="A7" s="3396">
        <v>2</v>
      </c>
      <c r="B7" s="3405" t="s">
        <v>429</v>
      </c>
      <c r="C7" s="3398" t="s">
        <v>1376</v>
      </c>
    </row>
    <row r="8" spans="1:3" x14ac:dyDescent="0.3">
      <c r="A8" s="3396">
        <v>3</v>
      </c>
      <c r="B8" s="3405" t="s">
        <v>410</v>
      </c>
      <c r="C8" s="3398" t="s">
        <v>1377</v>
      </c>
    </row>
    <row r="9" spans="1:3" x14ac:dyDescent="0.3">
      <c r="A9" s="3396">
        <v>4</v>
      </c>
      <c r="B9" s="3405" t="s">
        <v>407</v>
      </c>
      <c r="C9" s="3398" t="s">
        <v>1378</v>
      </c>
    </row>
    <row r="10" spans="1:3" x14ac:dyDescent="0.3">
      <c r="A10" s="3396">
        <v>5</v>
      </c>
      <c r="B10" s="3405" t="s">
        <v>2404</v>
      </c>
      <c r="C10" s="3398" t="s">
        <v>1447</v>
      </c>
    </row>
    <row r="11" spans="1:3" x14ac:dyDescent="0.3">
      <c r="A11" s="3396">
        <v>6</v>
      </c>
      <c r="B11" s="3405" t="s">
        <v>1281</v>
      </c>
      <c r="C11" s="3398" t="s">
        <v>2406</v>
      </c>
    </row>
    <row r="12" spans="1:3" x14ac:dyDescent="0.3">
      <c r="A12" s="3396">
        <v>7</v>
      </c>
      <c r="B12" s="3405" t="s">
        <v>399</v>
      </c>
      <c r="C12" s="3398" t="s">
        <v>1446</v>
      </c>
    </row>
    <row r="13" spans="1:3" x14ac:dyDescent="0.3">
      <c r="A13" s="3396">
        <v>8</v>
      </c>
      <c r="B13" s="3405" t="s">
        <v>3022</v>
      </c>
      <c r="C13" s="3398" t="s">
        <v>3023</v>
      </c>
    </row>
    <row r="14" spans="1:3" x14ac:dyDescent="0.3">
      <c r="A14" s="3396">
        <v>9</v>
      </c>
      <c r="B14" s="3405" t="s">
        <v>1278</v>
      </c>
      <c r="C14" s="3398" t="s">
        <v>153</v>
      </c>
    </row>
    <row r="15" spans="1:3" x14ac:dyDescent="0.3">
      <c r="A15" s="3396">
        <v>10</v>
      </c>
      <c r="B15" s="3405" t="s">
        <v>409</v>
      </c>
      <c r="C15" s="3398" t="s">
        <v>588</v>
      </c>
    </row>
    <row r="16" spans="1:3" x14ac:dyDescent="0.3">
      <c r="A16" s="3396">
        <v>11</v>
      </c>
      <c r="B16" s="3405" t="s">
        <v>1279</v>
      </c>
      <c r="C16" s="3398" t="s">
        <v>1381</v>
      </c>
    </row>
    <row r="17" spans="1:3" x14ac:dyDescent="0.3">
      <c r="A17" s="3396">
        <v>12</v>
      </c>
      <c r="B17" s="3405" t="s">
        <v>432</v>
      </c>
      <c r="C17" s="3398" t="s">
        <v>1382</v>
      </c>
    </row>
    <row r="18" spans="1:3" x14ac:dyDescent="0.3">
      <c r="A18" s="3396">
        <v>13</v>
      </c>
      <c r="B18" s="3405" t="s">
        <v>408</v>
      </c>
      <c r="C18" s="3398" t="s">
        <v>1383</v>
      </c>
    </row>
    <row r="19" spans="1:3" x14ac:dyDescent="0.3">
      <c r="A19" s="3396">
        <v>14</v>
      </c>
      <c r="B19" s="3405" t="s">
        <v>411</v>
      </c>
      <c r="C19" s="3398" t="s">
        <v>1384</v>
      </c>
    </row>
    <row r="20" spans="1:3" x14ac:dyDescent="0.3">
      <c r="A20" s="3396">
        <v>15</v>
      </c>
      <c r="B20" s="3405" t="s">
        <v>1280</v>
      </c>
      <c r="C20" s="3398" t="s">
        <v>1385</v>
      </c>
    </row>
    <row r="21" spans="1:3" x14ac:dyDescent="0.3">
      <c r="A21" s="3396">
        <v>16</v>
      </c>
      <c r="B21" s="3405" t="s">
        <v>412</v>
      </c>
      <c r="C21" s="3398" t="s">
        <v>1386</v>
      </c>
    </row>
    <row r="22" spans="1:3" x14ac:dyDescent="0.3">
      <c r="A22" s="3396">
        <v>17</v>
      </c>
      <c r="B22" s="3405" t="s">
        <v>989</v>
      </c>
      <c r="C22" s="3398" t="s">
        <v>1445</v>
      </c>
    </row>
    <row r="23" spans="1:3" x14ac:dyDescent="0.3">
      <c r="A23" s="3396">
        <v>18</v>
      </c>
      <c r="B23" s="3405" t="s">
        <v>988</v>
      </c>
      <c r="C23" s="3398" t="s">
        <v>1388</v>
      </c>
    </row>
    <row r="24" spans="1:3" x14ac:dyDescent="0.3">
      <c r="A24" s="3396">
        <v>19</v>
      </c>
      <c r="B24" s="3405" t="s">
        <v>987</v>
      </c>
      <c r="C24" s="3398" t="s">
        <v>1474</v>
      </c>
    </row>
    <row r="25" spans="1:3" x14ac:dyDescent="0.3">
      <c r="A25" s="3396">
        <v>20</v>
      </c>
      <c r="B25" s="3405" t="s">
        <v>1283</v>
      </c>
      <c r="C25" s="3398" t="s">
        <v>980</v>
      </c>
    </row>
    <row r="26" spans="1:3" x14ac:dyDescent="0.3">
      <c r="A26" s="3396">
        <v>21</v>
      </c>
      <c r="B26" s="3405" t="s">
        <v>413</v>
      </c>
      <c r="C26" s="3398" t="s">
        <v>1126</v>
      </c>
    </row>
    <row r="27" spans="1:3" x14ac:dyDescent="0.3">
      <c r="A27" s="3396">
        <v>22</v>
      </c>
      <c r="B27" s="3405" t="s">
        <v>1282</v>
      </c>
      <c r="C27" s="3398" t="s">
        <v>156</v>
      </c>
    </row>
    <row r="28" spans="1:3" x14ac:dyDescent="0.3">
      <c r="A28" s="3396">
        <v>23</v>
      </c>
      <c r="B28" s="3405" t="s">
        <v>400</v>
      </c>
      <c r="C28" s="3398" t="s">
        <v>1444</v>
      </c>
    </row>
    <row r="29" spans="1:3" x14ac:dyDescent="0.3">
      <c r="A29" s="3396">
        <v>24</v>
      </c>
      <c r="B29" s="3405" t="s">
        <v>414</v>
      </c>
      <c r="C29" s="3398" t="s">
        <v>1456</v>
      </c>
    </row>
    <row r="30" spans="1:3" x14ac:dyDescent="0.3">
      <c r="A30" s="3396">
        <v>25</v>
      </c>
      <c r="B30" s="3405" t="s">
        <v>1284</v>
      </c>
      <c r="C30" s="3398" t="s">
        <v>1391</v>
      </c>
    </row>
    <row r="31" spans="1:3" x14ac:dyDescent="0.3">
      <c r="A31" s="3396">
        <v>26</v>
      </c>
      <c r="B31" s="3405" t="s">
        <v>415</v>
      </c>
      <c r="C31" s="3398" t="s">
        <v>1392</v>
      </c>
    </row>
    <row r="32" spans="1:3" x14ac:dyDescent="0.3">
      <c r="A32" s="3396">
        <v>27</v>
      </c>
      <c r="B32" s="3405" t="s">
        <v>416</v>
      </c>
      <c r="C32" s="3398" t="s">
        <v>1393</v>
      </c>
    </row>
    <row r="33" spans="1:3" x14ac:dyDescent="0.3">
      <c r="A33" s="3396">
        <v>28</v>
      </c>
      <c r="B33" s="3405" t="s">
        <v>417</v>
      </c>
      <c r="C33" s="3398" t="s">
        <v>1394</v>
      </c>
    </row>
    <row r="34" spans="1:3" x14ac:dyDescent="0.3">
      <c r="A34" s="3396">
        <v>29</v>
      </c>
      <c r="B34" s="3405" t="s">
        <v>418</v>
      </c>
      <c r="C34" s="3398" t="s">
        <v>1395</v>
      </c>
    </row>
    <row r="35" spans="1:3" x14ac:dyDescent="0.3">
      <c r="A35" s="3396">
        <v>30</v>
      </c>
      <c r="B35" s="3405" t="s">
        <v>431</v>
      </c>
      <c r="C35" s="3398" t="s">
        <v>1035</v>
      </c>
    </row>
    <row r="36" spans="1:3" ht="19.5" thickBot="1" x14ac:dyDescent="0.35">
      <c r="A36" s="3396">
        <v>31</v>
      </c>
      <c r="B36" s="3405" t="s">
        <v>419</v>
      </c>
      <c r="C36" s="3398" t="s">
        <v>159</v>
      </c>
    </row>
    <row r="37" spans="1:3" ht="19.5" thickBot="1" x14ac:dyDescent="0.35">
      <c r="A37" s="3396"/>
      <c r="B37" s="3406"/>
      <c r="C37" s="3391"/>
    </row>
    <row r="38" spans="1:3" ht="19.5" thickBot="1" x14ac:dyDescent="0.35">
      <c r="A38" s="3396"/>
      <c r="B38" s="3407" t="s">
        <v>87</v>
      </c>
      <c r="C38" s="3391" t="s">
        <v>80</v>
      </c>
    </row>
    <row r="39" spans="1:3" x14ac:dyDescent="0.3">
      <c r="A39" s="3396">
        <v>32</v>
      </c>
      <c r="B39" s="3406" t="s">
        <v>401</v>
      </c>
      <c r="C39" s="3399" t="s">
        <v>160</v>
      </c>
    </row>
    <row r="40" spans="1:3" x14ac:dyDescent="0.3">
      <c r="A40" s="3396">
        <v>33</v>
      </c>
      <c r="B40" s="3406" t="s">
        <v>1286</v>
      </c>
      <c r="C40" s="3399" t="s">
        <v>1443</v>
      </c>
    </row>
    <row r="41" spans="1:3" x14ac:dyDescent="0.3">
      <c r="A41" s="3396">
        <v>34</v>
      </c>
      <c r="B41" s="3406" t="s">
        <v>1287</v>
      </c>
      <c r="C41" s="3399" t="s">
        <v>1442</v>
      </c>
    </row>
    <row r="42" spans="1:3" x14ac:dyDescent="0.3">
      <c r="A42" s="3396">
        <v>35</v>
      </c>
      <c r="B42" s="3406" t="s">
        <v>1285</v>
      </c>
      <c r="C42" s="3399" t="s">
        <v>1240</v>
      </c>
    </row>
    <row r="43" spans="1:3" x14ac:dyDescent="0.3">
      <c r="A43" s="3396">
        <v>36</v>
      </c>
      <c r="B43" s="3406" t="s">
        <v>402</v>
      </c>
      <c r="C43" s="3399" t="s">
        <v>1124</v>
      </c>
    </row>
    <row r="44" spans="1:3" x14ac:dyDescent="0.3">
      <c r="A44" s="3396">
        <v>37</v>
      </c>
      <c r="B44" s="3406" t="s">
        <v>433</v>
      </c>
      <c r="C44" s="3399" t="s">
        <v>1117</v>
      </c>
    </row>
    <row r="45" spans="1:3" x14ac:dyDescent="0.3">
      <c r="A45" s="3396">
        <v>38</v>
      </c>
      <c r="B45" s="3406" t="s">
        <v>3000</v>
      </c>
      <c r="C45" s="3399" t="s">
        <v>3153</v>
      </c>
    </row>
    <row r="46" spans="1:3" x14ac:dyDescent="0.3">
      <c r="A46" s="3396">
        <v>39</v>
      </c>
      <c r="B46" s="3406" t="s">
        <v>434</v>
      </c>
      <c r="C46" s="3399" t="s">
        <v>1397</v>
      </c>
    </row>
    <row r="47" spans="1:3" x14ac:dyDescent="0.3">
      <c r="A47" s="3396"/>
      <c r="B47" s="3406" t="s">
        <v>434</v>
      </c>
      <c r="C47" s="3399" t="s">
        <v>3336</v>
      </c>
    </row>
    <row r="48" spans="1:3" x14ac:dyDescent="0.3">
      <c r="A48" s="3396"/>
      <c r="B48" s="3406" t="s">
        <v>434</v>
      </c>
      <c r="C48" s="3399" t="s">
        <v>3068</v>
      </c>
    </row>
    <row r="49" spans="1:3" x14ac:dyDescent="0.3">
      <c r="A49" s="3396">
        <v>40</v>
      </c>
      <c r="B49" s="3406" t="s">
        <v>435</v>
      </c>
      <c r="C49" s="3399" t="s">
        <v>1398</v>
      </c>
    </row>
    <row r="50" spans="1:3" x14ac:dyDescent="0.3">
      <c r="A50" s="3396">
        <v>41</v>
      </c>
      <c r="B50" s="3406" t="s">
        <v>1288</v>
      </c>
      <c r="C50" s="3399" t="s">
        <v>1399</v>
      </c>
    </row>
    <row r="51" spans="1:3" x14ac:dyDescent="0.3">
      <c r="A51" s="3396">
        <v>42</v>
      </c>
      <c r="B51" s="3406" t="s">
        <v>981</v>
      </c>
      <c r="C51" s="3400" t="s">
        <v>975</v>
      </c>
    </row>
    <row r="52" spans="1:3" x14ac:dyDescent="0.3">
      <c r="A52" s="3396">
        <v>43</v>
      </c>
      <c r="B52" s="3406" t="s">
        <v>1293</v>
      </c>
      <c r="C52" s="3400" t="s">
        <v>166</v>
      </c>
    </row>
    <row r="53" spans="1:3" x14ac:dyDescent="0.3">
      <c r="A53" s="3396">
        <v>44</v>
      </c>
      <c r="B53" s="3406" t="s">
        <v>549</v>
      </c>
      <c r="C53" s="3401" t="s">
        <v>1441</v>
      </c>
    </row>
    <row r="54" spans="1:3" x14ac:dyDescent="0.3">
      <c r="A54" s="3396">
        <v>45</v>
      </c>
      <c r="B54" s="3406" t="s">
        <v>440</v>
      </c>
      <c r="C54" s="3400" t="s">
        <v>1400</v>
      </c>
    </row>
    <row r="55" spans="1:3" x14ac:dyDescent="0.3">
      <c r="A55" s="3396">
        <v>46</v>
      </c>
      <c r="B55" s="3406" t="s">
        <v>436</v>
      </c>
      <c r="C55" s="3400" t="s">
        <v>1401</v>
      </c>
    </row>
    <row r="56" spans="1:3" x14ac:dyDescent="0.3">
      <c r="A56" s="3396">
        <v>47</v>
      </c>
      <c r="B56" s="3406" t="s">
        <v>437</v>
      </c>
      <c r="C56" s="3400" t="s">
        <v>1022</v>
      </c>
    </row>
    <row r="57" spans="1:3" x14ac:dyDescent="0.3">
      <c r="A57" s="3396">
        <v>48</v>
      </c>
      <c r="B57" s="3406" t="s">
        <v>438</v>
      </c>
      <c r="C57" s="3400" t="s">
        <v>1402</v>
      </c>
    </row>
    <row r="58" spans="1:3" x14ac:dyDescent="0.3">
      <c r="A58" s="3396">
        <v>49</v>
      </c>
      <c r="B58" s="3406" t="s">
        <v>1289</v>
      </c>
      <c r="C58" s="3400" t="s">
        <v>1434</v>
      </c>
    </row>
    <row r="59" spans="1:3" x14ac:dyDescent="0.3">
      <c r="A59" s="3396">
        <v>50</v>
      </c>
      <c r="B59" s="3406" t="s">
        <v>1290</v>
      </c>
      <c r="C59" s="3400" t="s">
        <v>1403</v>
      </c>
    </row>
    <row r="60" spans="1:3" x14ac:dyDescent="0.3">
      <c r="A60" s="3396">
        <v>51</v>
      </c>
      <c r="B60" s="3406" t="s">
        <v>544</v>
      </c>
      <c r="C60" s="3400" t="s">
        <v>2953</v>
      </c>
    </row>
    <row r="61" spans="1:3" x14ac:dyDescent="0.3">
      <c r="A61" s="3396">
        <v>52</v>
      </c>
      <c r="B61" s="3406" t="s">
        <v>439</v>
      </c>
      <c r="C61" s="3400" t="s">
        <v>1405</v>
      </c>
    </row>
    <row r="62" spans="1:3" x14ac:dyDescent="0.3">
      <c r="A62" s="3396">
        <v>53</v>
      </c>
      <c r="B62" s="3406" t="s">
        <v>403</v>
      </c>
      <c r="C62" s="3400" t="s">
        <v>1406</v>
      </c>
    </row>
    <row r="63" spans="1:3" x14ac:dyDescent="0.3">
      <c r="A63" s="3396">
        <v>54</v>
      </c>
      <c r="B63" s="3406" t="s">
        <v>2962</v>
      </c>
      <c r="C63" s="3400" t="s">
        <v>2961</v>
      </c>
    </row>
    <row r="64" spans="1:3" x14ac:dyDescent="0.3">
      <c r="A64" s="3396">
        <v>55</v>
      </c>
      <c r="B64" s="3406" t="s">
        <v>1023</v>
      </c>
      <c r="C64" s="3400" t="s">
        <v>1435</v>
      </c>
    </row>
    <row r="65" spans="1:3" x14ac:dyDescent="0.3">
      <c r="A65" s="3396">
        <v>56</v>
      </c>
      <c r="B65" s="3406" t="s">
        <v>1292</v>
      </c>
      <c r="C65" s="3400" t="s">
        <v>1464</v>
      </c>
    </row>
    <row r="66" spans="1:3" x14ac:dyDescent="0.3">
      <c r="A66" s="3396">
        <v>57</v>
      </c>
      <c r="B66" s="3406" t="s">
        <v>441</v>
      </c>
      <c r="C66" s="3400" t="s">
        <v>165</v>
      </c>
    </row>
    <row r="67" spans="1:3" x14ac:dyDescent="0.3">
      <c r="A67" s="3396">
        <v>58</v>
      </c>
      <c r="B67" s="3406" t="s">
        <v>1291</v>
      </c>
      <c r="C67" s="3402" t="s">
        <v>1440</v>
      </c>
    </row>
    <row r="68" spans="1:3" ht="19.5" thickBot="1" x14ac:dyDescent="0.35">
      <c r="A68" s="3396">
        <v>59</v>
      </c>
      <c r="B68" s="3406" t="s">
        <v>983</v>
      </c>
      <c r="C68" s="3400" t="s">
        <v>1096</v>
      </c>
    </row>
    <row r="69" spans="1:3" ht="19.5" thickBot="1" x14ac:dyDescent="0.35">
      <c r="A69" s="3396"/>
      <c r="B69" s="3407"/>
      <c r="C69" s="3390"/>
    </row>
    <row r="70" spans="1:3" ht="19.5" thickBot="1" x14ac:dyDescent="0.35">
      <c r="A70" s="3396"/>
      <c r="B70" s="3407" t="s">
        <v>125</v>
      </c>
      <c r="C70" s="3391" t="s">
        <v>147</v>
      </c>
    </row>
    <row r="71" spans="1:3" x14ac:dyDescent="0.3">
      <c r="A71" s="3396">
        <v>60</v>
      </c>
      <c r="B71" s="3406" t="s">
        <v>443</v>
      </c>
      <c r="C71" s="3400" t="s">
        <v>167</v>
      </c>
    </row>
    <row r="72" spans="1:3" x14ac:dyDescent="0.3">
      <c r="A72" s="3396">
        <v>61</v>
      </c>
      <c r="B72" s="3406" t="s">
        <v>444</v>
      </c>
      <c r="C72" s="3400" t="s">
        <v>170</v>
      </c>
    </row>
    <row r="73" spans="1:3" x14ac:dyDescent="0.3">
      <c r="A73" s="3396">
        <v>62</v>
      </c>
      <c r="B73" s="3406" t="s">
        <v>445</v>
      </c>
      <c r="C73" s="3400" t="s">
        <v>168</v>
      </c>
    </row>
    <row r="74" spans="1:3" x14ac:dyDescent="0.3">
      <c r="A74" s="3396">
        <v>63</v>
      </c>
      <c r="B74" s="3406" t="s">
        <v>446</v>
      </c>
      <c r="C74" s="3400" t="s">
        <v>238</v>
      </c>
    </row>
    <row r="75" spans="1:3" ht="19.5" thickBot="1" x14ac:dyDescent="0.35">
      <c r="A75" s="3396">
        <v>64</v>
      </c>
      <c r="B75" s="3406" t="s">
        <v>1294</v>
      </c>
      <c r="C75" s="3403" t="s">
        <v>3061</v>
      </c>
    </row>
    <row r="76" spans="1:3" ht="19.5" thickBot="1" x14ac:dyDescent="0.35">
      <c r="A76" s="3396"/>
      <c r="B76" s="3407"/>
      <c r="C76" s="3391"/>
    </row>
    <row r="77" spans="1:3" ht="19.5" thickBot="1" x14ac:dyDescent="0.35">
      <c r="A77" s="3396"/>
      <c r="B77" s="3407" t="s">
        <v>90</v>
      </c>
      <c r="C77" s="3392" t="s">
        <v>81</v>
      </c>
    </row>
    <row r="78" spans="1:3" x14ac:dyDescent="0.3">
      <c r="A78" s="3396">
        <v>65</v>
      </c>
      <c r="B78" s="3406" t="s">
        <v>447</v>
      </c>
      <c r="C78" s="3400" t="s">
        <v>1038</v>
      </c>
    </row>
    <row r="79" spans="1:3" x14ac:dyDescent="0.3">
      <c r="A79" s="3396">
        <v>66</v>
      </c>
      <c r="B79" s="3406" t="s">
        <v>1311</v>
      </c>
      <c r="C79" s="3400" t="s">
        <v>2657</v>
      </c>
    </row>
    <row r="80" spans="1:3" x14ac:dyDescent="0.3">
      <c r="A80" s="3396">
        <v>67</v>
      </c>
      <c r="B80" s="3406" t="s">
        <v>1296</v>
      </c>
      <c r="C80" s="3400" t="s">
        <v>669</v>
      </c>
    </row>
    <row r="81" spans="1:3" x14ac:dyDescent="0.3">
      <c r="A81" s="3396">
        <v>68</v>
      </c>
      <c r="B81" s="3406" t="s">
        <v>448</v>
      </c>
      <c r="C81" s="3400" t="s">
        <v>171</v>
      </c>
    </row>
    <row r="82" spans="1:3" x14ac:dyDescent="0.3">
      <c r="A82" s="3396">
        <v>69</v>
      </c>
      <c r="B82" s="3406" t="s">
        <v>1298</v>
      </c>
      <c r="C82" s="3400" t="s">
        <v>1410</v>
      </c>
    </row>
    <row r="83" spans="1:3" x14ac:dyDescent="0.3">
      <c r="A83" s="3396">
        <v>70</v>
      </c>
      <c r="B83" s="3406" t="s">
        <v>1299</v>
      </c>
      <c r="C83" s="3400" t="s">
        <v>1094</v>
      </c>
    </row>
    <row r="84" spans="1:3" x14ac:dyDescent="0.3">
      <c r="A84" s="3396">
        <v>71</v>
      </c>
      <c r="B84" s="3406" t="s">
        <v>404</v>
      </c>
      <c r="C84" s="3400" t="s">
        <v>173</v>
      </c>
    </row>
    <row r="85" spans="1:3" x14ac:dyDescent="0.3">
      <c r="A85" s="3396">
        <v>72</v>
      </c>
      <c r="B85" s="3406" t="s">
        <v>1300</v>
      </c>
      <c r="C85" s="3400" t="s">
        <v>1439</v>
      </c>
    </row>
    <row r="86" spans="1:3" x14ac:dyDescent="0.3">
      <c r="A86" s="3396">
        <v>73</v>
      </c>
      <c r="B86" s="3406" t="s">
        <v>541</v>
      </c>
      <c r="C86" s="3400" t="s">
        <v>1412</v>
      </c>
    </row>
    <row r="87" spans="1:3" x14ac:dyDescent="0.3">
      <c r="A87" s="3396">
        <v>74</v>
      </c>
      <c r="B87" s="3406" t="s">
        <v>985</v>
      </c>
      <c r="C87" s="3400" t="s">
        <v>1413</v>
      </c>
    </row>
    <row r="88" spans="1:3" x14ac:dyDescent="0.3">
      <c r="A88" s="3396">
        <v>75</v>
      </c>
      <c r="B88" s="3406" t="s">
        <v>1301</v>
      </c>
      <c r="C88" s="3400" t="s">
        <v>3130</v>
      </c>
    </row>
    <row r="89" spans="1:3" x14ac:dyDescent="0.3">
      <c r="A89" s="3396">
        <v>76</v>
      </c>
      <c r="B89" s="3406" t="s">
        <v>1302</v>
      </c>
      <c r="C89" s="3400" t="s">
        <v>1438</v>
      </c>
    </row>
    <row r="90" spans="1:3" x14ac:dyDescent="0.3">
      <c r="A90" s="3396">
        <v>77</v>
      </c>
      <c r="B90" s="3406" t="s">
        <v>449</v>
      </c>
      <c r="C90" s="3400" t="s">
        <v>392</v>
      </c>
    </row>
    <row r="91" spans="1:3" x14ac:dyDescent="0.3">
      <c r="A91" s="3396">
        <v>78</v>
      </c>
      <c r="B91" s="3406" t="s">
        <v>553</v>
      </c>
      <c r="C91" s="3400" t="s">
        <v>1415</v>
      </c>
    </row>
    <row r="92" spans="1:3" x14ac:dyDescent="0.3">
      <c r="A92" s="3396">
        <v>79</v>
      </c>
      <c r="B92" s="3406" t="s">
        <v>1303</v>
      </c>
      <c r="C92" s="3400" t="s">
        <v>1416</v>
      </c>
    </row>
    <row r="93" spans="1:3" x14ac:dyDescent="0.3">
      <c r="A93" s="3396">
        <v>80</v>
      </c>
      <c r="B93" s="3406" t="s">
        <v>555</v>
      </c>
      <c r="C93" s="3400" t="s">
        <v>1417</v>
      </c>
    </row>
    <row r="94" spans="1:3" x14ac:dyDescent="0.3">
      <c r="A94" s="3396">
        <v>81</v>
      </c>
      <c r="B94" s="3406" t="s">
        <v>556</v>
      </c>
      <c r="C94" s="3400" t="s">
        <v>1418</v>
      </c>
    </row>
    <row r="95" spans="1:3" x14ac:dyDescent="0.3">
      <c r="A95" s="3396">
        <v>82</v>
      </c>
      <c r="B95" s="3406" t="s">
        <v>557</v>
      </c>
      <c r="C95" s="3400" t="s">
        <v>3155</v>
      </c>
    </row>
    <row r="96" spans="1:3" x14ac:dyDescent="0.3">
      <c r="A96" s="3396">
        <v>83</v>
      </c>
      <c r="B96" s="3406" t="s">
        <v>1304</v>
      </c>
      <c r="C96" s="3400" t="s">
        <v>1465</v>
      </c>
    </row>
    <row r="97" spans="1:3" x14ac:dyDescent="0.3">
      <c r="A97" s="3396">
        <v>84</v>
      </c>
      <c r="B97" s="3406" t="s">
        <v>405</v>
      </c>
      <c r="C97" s="3400" t="s">
        <v>1420</v>
      </c>
    </row>
    <row r="98" spans="1:3" x14ac:dyDescent="0.3">
      <c r="A98" s="3396">
        <v>85</v>
      </c>
      <c r="B98" s="3406" t="s">
        <v>1305</v>
      </c>
      <c r="C98" s="3400" t="s">
        <v>1421</v>
      </c>
    </row>
    <row r="99" spans="1:3" x14ac:dyDescent="0.3">
      <c r="A99" s="3396">
        <v>86</v>
      </c>
      <c r="B99" s="3406" t="s">
        <v>1306</v>
      </c>
      <c r="C99" s="3400" t="s">
        <v>1437</v>
      </c>
    </row>
    <row r="100" spans="1:3" x14ac:dyDescent="0.3">
      <c r="A100" s="3396">
        <v>87</v>
      </c>
      <c r="B100" s="3406" t="s">
        <v>1308</v>
      </c>
      <c r="C100" s="3400" t="s">
        <v>1423</v>
      </c>
    </row>
    <row r="101" spans="1:3" x14ac:dyDescent="0.3">
      <c r="A101" s="3396">
        <v>88</v>
      </c>
      <c r="B101" s="3406" t="s">
        <v>1309</v>
      </c>
      <c r="C101" s="3400" t="s">
        <v>1424</v>
      </c>
    </row>
    <row r="102" spans="1:3" x14ac:dyDescent="0.3">
      <c r="A102" s="3396">
        <v>89</v>
      </c>
      <c r="B102" s="3406" t="s">
        <v>1310</v>
      </c>
      <c r="C102" s="3400" t="s">
        <v>1425</v>
      </c>
    </row>
    <row r="103" spans="1:3" x14ac:dyDescent="0.3">
      <c r="A103" s="3396">
        <v>90</v>
      </c>
      <c r="B103" s="3406" t="s">
        <v>1307</v>
      </c>
      <c r="C103" s="3400" t="s">
        <v>2879</v>
      </c>
    </row>
    <row r="104" spans="1:3" x14ac:dyDescent="0.3">
      <c r="A104" s="3396">
        <v>91</v>
      </c>
      <c r="B104" s="3406" t="s">
        <v>2536</v>
      </c>
      <c r="C104" s="3400" t="s">
        <v>2537</v>
      </c>
    </row>
    <row r="105" spans="1:3" x14ac:dyDescent="0.3">
      <c r="A105" s="3396">
        <v>92</v>
      </c>
      <c r="B105" s="3406" t="s">
        <v>1059</v>
      </c>
      <c r="C105" s="3400" t="s">
        <v>1427</v>
      </c>
    </row>
    <row r="106" spans="1:3" x14ac:dyDescent="0.3">
      <c r="A106" s="3396">
        <v>93</v>
      </c>
      <c r="B106" s="3406" t="s">
        <v>406</v>
      </c>
      <c r="C106" s="3400" t="s">
        <v>176</v>
      </c>
    </row>
    <row r="107" spans="1:3" x14ac:dyDescent="0.3">
      <c r="A107" s="3396">
        <v>94</v>
      </c>
      <c r="B107" s="3406" t="s">
        <v>560</v>
      </c>
      <c r="C107" s="3400" t="s">
        <v>1436</v>
      </c>
    </row>
    <row r="108" spans="1:3" x14ac:dyDescent="0.3">
      <c r="A108" s="3396">
        <v>95</v>
      </c>
      <c r="B108" s="3406" t="s">
        <v>1297</v>
      </c>
      <c r="C108" s="3400" t="s">
        <v>1125</v>
      </c>
    </row>
    <row r="109" spans="1:3" x14ac:dyDescent="0.3">
      <c r="A109" s="3396">
        <v>96</v>
      </c>
      <c r="B109" s="3406" t="s">
        <v>1058</v>
      </c>
      <c r="C109" s="3400" t="s">
        <v>178</v>
      </c>
    </row>
    <row r="110" spans="1:3" ht="19.5" thickBot="1" x14ac:dyDescent="0.35">
      <c r="A110" s="3396">
        <v>97</v>
      </c>
      <c r="B110" s="3409" t="s">
        <v>450</v>
      </c>
      <c r="C110" s="3404" t="s">
        <v>1429</v>
      </c>
    </row>
  </sheetData>
  <mergeCells count="1">
    <mergeCell ref="A3:A5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tabSelected="1" view="pageLayout" topLeftCell="A18" zoomScale="59" zoomScaleNormal="100" zoomScaleSheetLayoutView="70" zoomScalePageLayoutView="59" workbookViewId="0">
      <selection activeCell="B34" sqref="B34"/>
    </sheetView>
  </sheetViews>
  <sheetFormatPr defaultRowHeight="20.25" x14ac:dyDescent="0.3"/>
  <cols>
    <col min="1" max="1" width="13.140625" style="2" customWidth="1"/>
    <col min="2" max="2" width="101.42578125" style="1" customWidth="1"/>
    <col min="3" max="3" width="38.42578125" style="8" customWidth="1"/>
    <col min="4" max="4" width="36.42578125" style="150" customWidth="1"/>
    <col min="5" max="5" width="12.28515625" style="199" customWidth="1"/>
    <col min="6" max="16384" width="9.140625" style="1"/>
  </cols>
  <sheetData>
    <row r="1" spans="1:5" ht="24.75" customHeight="1" x14ac:dyDescent="0.3">
      <c r="A1" s="3413" t="s">
        <v>128</v>
      </c>
      <c r="B1" s="3413"/>
      <c r="C1" s="3413"/>
      <c r="D1" s="3413"/>
    </row>
    <row r="2" spans="1:5" ht="17.25" customHeight="1" x14ac:dyDescent="0.3">
      <c r="A2" s="3413" t="s">
        <v>2569</v>
      </c>
      <c r="B2" s="3413"/>
      <c r="C2" s="3413"/>
      <c r="D2" s="3413"/>
    </row>
    <row r="3" spans="1:5" ht="21" customHeight="1" thickBot="1" x14ac:dyDescent="0.35">
      <c r="A3" s="3413" t="s">
        <v>2570</v>
      </c>
      <c r="B3" s="3413"/>
      <c r="C3" s="3413"/>
      <c r="D3" s="3413"/>
    </row>
    <row r="4" spans="1:5" s="796" customFormat="1" ht="41.25" customHeight="1" x14ac:dyDescent="0.3">
      <c r="A4" s="3414" t="s">
        <v>2558</v>
      </c>
      <c r="B4" s="793" t="s">
        <v>116</v>
      </c>
      <c r="C4" s="794" t="s">
        <v>2704</v>
      </c>
      <c r="D4" s="795" t="s">
        <v>3098</v>
      </c>
      <c r="E4" s="3411" t="s">
        <v>2647</v>
      </c>
    </row>
    <row r="5" spans="1:5" s="800" customFormat="1" ht="21" thickBot="1" x14ac:dyDescent="0.35">
      <c r="A5" s="3415"/>
      <c r="B5" s="797"/>
      <c r="C5" s="798" t="s">
        <v>49</v>
      </c>
      <c r="D5" s="799" t="s">
        <v>49</v>
      </c>
      <c r="E5" s="3412"/>
    </row>
    <row r="6" spans="1:5" s="4" customFormat="1" x14ac:dyDescent="0.3">
      <c r="A6" s="698" t="s">
        <v>2556</v>
      </c>
      <c r="B6" s="778" t="s">
        <v>2557</v>
      </c>
      <c r="C6" s="818"/>
      <c r="D6" s="716"/>
      <c r="E6" s="713"/>
    </row>
    <row r="7" spans="1:5" x14ac:dyDescent="0.3">
      <c r="A7" s="688">
        <v>1</v>
      </c>
      <c r="B7" s="779" t="s">
        <v>95</v>
      </c>
      <c r="C7" s="1827">
        <f>'4 SUMMARY OF REV BY MDAs'!D79</f>
        <v>5000000000</v>
      </c>
      <c r="D7" s="717">
        <f>'4 SUMMARY OF REV BY MDAs'!F79</f>
        <v>5000000000</v>
      </c>
      <c r="E7" s="767"/>
    </row>
    <row r="8" spans="1:5" ht="21" customHeight="1" x14ac:dyDescent="0.3">
      <c r="A8" s="689">
        <v>2</v>
      </c>
      <c r="B8" s="780" t="s">
        <v>2449</v>
      </c>
      <c r="C8" s="1828">
        <v>11736860000</v>
      </c>
      <c r="D8" s="718">
        <f>'5 RECEIPTS BY MDAs'!F153</f>
        <v>15612100000</v>
      </c>
      <c r="E8" s="767"/>
    </row>
    <row r="9" spans="1:5" ht="21" customHeight="1" x14ac:dyDescent="0.3">
      <c r="A9" s="689">
        <v>3</v>
      </c>
      <c r="B9" s="781" t="s">
        <v>2450</v>
      </c>
      <c r="C9" s="1828">
        <v>30501465865</v>
      </c>
      <c r="D9" s="718">
        <f>'5 RECEIPTS BY MDAs'!F30+'5 RECEIPTS BY MDAs'!F848</f>
        <v>37591726383.841499</v>
      </c>
      <c r="E9" s="767"/>
    </row>
    <row r="10" spans="1:5" x14ac:dyDescent="0.3">
      <c r="A10" s="690">
        <v>4</v>
      </c>
      <c r="B10" s="782" t="s">
        <v>3</v>
      </c>
      <c r="C10" s="1828">
        <v>35722245513</v>
      </c>
      <c r="D10" s="718">
        <f>'5 RECEIPTS BY MDAs'!F8</f>
        <v>74888219660</v>
      </c>
      <c r="E10" s="767"/>
    </row>
    <row r="11" spans="1:5" x14ac:dyDescent="0.3">
      <c r="A11" s="690">
        <v>5</v>
      </c>
      <c r="B11" s="782" t="s">
        <v>1318</v>
      </c>
      <c r="C11" s="1828">
        <v>23127611453</v>
      </c>
      <c r="D11" s="719">
        <f>'5 RECEIPTS BY MDAs'!F11</f>
        <v>30025000000</v>
      </c>
      <c r="E11" s="767"/>
    </row>
    <row r="12" spans="1:5" x14ac:dyDescent="0.3">
      <c r="A12" s="690">
        <v>6</v>
      </c>
      <c r="B12" s="782" t="s">
        <v>1319</v>
      </c>
      <c r="C12" s="1828">
        <f>'5 RECEIPTS BY MDAs'!D12</f>
        <v>0</v>
      </c>
      <c r="D12" s="719">
        <f>'5 RECEIPTS BY MDAs'!F12</f>
        <v>2000000000</v>
      </c>
      <c r="E12" s="767"/>
    </row>
    <row r="13" spans="1:5" x14ac:dyDescent="0.3">
      <c r="A13" s="690">
        <v>7</v>
      </c>
      <c r="B13" s="782" t="s">
        <v>1063</v>
      </c>
      <c r="C13" s="1828">
        <f>'5 RECEIPTS BY MDAs'!D9</f>
        <v>0</v>
      </c>
      <c r="D13" s="719">
        <f>'5 RECEIPTS BY MDAs'!F9</f>
        <v>2000000000</v>
      </c>
      <c r="E13" s="767"/>
    </row>
    <row r="14" spans="1:5" ht="21" thickBot="1" x14ac:dyDescent="0.35">
      <c r="A14" s="690">
        <v>8</v>
      </c>
      <c r="B14" s="782" t="s">
        <v>2408</v>
      </c>
      <c r="C14" s="1829">
        <f>'5 RECEIPTS BY MDAs'!D13</f>
        <v>7072400744</v>
      </c>
      <c r="D14" s="720">
        <f>'5 RECEIPTS BY MDAs'!F13</f>
        <v>7072400744</v>
      </c>
      <c r="E14" s="768"/>
    </row>
    <row r="15" spans="1:5" s="805" customFormat="1" ht="21" thickBot="1" x14ac:dyDescent="0.35">
      <c r="A15" s="801"/>
      <c r="B15" s="802" t="s">
        <v>2</v>
      </c>
      <c r="C15" s="721">
        <f>SUM(C7:C14)</f>
        <v>113160583575</v>
      </c>
      <c r="D15" s="721">
        <f>SUM(D7:D14)</f>
        <v>174189446787.84149</v>
      </c>
      <c r="E15" s="804"/>
    </row>
    <row r="16" spans="1:5" x14ac:dyDescent="0.3">
      <c r="A16" s="691" t="s">
        <v>2559</v>
      </c>
      <c r="B16" s="783" t="s">
        <v>1007</v>
      </c>
      <c r="C16" s="1827"/>
      <c r="D16" s="717"/>
      <c r="E16" s="769"/>
    </row>
    <row r="17" spans="1:5" s="8" customFormat="1" x14ac:dyDescent="0.3">
      <c r="A17" s="692">
        <v>1</v>
      </c>
      <c r="B17" s="784" t="s">
        <v>1027</v>
      </c>
      <c r="C17" s="1828">
        <v>32364136515</v>
      </c>
      <c r="D17" s="718">
        <f>SUM('6 SUMMARY OF DETAILS EXP'!C114)</f>
        <v>31679086046.247116</v>
      </c>
      <c r="E17" s="785">
        <f>D17/D20%</f>
        <v>35.706771676208689</v>
      </c>
    </row>
    <row r="18" spans="1:5" x14ac:dyDescent="0.3">
      <c r="A18" s="692">
        <v>2</v>
      </c>
      <c r="B18" s="784" t="s">
        <v>121</v>
      </c>
      <c r="C18" s="1828">
        <v>17613716772</v>
      </c>
      <c r="D18" s="718">
        <f>'6 SUMMARY OF DETAILS EXP'!E114</f>
        <v>44116960333.431503</v>
      </c>
      <c r="E18" s="785">
        <f>D18/D20%</f>
        <v>49.725999903359281</v>
      </c>
    </row>
    <row r="19" spans="1:5" ht="21" thickBot="1" x14ac:dyDescent="0.35">
      <c r="A19" s="692">
        <v>3</v>
      </c>
      <c r="B19" s="784" t="s">
        <v>1122</v>
      </c>
      <c r="C19" s="1829">
        <v>18426919670</v>
      </c>
      <c r="D19" s="722">
        <f>'6 SUMMARY OF DETAILS EXP'!D114</f>
        <v>12924060645.16</v>
      </c>
      <c r="E19" s="786">
        <f>D19/D20%</f>
        <v>14.567228420432023</v>
      </c>
    </row>
    <row r="20" spans="1:5" s="811" customFormat="1" ht="21" thickBot="1" x14ac:dyDescent="0.35">
      <c r="A20" s="807"/>
      <c r="B20" s="808" t="s">
        <v>2</v>
      </c>
      <c r="C20" s="809">
        <f>SUM(C17:C19)</f>
        <v>68404772957</v>
      </c>
      <c r="D20" s="809">
        <f>SUM(D17:D19)</f>
        <v>88720107024.838623</v>
      </c>
      <c r="E20" s="810"/>
    </row>
    <row r="21" spans="1:5" x14ac:dyDescent="0.3">
      <c r="A21" s="693"/>
      <c r="B21" s="784"/>
      <c r="C21" s="1827"/>
      <c r="D21" s="717"/>
      <c r="E21" s="713"/>
    </row>
    <row r="22" spans="1:5" x14ac:dyDescent="0.3">
      <c r="A22" s="691" t="s">
        <v>2560</v>
      </c>
      <c r="B22" s="783" t="s">
        <v>1008</v>
      </c>
      <c r="C22" s="1828"/>
      <c r="D22" s="718"/>
      <c r="E22" s="787"/>
    </row>
    <row r="23" spans="1:5" x14ac:dyDescent="0.3">
      <c r="A23" s="692">
        <v>1</v>
      </c>
      <c r="B23" s="784" t="s">
        <v>2687</v>
      </c>
      <c r="C23" s="1830">
        <f>C15-C20</f>
        <v>44755810618</v>
      </c>
      <c r="D23" s="718">
        <f>D15-D20</f>
        <v>85469339763.002869</v>
      </c>
      <c r="E23" s="787"/>
    </row>
    <row r="24" spans="1:5" s="4" customFormat="1" x14ac:dyDescent="0.3">
      <c r="A24" s="691"/>
      <c r="B24" s="783"/>
      <c r="C24" s="1831"/>
      <c r="D24" s="723"/>
      <c r="E24" s="787"/>
    </row>
    <row r="25" spans="1:5" x14ac:dyDescent="0.3">
      <c r="A25" s="691" t="s">
        <v>2562</v>
      </c>
      <c r="B25" s="783" t="s">
        <v>2561</v>
      </c>
      <c r="C25" s="1828"/>
      <c r="D25" s="718"/>
      <c r="E25" s="787"/>
    </row>
    <row r="26" spans="1:5" x14ac:dyDescent="0.3">
      <c r="A26" s="694">
        <v>1</v>
      </c>
      <c r="B26" s="784" t="s">
        <v>2419</v>
      </c>
      <c r="C26" s="1828">
        <f>'5 RECEIPTS BY MDAs'!D109</f>
        <v>2000000000</v>
      </c>
      <c r="D26" s="718">
        <f>'5 RECEIPTS BY MDAs'!F109</f>
        <v>0</v>
      </c>
      <c r="E26" s="787"/>
    </row>
    <row r="27" spans="1:5" x14ac:dyDescent="0.3">
      <c r="A27" s="694">
        <v>2</v>
      </c>
      <c r="B27" s="784" t="s">
        <v>2441</v>
      </c>
      <c r="C27" s="1828">
        <f>'5 RECEIPTS BY MDAs'!D110</f>
        <v>3551911249</v>
      </c>
      <c r="D27" s="724">
        <f>'5 RECEIPTS BY MDAs'!F110</f>
        <v>50000000000</v>
      </c>
      <c r="E27" s="787"/>
    </row>
    <row r="28" spans="1:5" x14ac:dyDescent="0.3">
      <c r="A28" s="695">
        <v>3</v>
      </c>
      <c r="B28" s="784" t="s">
        <v>1009</v>
      </c>
      <c r="C28" s="1828">
        <v>10538108874</v>
      </c>
      <c r="D28" s="718">
        <f>'4 SUMMARY OF REV BY MDAs'!F74</f>
        <v>15787021834</v>
      </c>
      <c r="E28" s="787"/>
    </row>
    <row r="29" spans="1:5" x14ac:dyDescent="0.3">
      <c r="A29" s="694">
        <v>4</v>
      </c>
      <c r="B29" s="784" t="s">
        <v>1011</v>
      </c>
      <c r="C29" s="1828">
        <v>31791374173</v>
      </c>
      <c r="D29" s="718">
        <f>'4 SUMMARY OF REV BY MDAs'!F78</f>
        <v>18498219356</v>
      </c>
      <c r="E29" s="787"/>
    </row>
    <row r="30" spans="1:5" ht="21" thickBot="1" x14ac:dyDescent="0.35">
      <c r="A30" s="695">
        <v>5</v>
      </c>
      <c r="B30" s="784" t="s">
        <v>1010</v>
      </c>
      <c r="C30" s="1829">
        <f>12379765305+4608000000+3600000000</f>
        <v>20587765305</v>
      </c>
      <c r="D30" s="722">
        <f>'4 SUMMARY OF REV BY MDAs'!F75</f>
        <v>28163093365</v>
      </c>
      <c r="E30" s="788"/>
    </row>
    <row r="31" spans="1:5" s="814" customFormat="1" ht="21" thickBot="1" x14ac:dyDescent="0.35">
      <c r="A31" s="812"/>
      <c r="B31" s="700" t="s">
        <v>2565</v>
      </c>
      <c r="C31" s="1832">
        <f>SUM(C23:C30)</f>
        <v>113224970219</v>
      </c>
      <c r="D31" s="813">
        <f>SUM(D23:D30)</f>
        <v>197917674318.00287</v>
      </c>
      <c r="E31" s="770"/>
    </row>
    <row r="32" spans="1:5" x14ac:dyDescent="0.3">
      <c r="A32" s="699"/>
      <c r="B32" s="789"/>
      <c r="C32" s="1833"/>
      <c r="D32" s="725"/>
      <c r="E32" s="713"/>
    </row>
    <row r="33" spans="1:5" x14ac:dyDescent="0.3">
      <c r="A33" s="696" t="s">
        <v>2563</v>
      </c>
      <c r="B33" s="783" t="s">
        <v>1123</v>
      </c>
      <c r="C33" s="1828"/>
      <c r="D33" s="724"/>
      <c r="E33" s="787"/>
    </row>
    <row r="34" spans="1:5" x14ac:dyDescent="0.3">
      <c r="A34" s="692">
        <v>1</v>
      </c>
      <c r="B34" s="784" t="s">
        <v>1012</v>
      </c>
      <c r="C34" s="1828">
        <v>68404772957</v>
      </c>
      <c r="D34" s="718">
        <f>'6 SUMMARY OF DETAILS EXP'!F114</f>
        <v>88720107024.838608</v>
      </c>
      <c r="E34" s="790">
        <f>D34/D36%</f>
        <v>30.951993351749824</v>
      </c>
    </row>
    <row r="35" spans="1:5" ht="21" thickBot="1" x14ac:dyDescent="0.35">
      <c r="A35" s="697">
        <v>2</v>
      </c>
      <c r="B35" s="791" t="s">
        <v>1013</v>
      </c>
      <c r="C35" s="1829">
        <v>113224970219</v>
      </c>
      <c r="D35" s="722">
        <f>'6 SUMMARY OF DETAILS EXP'!G114</f>
        <v>197917674318</v>
      </c>
      <c r="E35" s="792">
        <f>D35/D36%</f>
        <v>69.048006648250166</v>
      </c>
    </row>
    <row r="36" spans="1:5" s="805" customFormat="1" ht="21" thickBot="1" x14ac:dyDescent="0.35">
      <c r="A36" s="815">
        <v>3</v>
      </c>
      <c r="B36" s="802" t="s">
        <v>2564</v>
      </c>
      <c r="C36" s="1834">
        <f>SUM(C34:C35)</f>
        <v>181629743176</v>
      </c>
      <c r="D36" s="726">
        <f>SUM(D33:D35)</f>
        <v>286637781342.83862</v>
      </c>
      <c r="E36" s="806"/>
    </row>
    <row r="37" spans="1:5" s="805" customFormat="1" ht="21" thickBot="1" x14ac:dyDescent="0.35">
      <c r="A37" s="816" t="s">
        <v>2566</v>
      </c>
      <c r="B37" s="817" t="s">
        <v>2646</v>
      </c>
      <c r="C37" s="1835">
        <f>C36-(C20+C31)</f>
        <v>0</v>
      </c>
      <c r="D37" s="803">
        <f>(D20+D31)-D36</f>
        <v>2.86865234375E-3</v>
      </c>
      <c r="E37" s="804"/>
    </row>
    <row r="38" spans="1:5" x14ac:dyDescent="0.3">
      <c r="D38" s="727"/>
    </row>
  </sheetData>
  <mergeCells count="5">
    <mergeCell ref="E4:E5"/>
    <mergeCell ref="A1:D1"/>
    <mergeCell ref="A2:D2"/>
    <mergeCell ref="A3:D3"/>
    <mergeCell ref="A4:A5"/>
  </mergeCells>
  <pageMargins left="0.44562499999999999" right="0.25" top="0.54729166666666662" bottom="0.546875" header="0.3" footer="0.3"/>
  <pageSetup paperSize="9" scale="66" orientation="landscape" useFirstPageNumber="1" r:id="rId1"/>
  <headerFooter>
    <oddHeader>&amp;L&amp;G&amp;R&amp;14&amp;K00B050KATSINA STATE GOVERNMENT 2021 APPROVED APPROPRIATION LAW</oddHeader>
    <oddFooter>&amp;L&amp;14&amp;K00B050KATSINA STATE GOVERNMENT 2021 APPROVED APPROPRIATION LAW&amp;C&amp;16&amp;P&amp;R&amp;G</oddFooter>
  </headerFooter>
  <cellWatches>
    <cellWatch r="D37"/>
  </cellWatches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view="pageLayout" topLeftCell="A28" zoomScale="50" zoomScaleNormal="69" zoomScaleSheetLayoutView="40" zoomScalePageLayoutView="50" workbookViewId="0">
      <selection activeCell="D17" sqref="D17"/>
    </sheetView>
  </sheetViews>
  <sheetFormatPr defaultRowHeight="24.95" customHeight="1" x14ac:dyDescent="0.3"/>
  <cols>
    <col min="1" max="1" width="12.140625" style="8" customWidth="1"/>
    <col min="2" max="2" width="105.85546875" style="8" customWidth="1"/>
    <col min="3" max="3" width="43" style="8" customWidth="1"/>
    <col min="4" max="4" width="39.140625" style="8" customWidth="1"/>
    <col min="5" max="5" width="40.7109375" style="57" customWidth="1"/>
    <col min="6" max="6" width="43.140625" style="8" customWidth="1"/>
    <col min="7" max="7" width="42" style="8" customWidth="1"/>
    <col min="8" max="8" width="45.42578125" style="8" customWidth="1"/>
    <col min="9" max="9" width="9.140625" style="8"/>
    <col min="10" max="10" width="1.28515625" style="8" customWidth="1"/>
    <col min="11" max="16384" width="9.140625" style="8"/>
  </cols>
  <sheetData>
    <row r="1" spans="1:8" ht="34.5" x14ac:dyDescent="0.45">
      <c r="A1" s="3416" t="s">
        <v>128</v>
      </c>
      <c r="B1" s="3416"/>
      <c r="C1" s="3416"/>
      <c r="D1" s="3416"/>
      <c r="E1" s="3416"/>
      <c r="F1" s="3416"/>
      <c r="G1" s="3416"/>
      <c r="H1" s="3416"/>
    </row>
    <row r="2" spans="1:8" ht="34.5" x14ac:dyDescent="0.45">
      <c r="A2" s="3416" t="s">
        <v>93</v>
      </c>
      <c r="B2" s="3416"/>
      <c r="C2" s="3416"/>
      <c r="D2" s="3416"/>
      <c r="E2" s="3416"/>
      <c r="F2" s="3416"/>
      <c r="G2" s="3416"/>
      <c r="H2" s="3416"/>
    </row>
    <row r="3" spans="1:8" ht="35.25" thickBot="1" x14ac:dyDescent="0.5">
      <c r="A3" s="3416" t="s">
        <v>3104</v>
      </c>
      <c r="B3" s="3416"/>
      <c r="C3" s="3416"/>
      <c r="D3" s="3416"/>
      <c r="E3" s="3416"/>
      <c r="F3" s="3416"/>
      <c r="G3" s="3416"/>
      <c r="H3" s="3416"/>
    </row>
    <row r="4" spans="1:8" s="95" customFormat="1" ht="77.25" thickBot="1" x14ac:dyDescent="0.25">
      <c r="A4" s="96" t="s">
        <v>94</v>
      </c>
      <c r="B4" s="97" t="s">
        <v>116</v>
      </c>
      <c r="C4" s="93" t="s">
        <v>1174</v>
      </c>
      <c r="D4" s="93" t="s">
        <v>1145</v>
      </c>
      <c r="E4" s="94" t="s">
        <v>3098</v>
      </c>
      <c r="F4" s="1822" t="s">
        <v>1028</v>
      </c>
      <c r="G4" s="1823" t="s">
        <v>1316</v>
      </c>
      <c r="H4" s="1824" t="s">
        <v>76</v>
      </c>
    </row>
    <row r="5" spans="1:8" s="135" customFormat="1" ht="30.75" x14ac:dyDescent="0.45">
      <c r="A5" s="132">
        <v>1</v>
      </c>
      <c r="B5" s="133" t="s">
        <v>95</v>
      </c>
      <c r="C5" s="134">
        <v>5000000000</v>
      </c>
      <c r="D5" s="134">
        <v>5000000000</v>
      </c>
      <c r="E5" s="134">
        <f>'5 RECEIPTS BY MDAs'!F122</f>
        <v>5000000000</v>
      </c>
      <c r="F5" s="134">
        <f>E5*10%+E5</f>
        <v>5500000000</v>
      </c>
      <c r="G5" s="134">
        <f>F5*10%+F5</f>
        <v>6050000000</v>
      </c>
      <c r="H5" s="134">
        <f>SUM(E5:G5)</f>
        <v>16550000000</v>
      </c>
    </row>
    <row r="6" spans="1:8" s="135" customFormat="1" ht="30.75" x14ac:dyDescent="0.45">
      <c r="A6" s="132">
        <v>2</v>
      </c>
      <c r="B6" s="136" t="s">
        <v>96</v>
      </c>
      <c r="C6" s="137"/>
      <c r="D6" s="137"/>
      <c r="E6" s="137"/>
      <c r="F6" s="134">
        <f t="shared" ref="F6:G16" si="0">E6*10%+E6</f>
        <v>0</v>
      </c>
      <c r="G6" s="134">
        <f t="shared" si="0"/>
        <v>0</v>
      </c>
      <c r="H6" s="134">
        <f t="shared" ref="H6:H16" si="1">SUM(E6:G6)</f>
        <v>0</v>
      </c>
    </row>
    <row r="7" spans="1:8" s="135" customFormat="1" ht="30.75" x14ac:dyDescent="0.45">
      <c r="A7" s="132">
        <v>3</v>
      </c>
      <c r="B7" s="138" t="s">
        <v>3</v>
      </c>
      <c r="C7" s="137">
        <v>35722245513</v>
      </c>
      <c r="D7" s="137">
        <v>29941558633.549999</v>
      </c>
      <c r="E7" s="137">
        <f>'5 RECEIPTS BY MDAs'!F8</f>
        <v>74888219660</v>
      </c>
      <c r="F7" s="134">
        <f t="shared" si="0"/>
        <v>82377041626</v>
      </c>
      <c r="G7" s="134">
        <f t="shared" si="0"/>
        <v>90614745788.600006</v>
      </c>
      <c r="H7" s="134">
        <f t="shared" si="1"/>
        <v>247880007074.60001</v>
      </c>
    </row>
    <row r="8" spans="1:8" s="135" customFormat="1" ht="30.75" x14ac:dyDescent="0.45">
      <c r="A8" s="132">
        <v>4</v>
      </c>
      <c r="B8" s="138" t="s">
        <v>1061</v>
      </c>
      <c r="C8" s="137">
        <v>23127611453</v>
      </c>
      <c r="D8" s="137">
        <v>13219013980.51</v>
      </c>
      <c r="E8" s="137">
        <f>'5 RECEIPTS BY MDAs'!F11</f>
        <v>30025000000</v>
      </c>
      <c r="F8" s="134">
        <f t="shared" si="0"/>
        <v>33027500000</v>
      </c>
      <c r="G8" s="134">
        <f t="shared" si="0"/>
        <v>36330250000</v>
      </c>
      <c r="H8" s="134">
        <f t="shared" si="1"/>
        <v>99382750000</v>
      </c>
    </row>
    <row r="9" spans="1:8" s="135" customFormat="1" ht="30.75" hidden="1" x14ac:dyDescent="0.45">
      <c r="A9" s="132">
        <v>5</v>
      </c>
      <c r="B9" s="138" t="s">
        <v>1062</v>
      </c>
      <c r="C9" s="137">
        <v>0</v>
      </c>
      <c r="D9" s="137">
        <v>1058435670.39</v>
      </c>
      <c r="E9" s="137">
        <f>'5 RECEIPTS BY MDAs'!F12</f>
        <v>2000000000</v>
      </c>
      <c r="F9" s="134">
        <f t="shared" si="0"/>
        <v>2200000000</v>
      </c>
      <c r="G9" s="134">
        <f t="shared" si="0"/>
        <v>2420000000</v>
      </c>
      <c r="H9" s="134">
        <f t="shared" si="1"/>
        <v>6620000000</v>
      </c>
    </row>
    <row r="10" spans="1:8" s="135" customFormat="1" ht="30.75" hidden="1" x14ac:dyDescent="0.45">
      <c r="A10" s="132">
        <v>6</v>
      </c>
      <c r="B10" s="138" t="s">
        <v>686</v>
      </c>
      <c r="C10" s="137"/>
      <c r="D10" s="137">
        <v>3395700373</v>
      </c>
      <c r="E10" s="137">
        <f>'5 RECEIPTS BY MDAs'!F10</f>
        <v>0</v>
      </c>
      <c r="F10" s="134">
        <f t="shared" si="0"/>
        <v>0</v>
      </c>
      <c r="G10" s="134">
        <f t="shared" si="0"/>
        <v>0</v>
      </c>
      <c r="H10" s="134">
        <f t="shared" si="1"/>
        <v>0</v>
      </c>
    </row>
    <row r="11" spans="1:8" s="135" customFormat="1" ht="30.75" hidden="1" x14ac:dyDescent="0.45">
      <c r="A11" s="132">
        <v>7</v>
      </c>
      <c r="B11" s="138" t="s">
        <v>1063</v>
      </c>
      <c r="C11" s="149">
        <v>0</v>
      </c>
      <c r="D11" s="149">
        <v>1707128828.8299999</v>
      </c>
      <c r="E11" s="149">
        <f>'5 RECEIPTS BY MDAs'!F9</f>
        <v>2000000000</v>
      </c>
      <c r="F11" s="134">
        <f t="shared" si="0"/>
        <v>2200000000</v>
      </c>
      <c r="G11" s="134">
        <f t="shared" si="0"/>
        <v>2420000000</v>
      </c>
      <c r="H11" s="134">
        <f t="shared" si="1"/>
        <v>6620000000</v>
      </c>
    </row>
    <row r="12" spans="1:8" s="135" customFormat="1" ht="30.75" x14ac:dyDescent="0.45">
      <c r="A12" s="132">
        <v>8</v>
      </c>
      <c r="B12" s="138" t="s">
        <v>2407</v>
      </c>
      <c r="C12" s="137">
        <f>'5 RECEIPTS BY MDAs'!D13</f>
        <v>7072400744</v>
      </c>
      <c r="D12" s="137">
        <v>187673524</v>
      </c>
      <c r="E12" s="137">
        <f>'5 RECEIPTS BY MDAs'!F13</f>
        <v>7072400744</v>
      </c>
      <c r="F12" s="134">
        <f t="shared" si="0"/>
        <v>7779640818.3999996</v>
      </c>
      <c r="G12" s="134">
        <f t="shared" si="0"/>
        <v>8557604900.2399998</v>
      </c>
      <c r="H12" s="134">
        <f t="shared" si="1"/>
        <v>23409646462.639999</v>
      </c>
    </row>
    <row r="13" spans="1:8" s="135" customFormat="1" ht="30.75" hidden="1" x14ac:dyDescent="0.45">
      <c r="A13" s="132">
        <v>9</v>
      </c>
      <c r="B13" s="138"/>
      <c r="C13" s="149"/>
      <c r="D13" s="149"/>
      <c r="E13" s="149"/>
      <c r="F13" s="134">
        <f t="shared" si="0"/>
        <v>0</v>
      </c>
      <c r="G13" s="134">
        <f t="shared" si="0"/>
        <v>0</v>
      </c>
      <c r="H13" s="134">
        <f t="shared" si="1"/>
        <v>0</v>
      </c>
    </row>
    <row r="14" spans="1:8" s="135" customFormat="1" ht="30.75" x14ac:dyDescent="0.45">
      <c r="A14" s="132">
        <v>10</v>
      </c>
      <c r="B14" s="138" t="s">
        <v>2443</v>
      </c>
      <c r="C14" s="137">
        <v>11736860000</v>
      </c>
      <c r="D14" s="137">
        <f>'5 RECEIPTS BY MDAs'!E153</f>
        <v>9093886896.7500019</v>
      </c>
      <c r="E14" s="137">
        <f>'5 RECEIPTS BY MDAs'!F153</f>
        <v>15612100000</v>
      </c>
      <c r="F14" s="134">
        <f t="shared" si="0"/>
        <v>17173310000</v>
      </c>
      <c r="G14" s="134">
        <f t="shared" si="0"/>
        <v>18890641000</v>
      </c>
      <c r="H14" s="134">
        <f t="shared" si="1"/>
        <v>51676051000</v>
      </c>
    </row>
    <row r="15" spans="1:8" s="135" customFormat="1" ht="30.75" x14ac:dyDescent="0.45">
      <c r="A15" s="132">
        <v>11</v>
      </c>
      <c r="B15" s="138" t="s">
        <v>2444</v>
      </c>
      <c r="C15" s="137">
        <v>30501465865</v>
      </c>
      <c r="D15" s="137">
        <f>'5 RECEIPTS BY MDAs'!E154</f>
        <v>0</v>
      </c>
      <c r="E15" s="137">
        <f>'5 RECEIPTS BY MDAs'!F30+'5 RECEIPTS BY MDAs'!F848</f>
        <v>37591726383.841499</v>
      </c>
      <c r="F15" s="134">
        <f t="shared" si="0"/>
        <v>41350899022.225647</v>
      </c>
      <c r="G15" s="134">
        <f t="shared" si="0"/>
        <v>45485988924.448212</v>
      </c>
      <c r="H15" s="134">
        <f t="shared" si="1"/>
        <v>124428614330.51535</v>
      </c>
    </row>
    <row r="16" spans="1:8" s="135" customFormat="1" ht="30.75" x14ac:dyDescent="0.45">
      <c r="A16" s="132">
        <v>12</v>
      </c>
      <c r="B16" s="138" t="s">
        <v>1029</v>
      </c>
      <c r="C16" s="137">
        <v>31125874179</v>
      </c>
      <c r="D16" s="137">
        <f>'5 RECEIPTS BY MDAs'!E155</f>
        <v>0</v>
      </c>
      <c r="E16" s="137">
        <f>'5 RECEIPTS BY MDAs'!F68+'5 RECEIPTS BY MDAs'!F103</f>
        <v>43950115199</v>
      </c>
      <c r="F16" s="134">
        <f t="shared" si="0"/>
        <v>48345126718.900002</v>
      </c>
      <c r="G16" s="134">
        <f t="shared" si="0"/>
        <v>53179639390.790001</v>
      </c>
      <c r="H16" s="134">
        <f t="shared" si="1"/>
        <v>145474881308.69</v>
      </c>
    </row>
    <row r="17" spans="1:8" s="141" customFormat="1" ht="30.75" x14ac:dyDescent="0.4">
      <c r="A17" s="132">
        <v>13</v>
      </c>
      <c r="B17" s="139" t="s">
        <v>97</v>
      </c>
      <c r="C17" s="140">
        <f t="shared" ref="C17:H17" si="2">SUM(C7:C16)</f>
        <v>139286457754</v>
      </c>
      <c r="D17" s="140">
        <f>SUM(D7:D16)</f>
        <v>58603397907.029999</v>
      </c>
      <c r="E17" s="140">
        <f t="shared" si="2"/>
        <v>213139561986.84149</v>
      </c>
      <c r="F17" s="140">
        <f t="shared" si="2"/>
        <v>234453518185.52563</v>
      </c>
      <c r="G17" s="140">
        <f t="shared" si="2"/>
        <v>257898870004.07822</v>
      </c>
      <c r="H17" s="140">
        <f t="shared" si="2"/>
        <v>705491950176.44531</v>
      </c>
    </row>
    <row r="18" spans="1:8" s="141" customFormat="1" ht="30.75" x14ac:dyDescent="0.4">
      <c r="A18" s="132">
        <v>14</v>
      </c>
      <c r="B18" s="142" t="s">
        <v>98</v>
      </c>
      <c r="C18" s="568">
        <f t="shared" ref="C18:H18" si="3">SUM(C5,C17)</f>
        <v>144286457754</v>
      </c>
      <c r="D18" s="568">
        <f t="shared" si="3"/>
        <v>63603397907.029999</v>
      </c>
      <c r="E18" s="568">
        <f>SUM(E5,E17)</f>
        <v>218139561986.84149</v>
      </c>
      <c r="F18" s="568">
        <f t="shared" si="3"/>
        <v>239953518185.52563</v>
      </c>
      <c r="G18" s="568">
        <f t="shared" si="3"/>
        <v>263948870004.07822</v>
      </c>
      <c r="H18" s="568">
        <f t="shared" si="3"/>
        <v>722041950176.44531</v>
      </c>
    </row>
    <row r="19" spans="1:8" s="135" customFormat="1" ht="30.75" x14ac:dyDescent="0.45">
      <c r="A19" s="132">
        <v>15</v>
      </c>
      <c r="B19" s="136" t="s">
        <v>99</v>
      </c>
      <c r="C19" s="137"/>
      <c r="D19" s="137"/>
      <c r="E19" s="137"/>
      <c r="F19" s="137"/>
      <c r="G19" s="137"/>
      <c r="H19" s="137"/>
    </row>
    <row r="20" spans="1:8" s="135" customFormat="1" ht="30.75" hidden="1" x14ac:dyDescent="0.45">
      <c r="A20" s="132">
        <v>16</v>
      </c>
      <c r="B20" s="143" t="s">
        <v>100</v>
      </c>
      <c r="C20" s="137"/>
      <c r="D20" s="137"/>
      <c r="E20" s="137"/>
      <c r="F20" s="137"/>
      <c r="G20" s="137"/>
      <c r="H20" s="137">
        <f>SUM(E20:G20)</f>
        <v>0</v>
      </c>
    </row>
    <row r="21" spans="1:8" s="135" customFormat="1" ht="30.75" hidden="1" x14ac:dyDescent="0.45">
      <c r="A21" s="132">
        <v>17</v>
      </c>
      <c r="B21" s="144" t="s">
        <v>118</v>
      </c>
      <c r="C21" s="137"/>
      <c r="D21" s="137"/>
      <c r="E21" s="137"/>
      <c r="F21" s="137"/>
      <c r="G21" s="137"/>
      <c r="H21" s="137">
        <f>SUM(E21:G21)</f>
        <v>0</v>
      </c>
    </row>
    <row r="22" spans="1:8" s="135" customFormat="1" ht="30.75" hidden="1" x14ac:dyDescent="0.45">
      <c r="A22" s="132">
        <v>18</v>
      </c>
      <c r="B22" s="138" t="s">
        <v>101</v>
      </c>
      <c r="C22" s="137"/>
      <c r="D22" s="137"/>
      <c r="E22" s="137"/>
      <c r="F22" s="137"/>
      <c r="G22" s="137"/>
      <c r="H22" s="137">
        <f>SUM(E22:G22)</f>
        <v>0</v>
      </c>
    </row>
    <row r="23" spans="1:8" s="135" customFormat="1" ht="30.75" x14ac:dyDescent="0.45">
      <c r="A23" s="132">
        <v>20</v>
      </c>
      <c r="B23" s="1967" t="s">
        <v>3234</v>
      </c>
      <c r="C23" s="1968">
        <f>'8 OVERHEAD COSTS'!C931</f>
        <v>5362935145</v>
      </c>
      <c r="D23" s="1968"/>
      <c r="E23" s="1968">
        <f>'6 SUMMARY OF DETAILS EXP'!E48</f>
        <v>7233805769</v>
      </c>
      <c r="F23" s="134">
        <f t="shared" ref="F23:G24" si="4">E23*10%+E23</f>
        <v>7957186345.8999996</v>
      </c>
      <c r="G23" s="134">
        <f t="shared" si="4"/>
        <v>8752904980.4899998</v>
      </c>
      <c r="H23" s="134">
        <f t="shared" ref="H23:H24" si="5">SUM(E23:G23)</f>
        <v>23943897095.389999</v>
      </c>
    </row>
    <row r="24" spans="1:8" s="135" customFormat="1" ht="30.75" x14ac:dyDescent="0.45">
      <c r="A24" s="132">
        <v>21</v>
      </c>
      <c r="B24" s="1967" t="s">
        <v>3235</v>
      </c>
      <c r="C24" s="1968">
        <f>'8 OVERHEAD COSTS'!C919</f>
        <v>6045000000</v>
      </c>
      <c r="D24" s="1968"/>
      <c r="E24" s="137">
        <f>'6 SUMMARY OF DETAILS EXP'!E47</f>
        <v>13245000000</v>
      </c>
      <c r="F24" s="134">
        <f t="shared" si="4"/>
        <v>14569500000</v>
      </c>
      <c r="G24" s="134">
        <f t="shared" si="4"/>
        <v>16026450000</v>
      </c>
      <c r="H24" s="134">
        <f t="shared" si="5"/>
        <v>43840950000</v>
      </c>
    </row>
    <row r="25" spans="1:8" s="135" customFormat="1" ht="30.75" x14ac:dyDescent="0.45">
      <c r="A25" s="132">
        <v>22</v>
      </c>
      <c r="B25" s="143" t="s">
        <v>2446</v>
      </c>
      <c r="C25" s="137"/>
      <c r="D25" s="137"/>
      <c r="F25" s="137"/>
      <c r="G25" s="137"/>
      <c r="H25" s="137"/>
    </row>
    <row r="26" spans="1:8" s="135" customFormat="1" ht="30.75" x14ac:dyDescent="0.45">
      <c r="A26" s="132">
        <v>23</v>
      </c>
      <c r="B26" s="138" t="s">
        <v>1027</v>
      </c>
      <c r="C26" s="137">
        <v>32364136515</v>
      </c>
      <c r="D26" s="137"/>
      <c r="E26" s="137">
        <f>'6 SUMMARY OF DETAILS EXP'!$C$114</f>
        <v>31679086046.247116</v>
      </c>
      <c r="F26" s="134">
        <f t="shared" ref="F26:G28" si="6">E26*10%+E26</f>
        <v>34846994650.871826</v>
      </c>
      <c r="G26" s="134">
        <f t="shared" si="6"/>
        <v>38331694115.959007</v>
      </c>
      <c r="H26" s="137">
        <f>SUM(E26:G26)</f>
        <v>104857774813.07794</v>
      </c>
    </row>
    <row r="27" spans="1:8" s="135" customFormat="1" ht="30.75" x14ac:dyDescent="0.45">
      <c r="A27" s="132">
        <v>24</v>
      </c>
      <c r="B27" s="144" t="s">
        <v>241</v>
      </c>
      <c r="C27" s="137">
        <f>18426919670-C23</f>
        <v>13063984525</v>
      </c>
      <c r="D27" s="137"/>
      <c r="E27" s="137">
        <f>'6 SUMMARY OF DETAILS EXP'!$D$114</f>
        <v>12924060645.16</v>
      </c>
      <c r="F27" s="134">
        <f t="shared" si="6"/>
        <v>14216466709.676001</v>
      </c>
      <c r="G27" s="134">
        <f t="shared" si="6"/>
        <v>15638113380.6436</v>
      </c>
      <c r="H27" s="137">
        <f>SUM(E27:G27)</f>
        <v>42778640735.479599</v>
      </c>
    </row>
    <row r="28" spans="1:8" s="135" customFormat="1" ht="30.75" x14ac:dyDescent="0.45">
      <c r="A28" s="132">
        <v>25</v>
      </c>
      <c r="B28" s="138" t="s">
        <v>121</v>
      </c>
      <c r="C28" s="137">
        <v>23658716772</v>
      </c>
      <c r="D28" s="137"/>
      <c r="E28" s="137">
        <f>'6 SUMMARY OF DETAILS EXP'!$E$114-E23-E24</f>
        <v>23638154564.431503</v>
      </c>
      <c r="F28" s="134">
        <f t="shared" si="6"/>
        <v>26001970020.874653</v>
      </c>
      <c r="G28" s="134">
        <f t="shared" si="6"/>
        <v>28602167022.96212</v>
      </c>
      <c r="H28" s="137">
        <f>SUM(E28:G28)</f>
        <v>78242291608.26828</v>
      </c>
    </row>
    <row r="29" spans="1:8" s="141" customFormat="1" ht="30.75" x14ac:dyDescent="0.4">
      <c r="A29" s="132">
        <v>26</v>
      </c>
      <c r="B29" s="145" t="s">
        <v>102</v>
      </c>
      <c r="C29" s="140">
        <f t="shared" ref="C29:H29" si="7">SUM(C26:C28)</f>
        <v>69086837812</v>
      </c>
      <c r="D29" s="140">
        <f t="shared" si="7"/>
        <v>0</v>
      </c>
      <c r="E29" s="140">
        <f t="shared" si="7"/>
        <v>68241301255.838623</v>
      </c>
      <c r="F29" s="140">
        <f t="shared" si="7"/>
        <v>75065431381.422485</v>
      </c>
      <c r="G29" s="140">
        <f t="shared" si="7"/>
        <v>82571974519.564728</v>
      </c>
      <c r="H29" s="140">
        <f t="shared" si="7"/>
        <v>225878707156.82584</v>
      </c>
    </row>
    <row r="30" spans="1:8" s="141" customFormat="1" ht="30.75" x14ac:dyDescent="0.4">
      <c r="A30" s="132">
        <v>27</v>
      </c>
      <c r="B30" s="146" t="s">
        <v>103</v>
      </c>
      <c r="C30" s="140">
        <f t="shared" ref="C30:H30" si="8">SUM(C23,C24,C29)</f>
        <v>80494772957</v>
      </c>
      <c r="D30" s="140">
        <f t="shared" si="8"/>
        <v>0</v>
      </c>
      <c r="E30" s="140">
        <f t="shared" si="8"/>
        <v>88720107024.838623</v>
      </c>
      <c r="F30" s="140">
        <f t="shared" si="8"/>
        <v>97592117727.322479</v>
      </c>
      <c r="G30" s="140">
        <f t="shared" si="8"/>
        <v>107351329500.05472</v>
      </c>
      <c r="H30" s="140">
        <f t="shared" si="8"/>
        <v>293663554252.21582</v>
      </c>
    </row>
    <row r="31" spans="1:8" s="135" customFormat="1" ht="30.75" x14ac:dyDescent="0.45">
      <c r="A31" s="132">
        <v>28</v>
      </c>
      <c r="B31" s="143" t="s">
        <v>110</v>
      </c>
      <c r="C31" s="137"/>
      <c r="D31" s="137"/>
      <c r="E31" s="137"/>
      <c r="F31" s="137"/>
      <c r="G31" s="137"/>
      <c r="H31" s="137"/>
    </row>
    <row r="32" spans="1:8" s="135" customFormat="1" ht="30.75" x14ac:dyDescent="0.45">
      <c r="A32" s="132">
        <v>29</v>
      </c>
      <c r="B32" s="138" t="s">
        <v>1317</v>
      </c>
      <c r="C32" s="137">
        <f>'9 SUMMARY OF TOTAL EXP'!C10</f>
        <v>11754051720</v>
      </c>
      <c r="D32" s="137"/>
      <c r="E32" s="137">
        <f>'6 SUMMARY OF DETAILS EXP'!$G$37</f>
        <v>14450679055</v>
      </c>
      <c r="F32" s="134">
        <f t="shared" ref="F32:G35" si="9">E32*10%+E32</f>
        <v>15895746960.5</v>
      </c>
      <c r="G32" s="134">
        <f t="shared" si="9"/>
        <v>17485321656.549999</v>
      </c>
      <c r="H32" s="137">
        <f>SUM(E32:G32)</f>
        <v>47831747672.050003</v>
      </c>
    </row>
    <row r="33" spans="1:8" s="135" customFormat="1" ht="30.75" x14ac:dyDescent="0.45">
      <c r="A33" s="132">
        <v>30</v>
      </c>
      <c r="B33" s="138" t="s">
        <v>88</v>
      </c>
      <c r="C33" s="137">
        <f>'9 SUMMARY OF TOTAL EXP'!C16-C24</f>
        <v>36699348292</v>
      </c>
      <c r="D33" s="137"/>
      <c r="E33" s="137">
        <f>'6 SUMMARY OF DETAILS EXP'!$G$69</f>
        <v>105593874038</v>
      </c>
      <c r="F33" s="134">
        <f t="shared" si="9"/>
        <v>116153261441.8</v>
      </c>
      <c r="G33" s="134">
        <f t="shared" si="9"/>
        <v>127768587585.98001</v>
      </c>
      <c r="H33" s="137">
        <f>SUM(E33:G33)</f>
        <v>349515723065.78003</v>
      </c>
    </row>
    <row r="34" spans="1:8" s="135" customFormat="1" ht="30.75" x14ac:dyDescent="0.45">
      <c r="A34" s="132">
        <v>31</v>
      </c>
      <c r="B34" s="138" t="s">
        <v>455</v>
      </c>
      <c r="C34" s="137">
        <f>'9 SUMMARY OF TOTAL EXP'!C22</f>
        <v>1061500000</v>
      </c>
      <c r="D34" s="137"/>
      <c r="E34" s="137">
        <f>'6 SUMMARY OF DETAILS EXP'!$G$77</f>
        <v>1296840000</v>
      </c>
      <c r="F34" s="134">
        <f t="shared" si="9"/>
        <v>1426524000</v>
      </c>
      <c r="G34" s="134">
        <f t="shared" si="9"/>
        <v>1569176400</v>
      </c>
      <c r="H34" s="137">
        <f>SUM(E34:G34)</f>
        <v>4292540400</v>
      </c>
    </row>
    <row r="35" spans="1:8" s="135" customFormat="1" ht="30.75" x14ac:dyDescent="0.45">
      <c r="A35" s="132">
        <v>32</v>
      </c>
      <c r="B35" s="138" t="s">
        <v>91</v>
      </c>
      <c r="C35" s="137">
        <f>'9 SUMMARY OF TOTAL EXP'!C28</f>
        <v>51620070207</v>
      </c>
      <c r="D35" s="137"/>
      <c r="E35" s="137">
        <f>'6 SUMMARY OF DETAILS EXP'!$G$112</f>
        <v>76576281225</v>
      </c>
      <c r="F35" s="134">
        <f t="shared" si="9"/>
        <v>84233909347.5</v>
      </c>
      <c r="G35" s="134">
        <f t="shared" si="9"/>
        <v>92657300282.25</v>
      </c>
      <c r="H35" s="137">
        <f>SUM(E35:G35)</f>
        <v>253467490854.75</v>
      </c>
    </row>
    <row r="36" spans="1:8" s="141" customFormat="1" ht="30.75" x14ac:dyDescent="0.4">
      <c r="A36" s="132">
        <v>33</v>
      </c>
      <c r="B36" s="147" t="s">
        <v>104</v>
      </c>
      <c r="C36" s="140">
        <f>SUM(C32:C35)</f>
        <v>101134970219</v>
      </c>
      <c r="D36" s="140"/>
      <c r="E36" s="140">
        <f>SUM(E32:E35)</f>
        <v>197917674318</v>
      </c>
      <c r="F36" s="140">
        <f>SUM(F32:F35)</f>
        <v>217709441749.79999</v>
      </c>
      <c r="G36" s="140">
        <f>SUM(G32:G35)</f>
        <v>239480385924.78</v>
      </c>
      <c r="H36" s="140">
        <f>SUM(H32:H35)</f>
        <v>655107501992.58008</v>
      </c>
    </row>
    <row r="37" spans="1:8" s="141" customFormat="1" ht="30.75" x14ac:dyDescent="0.4">
      <c r="A37" s="132">
        <v>34</v>
      </c>
      <c r="B37" s="142" t="s">
        <v>105</v>
      </c>
      <c r="C37" s="140">
        <f>SUM(C30,C36)</f>
        <v>181629743176</v>
      </c>
      <c r="D37" s="140"/>
      <c r="E37" s="140">
        <f>SUM(E30,E36)</f>
        <v>286637781342.83862</v>
      </c>
      <c r="F37" s="140">
        <f>SUM(F30,F36)</f>
        <v>315301559477.12244</v>
      </c>
      <c r="G37" s="140">
        <f>SUM(G30,G36)</f>
        <v>346831715424.83472</v>
      </c>
      <c r="H37" s="140">
        <f>SUM(H30,H36)</f>
        <v>948771056244.7959</v>
      </c>
    </row>
    <row r="38" spans="1:8" s="135" customFormat="1" ht="30.75" x14ac:dyDescent="0.45">
      <c r="A38" s="132">
        <v>35</v>
      </c>
      <c r="B38" s="143" t="s">
        <v>106</v>
      </c>
      <c r="C38" s="569">
        <f>SUM(C18-C37)</f>
        <v>-37343285422</v>
      </c>
      <c r="D38" s="569"/>
      <c r="E38" s="569">
        <f>SUM(E18-E37)</f>
        <v>-68498219355.997131</v>
      </c>
      <c r="F38" s="569">
        <f>SUM(F18-F37)</f>
        <v>-75348041291.596802</v>
      </c>
      <c r="G38" s="569">
        <f>SUM(G18-G37)</f>
        <v>-82882845420.7565</v>
      </c>
      <c r="H38" s="569">
        <f>SUM(H18-H37)</f>
        <v>-226729106068.35059</v>
      </c>
    </row>
    <row r="39" spans="1:8" s="135" customFormat="1" ht="30.75" x14ac:dyDescent="0.45">
      <c r="A39" s="132">
        <v>36</v>
      </c>
      <c r="B39" s="143" t="s">
        <v>107</v>
      </c>
      <c r="C39" s="137"/>
      <c r="D39" s="137"/>
      <c r="E39" s="137"/>
      <c r="F39" s="137"/>
      <c r="G39" s="137"/>
      <c r="H39" s="137"/>
    </row>
    <row r="40" spans="1:8" s="135" customFormat="1" ht="30.75" x14ac:dyDescent="0.45">
      <c r="A40" s="132">
        <v>37</v>
      </c>
      <c r="B40" s="138" t="s">
        <v>2419</v>
      </c>
      <c r="C40" s="137">
        <f>'5 RECEIPTS BY MDAs'!D109</f>
        <v>2000000000</v>
      </c>
      <c r="D40" s="137"/>
      <c r="E40" s="137">
        <f>'5 RECEIPTS BY MDAs'!F109</f>
        <v>0</v>
      </c>
      <c r="F40" s="134">
        <f t="shared" ref="F40:G42" si="10">E40*10%+E40</f>
        <v>0</v>
      </c>
      <c r="G40" s="134">
        <f t="shared" si="10"/>
        <v>0</v>
      </c>
      <c r="H40" s="137">
        <f>SUM(E40:G40)</f>
        <v>0</v>
      </c>
    </row>
    <row r="41" spans="1:8" s="135" customFormat="1" ht="30.75" x14ac:dyDescent="0.45">
      <c r="A41" s="132">
        <v>38</v>
      </c>
      <c r="B41" s="138" t="s">
        <v>2658</v>
      </c>
      <c r="C41" s="137">
        <f>'5 RECEIPTS BY MDAs'!D110</f>
        <v>3551911249</v>
      </c>
      <c r="D41" s="137"/>
      <c r="E41" s="137">
        <f>'5 RECEIPTS BY MDAs'!F110</f>
        <v>50000000000</v>
      </c>
      <c r="F41" s="134">
        <f t="shared" si="10"/>
        <v>55000000000</v>
      </c>
      <c r="G41" s="134">
        <f t="shared" si="10"/>
        <v>60500000000</v>
      </c>
      <c r="H41" s="137">
        <f>SUM(E41:G41)</f>
        <v>165500000000</v>
      </c>
    </row>
    <row r="42" spans="1:8" s="135" customFormat="1" ht="30.75" x14ac:dyDescent="0.45">
      <c r="A42" s="132">
        <v>39</v>
      </c>
      <c r="B42" s="138" t="s">
        <v>1032</v>
      </c>
      <c r="C42" s="137">
        <v>31791374173</v>
      </c>
      <c r="D42" s="137"/>
      <c r="E42" s="137">
        <f>'4 SUMMARY OF REV BY MDAs'!F78</f>
        <v>18498219356</v>
      </c>
      <c r="F42" s="134">
        <f t="shared" si="10"/>
        <v>20348041291.599998</v>
      </c>
      <c r="G42" s="134">
        <f t="shared" si="10"/>
        <v>22382845420.759998</v>
      </c>
      <c r="H42" s="137">
        <f>SUM(E42:G42)</f>
        <v>61229106068.360001</v>
      </c>
    </row>
    <row r="43" spans="1:8" s="135" customFormat="1" ht="31.5" thickBot="1" x14ac:dyDescent="0.5">
      <c r="A43" s="132">
        <v>40</v>
      </c>
      <c r="B43" s="148" t="s">
        <v>108</v>
      </c>
      <c r="C43" s="570">
        <f>SUM(C40:C42)</f>
        <v>37343285422</v>
      </c>
      <c r="D43" s="570">
        <f>SUM(D40:D42)</f>
        <v>0</v>
      </c>
      <c r="E43" s="570">
        <f>SUM(E40:E42)</f>
        <v>68498219356</v>
      </c>
      <c r="F43" s="570">
        <f>SUM(F40:F42)</f>
        <v>75348041291.600006</v>
      </c>
      <c r="G43" s="570">
        <f>SUM(G40:G42)</f>
        <v>82882845420.759995</v>
      </c>
      <c r="H43" s="568">
        <f>SUM(E43:G43)</f>
        <v>226729106068.35999</v>
      </c>
    </row>
    <row r="44" spans="1:8" s="821" customFormat="1" ht="31.5" thickBot="1" x14ac:dyDescent="0.45">
      <c r="A44" s="132">
        <v>41</v>
      </c>
      <c r="B44" s="819" t="s">
        <v>109</v>
      </c>
      <c r="C44" s="820">
        <f t="shared" ref="C44:H44" si="11">SUM(C38,C43)</f>
        <v>0</v>
      </c>
      <c r="D44" s="820">
        <f t="shared" si="11"/>
        <v>0</v>
      </c>
      <c r="E44" s="820">
        <f t="shared" si="11"/>
        <v>2.86865234375E-3</v>
      </c>
      <c r="F44" s="820">
        <f t="shared" si="11"/>
        <v>3.204345703125E-3</v>
      </c>
      <c r="G44" s="820">
        <f t="shared" si="11"/>
        <v>3.4942626953125E-3</v>
      </c>
      <c r="H44" s="820">
        <f t="shared" si="11"/>
        <v>9.3994140625E-3</v>
      </c>
    </row>
    <row r="45" spans="1:8" ht="20.25" x14ac:dyDescent="0.3"/>
  </sheetData>
  <mergeCells count="3">
    <mergeCell ref="A3:H3"/>
    <mergeCell ref="A1:H1"/>
    <mergeCell ref="A2:H2"/>
  </mergeCells>
  <pageMargins left="0.25" right="0.25" top="0.93437499999999996" bottom="0.75" header="0.3" footer="0.3"/>
  <pageSetup paperSize="9" scale="39" firstPageNumber="2" orientation="landscape" useFirstPageNumber="1" r:id="rId1"/>
  <headerFooter>
    <oddHeader>&amp;L
&amp;G&amp;R&amp;16&amp;K00B050KATSINA STATE GOVERNMENT 2021 APPROVED APPROPRIATION LAW</oddHeader>
    <oddFooter>&amp;L&amp;"Century Schoolbook,Regular"&amp;16&amp;K00B050KATSINA STATE GOVERNMENT 2021 APPROVED APPROPRIATION LAW&amp;C&amp;24&amp;P&amp;R&amp;16&amp;G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view="pageLayout" topLeftCell="A45" zoomScale="40" zoomScaleNormal="40" zoomScaleSheetLayoutView="40" zoomScalePageLayoutView="40" workbookViewId="0">
      <selection activeCell="C62" sqref="C62"/>
    </sheetView>
  </sheetViews>
  <sheetFormatPr defaultRowHeight="36" customHeight="1" x14ac:dyDescent="0.2"/>
  <cols>
    <col min="1" max="1" width="13.42578125" style="881" customWidth="1"/>
    <col min="2" max="2" width="29.85546875" style="881" customWidth="1"/>
    <col min="3" max="3" width="155.140625" style="822" customWidth="1"/>
    <col min="4" max="4" width="48.42578125" style="840" customWidth="1"/>
    <col min="5" max="5" width="39.28515625" style="822" customWidth="1"/>
    <col min="6" max="6" width="40.85546875" style="822" customWidth="1"/>
    <col min="7" max="7" width="30.140625" style="883" customWidth="1"/>
    <col min="8" max="16384" width="9.140625" style="822"/>
  </cols>
  <sheetData>
    <row r="1" spans="1:7" ht="48" customHeight="1" thickBot="1" x14ac:dyDescent="0.25">
      <c r="A1" s="3417" t="s">
        <v>2689</v>
      </c>
      <c r="B1" s="3418"/>
      <c r="C1" s="3418"/>
      <c r="D1" s="3418"/>
      <c r="E1" s="3418"/>
      <c r="F1" s="3418"/>
      <c r="G1" s="3419"/>
    </row>
    <row r="2" spans="1:7" s="828" customFormat="1" ht="77.25" thickBot="1" x14ac:dyDescent="0.25">
      <c r="A2" s="823" t="s">
        <v>1120</v>
      </c>
      <c r="B2" s="824" t="s">
        <v>1015</v>
      </c>
      <c r="C2" s="825" t="s">
        <v>1016</v>
      </c>
      <c r="D2" s="826" t="s">
        <v>1174</v>
      </c>
      <c r="E2" s="826" t="s">
        <v>1145</v>
      </c>
      <c r="F2" s="863" t="s">
        <v>3098</v>
      </c>
      <c r="G2" s="824" t="s">
        <v>1017</v>
      </c>
    </row>
    <row r="3" spans="1:7" ht="30.75" x14ac:dyDescent="0.2">
      <c r="A3" s="829">
        <v>1</v>
      </c>
      <c r="B3" s="830" t="s">
        <v>434</v>
      </c>
      <c r="C3" s="831" t="s">
        <v>679</v>
      </c>
      <c r="D3" s="832">
        <f>'5 RECEIPTS BY MDAs'!D14+'5 RECEIPTS BY MDAs'!D30</f>
        <v>93723663445</v>
      </c>
      <c r="E3" s="832">
        <f>'5 RECEIPTS BY MDAs'!E14+'5 RECEIPTS BY MDAs'!E30</f>
        <v>49743576780.950005</v>
      </c>
      <c r="F3" s="832">
        <f>'5 RECEIPTS BY MDAs'!F14+'5 RECEIPTS BY MDAs'!F30</f>
        <v>143187026139</v>
      </c>
      <c r="G3" s="833">
        <f>F3/F82%</f>
        <v>49.953996109025482</v>
      </c>
    </row>
    <row r="4" spans="1:7" ht="30.75" x14ac:dyDescent="0.2">
      <c r="A4" s="829">
        <v>2</v>
      </c>
      <c r="B4" s="836" t="s">
        <v>1021</v>
      </c>
      <c r="C4" s="837" t="s">
        <v>246</v>
      </c>
      <c r="D4" s="838">
        <f>'5 RECEIPTS BY MDAs'!D153</f>
        <v>9757500000</v>
      </c>
      <c r="E4" s="838">
        <f>'5 RECEIPTS BY MDAs'!E153</f>
        <v>9093886896.7500019</v>
      </c>
      <c r="F4" s="838">
        <f>'5 RECEIPTS BY MDAs'!F153</f>
        <v>15612100000</v>
      </c>
      <c r="G4" s="833">
        <f>F4/F82%</f>
        <v>5.4466302128283264</v>
      </c>
    </row>
    <row r="5" spans="1:7" ht="30.75" x14ac:dyDescent="0.2">
      <c r="A5" s="829">
        <v>3</v>
      </c>
      <c r="B5" s="839" t="s">
        <v>407</v>
      </c>
      <c r="C5" s="837" t="s">
        <v>986</v>
      </c>
      <c r="D5" s="838">
        <f>'5 RECEIPTS BY MDAs'!D361</f>
        <v>2500000</v>
      </c>
      <c r="E5" s="838">
        <f>'5 RECEIPTS BY MDAs'!E361</f>
        <v>130000</v>
      </c>
      <c r="F5" s="838">
        <f>'5 RECEIPTS BY MDAs'!F361</f>
        <v>2850000</v>
      </c>
      <c r="G5" s="833">
        <f>F5/F82%</f>
        <v>9.9428623353429264E-4</v>
      </c>
    </row>
    <row r="6" spans="1:7" ht="30.75" x14ac:dyDescent="0.2">
      <c r="A6" s="829">
        <v>4</v>
      </c>
      <c r="B6" s="836" t="s">
        <v>430</v>
      </c>
      <c r="C6" s="837" t="s">
        <v>669</v>
      </c>
      <c r="D6" s="838">
        <f>'5 RECEIPTS BY MDAs'!D707</f>
        <v>2800000</v>
      </c>
      <c r="E6" s="838">
        <f>'5 RECEIPTS BY MDAs'!E707</f>
        <v>198000</v>
      </c>
      <c r="F6" s="838">
        <f>'5 RECEIPTS BY MDAs'!F707</f>
        <v>16400000</v>
      </c>
      <c r="G6" s="833">
        <f>F6/F82%</f>
        <v>5.7215067473552275E-3</v>
      </c>
    </row>
    <row r="7" spans="1:7" ht="30.75" x14ac:dyDescent="0.2">
      <c r="A7" s="829">
        <v>5</v>
      </c>
      <c r="B7" s="836" t="s">
        <v>1279</v>
      </c>
      <c r="C7" s="837" t="s">
        <v>1774</v>
      </c>
      <c r="D7" s="838">
        <f>'5 RECEIPTS BY MDAs'!D477</f>
        <v>16130000</v>
      </c>
      <c r="E7" s="838">
        <f>'5 RECEIPTS BY MDAs'!E477</f>
        <v>12396750</v>
      </c>
      <c r="F7" s="838">
        <f>'5 RECEIPTS BY MDAs'!F477</f>
        <v>15630000</v>
      </c>
      <c r="G7" s="833">
        <f>F7/F82%</f>
        <v>5.4528750281196475E-3</v>
      </c>
    </row>
    <row r="8" spans="1:7" ht="30.75" x14ac:dyDescent="0.2">
      <c r="A8" s="829">
        <v>6</v>
      </c>
      <c r="B8" s="839" t="s">
        <v>410</v>
      </c>
      <c r="C8" s="837" t="s">
        <v>1036</v>
      </c>
      <c r="D8" s="838">
        <f>'5 RECEIPTS BY MDAs'!D785</f>
        <v>41200000</v>
      </c>
      <c r="E8" s="838">
        <f>'5 RECEIPTS BY MDAs'!E785</f>
        <v>5750000</v>
      </c>
      <c r="F8" s="838">
        <f>'5 RECEIPTS BY MDAs'!F785</f>
        <v>97200000</v>
      </c>
      <c r="G8" s="833">
        <f>F8/F82%</f>
        <v>3.3910393648959036E-2</v>
      </c>
    </row>
    <row r="9" spans="1:7" ht="30.75" x14ac:dyDescent="0.2">
      <c r="A9" s="829">
        <v>7</v>
      </c>
      <c r="B9" s="839" t="s">
        <v>408</v>
      </c>
      <c r="C9" s="837" t="s">
        <v>1018</v>
      </c>
      <c r="D9" s="840">
        <f>'5 RECEIPTS BY MDAs'!D825</f>
        <v>50000000</v>
      </c>
      <c r="E9" s="838">
        <f>'5 RECEIPTS BY MDAs'!E825</f>
        <v>0</v>
      </c>
      <c r="F9" s="838">
        <f>'5 RECEIPTS BY MDAs'!F825</f>
        <v>538765000</v>
      </c>
      <c r="G9" s="833">
        <f>F9/F82%</f>
        <v>0.18796021845968533</v>
      </c>
    </row>
    <row r="10" spans="1:7" ht="30.75" x14ac:dyDescent="0.2">
      <c r="A10" s="829">
        <v>8</v>
      </c>
      <c r="B10" s="839" t="s">
        <v>412</v>
      </c>
      <c r="C10" s="837" t="s">
        <v>427</v>
      </c>
      <c r="D10" s="838">
        <f>'5 RECEIPTS BY MDAs'!D375</f>
        <v>5500000</v>
      </c>
      <c r="E10" s="838">
        <f>'5 RECEIPTS BY MDAs'!E375</f>
        <v>545000</v>
      </c>
      <c r="F10" s="838">
        <f>'5 RECEIPTS BY MDAs'!F375</f>
        <v>10865000</v>
      </c>
      <c r="G10" s="833">
        <f>F10/F82%</f>
        <v>3.7904982201228386E-3</v>
      </c>
    </row>
    <row r="11" spans="1:7" ht="30.75" x14ac:dyDescent="0.2">
      <c r="A11" s="829">
        <v>9</v>
      </c>
      <c r="B11" s="839" t="s">
        <v>989</v>
      </c>
      <c r="C11" s="837" t="s">
        <v>1445</v>
      </c>
      <c r="D11" s="838">
        <f>'5 RECEIPTS BY MDAs'!D381</f>
        <v>26000000</v>
      </c>
      <c r="E11" s="838">
        <f>'5 RECEIPTS BY MDAs'!E381</f>
        <v>11094436.84</v>
      </c>
      <c r="F11" s="838">
        <f>'5 RECEIPTS BY MDAs'!F381</f>
        <v>26000000</v>
      </c>
      <c r="G11" s="833">
        <f>F11/F82%</f>
        <v>9.0706814287338979E-3</v>
      </c>
    </row>
    <row r="12" spans="1:7" ht="30.75" x14ac:dyDescent="0.2">
      <c r="A12" s="829">
        <v>10</v>
      </c>
      <c r="B12" s="839" t="s">
        <v>988</v>
      </c>
      <c r="C12" s="837" t="s">
        <v>1388</v>
      </c>
      <c r="D12" s="838">
        <f>'5 RECEIPTS BY MDAs'!D387</f>
        <v>50300000</v>
      </c>
      <c r="E12" s="838">
        <f>'5 RECEIPTS BY MDAs'!E387</f>
        <v>36039451.609999999</v>
      </c>
      <c r="F12" s="838">
        <f>'5 RECEIPTS BY MDAs'!F387</f>
        <v>74300000</v>
      </c>
      <c r="G12" s="833">
        <f>F12/F82%</f>
        <v>2.5921216544420332E-2</v>
      </c>
    </row>
    <row r="13" spans="1:7" ht="30.75" x14ac:dyDescent="0.2">
      <c r="A13" s="829">
        <v>11</v>
      </c>
      <c r="B13" s="839" t="s">
        <v>987</v>
      </c>
      <c r="C13" s="837" t="s">
        <v>1474</v>
      </c>
      <c r="D13" s="838">
        <f>'5 RECEIPTS BY MDAs'!D393</f>
        <v>10000000</v>
      </c>
      <c r="E13" s="838">
        <f>'5 RECEIPTS BY MDAs'!E393</f>
        <v>1497000</v>
      </c>
      <c r="F13" s="838">
        <f>'5 RECEIPTS BY MDAs'!F393</f>
        <v>50000000</v>
      </c>
      <c r="G13" s="833">
        <f>F13/F82%</f>
        <v>1.7443618132180573E-2</v>
      </c>
    </row>
    <row r="14" spans="1:7" ht="30.75" x14ac:dyDescent="0.2">
      <c r="A14" s="829">
        <v>12</v>
      </c>
      <c r="B14" s="839" t="s">
        <v>1283</v>
      </c>
      <c r="C14" s="837" t="s">
        <v>2381</v>
      </c>
      <c r="D14" s="838">
        <f>'5 RECEIPTS BY MDAs'!D406</f>
        <v>7166525</v>
      </c>
      <c r="E14" s="838">
        <f>'5 RECEIPTS BY MDAs'!E406</f>
        <v>123500</v>
      </c>
      <c r="F14" s="838">
        <f>'5 RECEIPTS BY MDAs'!F406</f>
        <v>7386527</v>
      </c>
      <c r="G14" s="833">
        <f>F14/F82%</f>
        <v>2.5769551262208273E-3</v>
      </c>
    </row>
    <row r="15" spans="1:7" ht="30.75" x14ac:dyDescent="0.2">
      <c r="A15" s="829">
        <v>13</v>
      </c>
      <c r="B15" s="839" t="s">
        <v>414</v>
      </c>
      <c r="C15" s="837" t="s">
        <v>428</v>
      </c>
      <c r="D15" s="838">
        <f>'5 RECEIPTS BY MDAs'!D415</f>
        <v>1320000</v>
      </c>
      <c r="E15" s="838">
        <f>'5 RECEIPTS BY MDAs'!E415</f>
        <v>43900</v>
      </c>
      <c r="F15" s="838">
        <f>'5 RECEIPTS BY MDAs'!F415</f>
        <v>1320000</v>
      </c>
      <c r="G15" s="833">
        <f>F15/F82%</f>
        <v>4.6051151868956714E-4</v>
      </c>
    </row>
    <row r="16" spans="1:7" ht="30.75" x14ac:dyDescent="0.2">
      <c r="A16" s="829">
        <v>14</v>
      </c>
      <c r="B16" s="839" t="s">
        <v>1284</v>
      </c>
      <c r="C16" s="837" t="s">
        <v>1391</v>
      </c>
      <c r="D16" s="838">
        <f>'5 RECEIPTS BY MDAs'!D420</f>
        <v>0</v>
      </c>
      <c r="E16" s="838">
        <f>'5 RECEIPTS BY MDAs'!E420</f>
        <v>0</v>
      </c>
      <c r="F16" s="838">
        <f>'5 RECEIPTS BY MDAs'!F420</f>
        <v>500000</v>
      </c>
      <c r="G16" s="833">
        <f>F16/F82%</f>
        <v>1.7443618132180572E-4</v>
      </c>
    </row>
    <row r="17" spans="1:7" ht="30.75" x14ac:dyDescent="0.2">
      <c r="A17" s="829">
        <v>15</v>
      </c>
      <c r="B17" s="839" t="s">
        <v>415</v>
      </c>
      <c r="C17" s="841" t="s">
        <v>1457</v>
      </c>
      <c r="D17" s="838">
        <f>'5 RECEIPTS BY MDAs'!D433</f>
        <v>0</v>
      </c>
      <c r="E17" s="838">
        <f>'5 RECEIPTS BY MDAs'!E433</f>
        <v>0</v>
      </c>
      <c r="F17" s="838">
        <f>'5 RECEIPTS BY MDAs'!F433</f>
        <v>700000</v>
      </c>
      <c r="G17" s="833">
        <f>F17/F82%</f>
        <v>2.44210653850528E-4</v>
      </c>
    </row>
    <row r="18" spans="1:7" ht="27.75" customHeight="1" x14ac:dyDescent="0.2">
      <c r="A18" s="829">
        <v>16</v>
      </c>
      <c r="B18" s="839" t="s">
        <v>416</v>
      </c>
      <c r="C18" s="841" t="s">
        <v>1458</v>
      </c>
      <c r="D18" s="838">
        <f>'5 RECEIPTS BY MDAs'!D426</f>
        <v>0</v>
      </c>
      <c r="E18" s="838">
        <f>'5 RECEIPTS BY MDAs'!E426</f>
        <v>0</v>
      </c>
      <c r="F18" s="838">
        <f>'5 RECEIPTS BY MDAs'!F426</f>
        <v>400000</v>
      </c>
      <c r="G18" s="833">
        <f>F18/F82%</f>
        <v>1.3954894505744457E-4</v>
      </c>
    </row>
    <row r="19" spans="1:7" ht="30.75" x14ac:dyDescent="0.2">
      <c r="A19" s="829">
        <v>17</v>
      </c>
      <c r="B19" s="836" t="s">
        <v>417</v>
      </c>
      <c r="C19" s="837" t="s">
        <v>157</v>
      </c>
      <c r="D19" s="838">
        <f>'5 RECEIPTS BY MDAs'!D367</f>
        <v>1000000</v>
      </c>
      <c r="E19" s="838">
        <f>'5 RECEIPTS BY MDAs'!E367</f>
        <v>84250</v>
      </c>
      <c r="F19" s="838">
        <f>'5 RECEIPTS BY MDAs'!F367</f>
        <v>1000000</v>
      </c>
      <c r="G19" s="833">
        <f>F19/F82%</f>
        <v>3.4887236264361145E-4</v>
      </c>
    </row>
    <row r="20" spans="1:7" ht="30.75" x14ac:dyDescent="0.2">
      <c r="A20" s="829">
        <v>18</v>
      </c>
      <c r="B20" s="839" t="s">
        <v>418</v>
      </c>
      <c r="C20" s="842" t="s">
        <v>425</v>
      </c>
      <c r="D20" s="838">
        <f>'5 RECEIPTS BY MDAs'!D694</f>
        <v>5650000</v>
      </c>
      <c r="E20" s="838">
        <f>'5 RECEIPTS BY MDAs'!E694</f>
        <v>2550000</v>
      </c>
      <c r="F20" s="838">
        <f>'5 RECEIPTS BY MDAs'!F694</f>
        <v>5650000</v>
      </c>
      <c r="G20" s="833">
        <f>F20/F82%</f>
        <v>1.9711288489364046E-3</v>
      </c>
    </row>
    <row r="21" spans="1:7" ht="30.75" x14ac:dyDescent="0.2">
      <c r="A21" s="829">
        <v>19</v>
      </c>
      <c r="B21" s="839" t="s">
        <v>419</v>
      </c>
      <c r="C21" s="837" t="s">
        <v>159</v>
      </c>
      <c r="D21" s="838">
        <f>'5 RECEIPTS BY MDAs'!D730</f>
        <v>49700000</v>
      </c>
      <c r="E21" s="838">
        <f>'5 RECEIPTS BY MDAs'!E730</f>
        <v>0</v>
      </c>
      <c r="F21" s="838">
        <f>'5 RECEIPTS BY MDAs'!F730</f>
        <v>74550000</v>
      </c>
      <c r="G21" s="833">
        <f>F21/F82%</f>
        <v>2.6008434635081235E-2</v>
      </c>
    </row>
    <row r="22" spans="1:7" ht="30.75" x14ac:dyDescent="0.2">
      <c r="A22" s="829">
        <v>20</v>
      </c>
      <c r="B22" s="839" t="s">
        <v>401</v>
      </c>
      <c r="C22" s="837" t="s">
        <v>1000</v>
      </c>
      <c r="D22" s="838">
        <f>'5 RECEIPTS BY MDAs'!D185</f>
        <v>28640000</v>
      </c>
      <c r="E22" s="838">
        <f>'5 RECEIPTS BY MDAs'!E185</f>
        <v>6217250</v>
      </c>
      <c r="F22" s="838">
        <f>'5 RECEIPTS BY MDAs'!F185</f>
        <v>128575000</v>
      </c>
      <c r="G22" s="833">
        <f>F22/F82%</f>
        <v>4.4856264026902341E-2</v>
      </c>
    </row>
    <row r="23" spans="1:7" ht="30.75" x14ac:dyDescent="0.2">
      <c r="A23" s="829">
        <v>21</v>
      </c>
      <c r="B23" s="836" t="s">
        <v>1019</v>
      </c>
      <c r="C23" s="837" t="s">
        <v>1020</v>
      </c>
      <c r="D23" s="838">
        <f>'5 RECEIPTS BY MDAs'!D212</f>
        <v>31000000</v>
      </c>
      <c r="E23" s="838">
        <f>'5 RECEIPTS BY MDAs'!E212</f>
        <v>5108130</v>
      </c>
      <c r="F23" s="838">
        <f>'5 RECEIPTS BY MDAs'!F212</f>
        <v>41550000</v>
      </c>
      <c r="G23" s="833">
        <f>F23/F82%</f>
        <v>1.4495646667842057E-2</v>
      </c>
    </row>
    <row r="24" spans="1:7" ht="30.75" x14ac:dyDescent="0.2">
      <c r="A24" s="829">
        <v>22</v>
      </c>
      <c r="B24" s="836" t="s">
        <v>1286</v>
      </c>
      <c r="C24" s="837" t="s">
        <v>2382</v>
      </c>
      <c r="D24" s="838">
        <f>'5 RECEIPTS BY MDAs'!D191</f>
        <v>8500000</v>
      </c>
      <c r="E24" s="838">
        <f>'5 RECEIPTS BY MDAs'!E191</f>
        <v>4017500</v>
      </c>
      <c r="F24" s="838">
        <f>'5 RECEIPTS BY MDAs'!F191</f>
        <v>62000000</v>
      </c>
      <c r="G24" s="833">
        <f>F24/F82%</f>
        <v>2.163008648390391E-2</v>
      </c>
    </row>
    <row r="25" spans="1:7" ht="30.75" customHeight="1" x14ac:dyDescent="0.2">
      <c r="A25" s="829">
        <v>23</v>
      </c>
      <c r="B25" s="836" t="s">
        <v>1287</v>
      </c>
      <c r="C25" s="843" t="s">
        <v>2709</v>
      </c>
      <c r="D25" s="838">
        <f>'5 RECEIPTS BY MDAs'!D199</f>
        <v>16500000</v>
      </c>
      <c r="E25" s="838">
        <f>'5 RECEIPTS BY MDAs'!E199</f>
        <v>0</v>
      </c>
      <c r="F25" s="838">
        <f>'5 RECEIPTS BY MDAs'!F199</f>
        <v>18500000</v>
      </c>
      <c r="G25" s="833">
        <f>F25/F82%</f>
        <v>6.4541387089068116E-3</v>
      </c>
    </row>
    <row r="26" spans="1:7" ht="30.75" x14ac:dyDescent="0.2">
      <c r="A26" s="829">
        <v>24</v>
      </c>
      <c r="B26" s="839" t="s">
        <v>402</v>
      </c>
      <c r="C26" s="837" t="s">
        <v>2115</v>
      </c>
      <c r="D26" s="838">
        <f>'5 RECEIPTS BY MDAs'!D162</f>
        <v>1000000000</v>
      </c>
      <c r="E26" s="838">
        <f>'5 RECEIPTS BY MDAs'!E162</f>
        <v>108085275.34</v>
      </c>
      <c r="F26" s="838">
        <f>'5 RECEIPTS BY MDAs'!F162</f>
        <v>1500000000</v>
      </c>
      <c r="G26" s="833">
        <f>F26/F82%</f>
        <v>0.52330854396541715</v>
      </c>
    </row>
    <row r="27" spans="1:7" ht="30.75" x14ac:dyDescent="0.2">
      <c r="A27" s="829">
        <v>25</v>
      </c>
      <c r="B27" s="839" t="s">
        <v>435</v>
      </c>
      <c r="C27" s="837" t="s">
        <v>680</v>
      </c>
      <c r="D27" s="838">
        <f>'5 RECEIPTS BY MDAs'!D488</f>
        <v>182000000</v>
      </c>
      <c r="E27" s="838">
        <f>'5 RECEIPTS BY MDAs'!E488</f>
        <v>16102657.390000001</v>
      </c>
      <c r="F27" s="838">
        <f>'5 RECEIPTS BY MDAs'!F488</f>
        <v>210000000</v>
      </c>
      <c r="G27" s="833">
        <f>F27/F82%</f>
        <v>7.3263196155158403E-2</v>
      </c>
    </row>
    <row r="28" spans="1:7" ht="30.75" x14ac:dyDescent="0.2">
      <c r="A28" s="829">
        <v>26</v>
      </c>
      <c r="B28" s="839" t="s">
        <v>1288</v>
      </c>
      <c r="C28" s="837" t="s">
        <v>1399</v>
      </c>
      <c r="D28" s="838">
        <f>'5 RECEIPTS BY MDAs'!D494</f>
        <v>100000000</v>
      </c>
      <c r="E28" s="838">
        <f>'5 RECEIPTS BY MDAs'!E494</f>
        <v>0</v>
      </c>
      <c r="F28" s="838">
        <f>'5 RECEIPTS BY MDAs'!F494</f>
        <v>100000000</v>
      </c>
      <c r="G28" s="833">
        <f>F28/F82%</f>
        <v>3.4887236264361146E-2</v>
      </c>
    </row>
    <row r="29" spans="1:7" ht="30.75" x14ac:dyDescent="0.2">
      <c r="A29" s="829">
        <v>27</v>
      </c>
      <c r="B29" s="839" t="s">
        <v>981</v>
      </c>
      <c r="C29" s="837" t="s">
        <v>975</v>
      </c>
      <c r="D29" s="838">
        <f>'5 RECEIPTS BY MDAs'!D506</f>
        <v>0</v>
      </c>
      <c r="E29" s="838">
        <f>'5 RECEIPTS BY MDAs'!E506</f>
        <v>0</v>
      </c>
      <c r="F29" s="838">
        <f>'5 RECEIPTS BY MDAs'!F506</f>
        <v>6000000</v>
      </c>
      <c r="G29" s="833">
        <f>F29/F82%</f>
        <v>2.0932341758616688E-3</v>
      </c>
    </row>
    <row r="30" spans="1:7" ht="30.75" x14ac:dyDescent="0.2">
      <c r="A30" s="829">
        <v>28</v>
      </c>
      <c r="B30" s="839" t="s">
        <v>437</v>
      </c>
      <c r="C30" s="837" t="s">
        <v>1022</v>
      </c>
      <c r="D30" s="838">
        <f>'5 RECEIPTS BY MDAs'!D796</f>
        <v>1500000</v>
      </c>
      <c r="E30" s="838">
        <f>'5 RECEIPTS BY MDAs'!E796</f>
        <v>303000</v>
      </c>
      <c r="F30" s="838">
        <f>'5 RECEIPTS BY MDAs'!F796</f>
        <v>1500000</v>
      </c>
      <c r="G30" s="833">
        <f>F30/F82%</f>
        <v>5.233085439654172E-4</v>
      </c>
    </row>
    <row r="31" spans="1:7" ht="30.75" x14ac:dyDescent="0.2">
      <c r="A31" s="829">
        <v>29</v>
      </c>
      <c r="B31" s="839" t="s">
        <v>438</v>
      </c>
      <c r="C31" s="837" t="s">
        <v>984</v>
      </c>
      <c r="D31" s="838">
        <f>'5 RECEIPTS BY MDAs'!D737</f>
        <v>1900000</v>
      </c>
      <c r="E31" s="838">
        <f>'5 RECEIPTS BY MDAs'!E737</f>
        <v>189400</v>
      </c>
      <c r="F31" s="838">
        <f>'5 RECEIPTS BY MDAs'!F737</f>
        <v>15000000</v>
      </c>
      <c r="G31" s="833">
        <f>F31/F82%</f>
        <v>5.2330854396541717E-3</v>
      </c>
    </row>
    <row r="32" spans="1:7" ht="30.75" x14ac:dyDescent="0.2">
      <c r="A32" s="829">
        <v>30</v>
      </c>
      <c r="B32" s="836" t="s">
        <v>1289</v>
      </c>
      <c r="C32" s="837" t="s">
        <v>2383</v>
      </c>
      <c r="D32" s="838">
        <f>'5 RECEIPTS BY MDAs'!D778</f>
        <v>30999999.640000001</v>
      </c>
      <c r="E32" s="838">
        <f>'5 RECEIPTS BY MDAs'!E778</f>
        <v>20560458.999999993</v>
      </c>
      <c r="F32" s="838">
        <f>'5 RECEIPTS BY MDAs'!F778</f>
        <v>38835519</v>
      </c>
      <c r="G32" s="833">
        <f>F32/F82%</f>
        <v>1.3548639268020864E-2</v>
      </c>
    </row>
    <row r="33" spans="1:7" ht="30.75" x14ac:dyDescent="0.2">
      <c r="A33" s="829">
        <v>31</v>
      </c>
      <c r="B33" s="839" t="s">
        <v>439</v>
      </c>
      <c r="C33" s="837" t="s">
        <v>162</v>
      </c>
      <c r="D33" s="838">
        <f>'5 RECEIPTS BY MDAs'!D791</f>
        <v>10000000</v>
      </c>
      <c r="E33" s="838">
        <f>'5 RECEIPTS BY MDAs'!E791</f>
        <v>0</v>
      </c>
      <c r="F33" s="838">
        <f>'5 RECEIPTS BY MDAs'!F791</f>
        <v>305000000</v>
      </c>
      <c r="G33" s="833">
        <f>F33/F82%</f>
        <v>0.1064060706063015</v>
      </c>
    </row>
    <row r="34" spans="1:7" ht="30.75" x14ac:dyDescent="0.2">
      <c r="A34" s="829">
        <v>32</v>
      </c>
      <c r="B34" s="839" t="s">
        <v>403</v>
      </c>
      <c r="C34" s="837" t="s">
        <v>253</v>
      </c>
      <c r="D34" s="838">
        <f>'5 RECEIPTS BY MDAs'!D334</f>
        <v>18500000</v>
      </c>
      <c r="E34" s="838">
        <f>'5 RECEIPTS BY MDAs'!E334</f>
        <v>25000</v>
      </c>
      <c r="F34" s="838">
        <f>'5 RECEIPTS BY MDAs'!F334</f>
        <v>5050000</v>
      </c>
      <c r="G34" s="833">
        <f>F34/F82%</f>
        <v>1.7618054313502378E-3</v>
      </c>
    </row>
    <row r="35" spans="1:7" ht="30.75" x14ac:dyDescent="0.2">
      <c r="A35" s="829">
        <v>33</v>
      </c>
      <c r="B35" s="839" t="s">
        <v>2384</v>
      </c>
      <c r="C35" s="837" t="s">
        <v>2957</v>
      </c>
      <c r="D35" s="838">
        <f>'5 RECEIPTS BY MDAs'!D340</f>
        <v>713029200</v>
      </c>
      <c r="E35" s="838">
        <f>'5 RECEIPTS BY MDAs'!E340</f>
        <v>0</v>
      </c>
      <c r="F35" s="838">
        <f>'5 RECEIPTS BY MDAs'!F340</f>
        <v>863029200</v>
      </c>
      <c r="G35" s="833">
        <f>F35/F82%</f>
        <v>0.30108703603442588</v>
      </c>
    </row>
    <row r="36" spans="1:7" ht="30.75" x14ac:dyDescent="0.2">
      <c r="A36" s="829">
        <v>34</v>
      </c>
      <c r="B36" s="839" t="s">
        <v>440</v>
      </c>
      <c r="C36" s="837" t="s">
        <v>164</v>
      </c>
      <c r="D36" s="838">
        <f>'5 RECEIPTS BY MDAs'!D726</f>
        <v>9200000</v>
      </c>
      <c r="E36" s="838">
        <f>'5 RECEIPTS BY MDAs'!E726</f>
        <v>1628500</v>
      </c>
      <c r="F36" s="838">
        <f>'5 RECEIPTS BY MDAs'!F726</f>
        <v>11200000</v>
      </c>
      <c r="G36" s="833">
        <f>F36/F82%</f>
        <v>3.9073704616084479E-3</v>
      </c>
    </row>
    <row r="37" spans="1:7" ht="30.75" x14ac:dyDescent="0.2">
      <c r="A37" s="829">
        <v>35</v>
      </c>
      <c r="B37" s="836" t="s">
        <v>1023</v>
      </c>
      <c r="C37" s="837" t="s">
        <v>2958</v>
      </c>
      <c r="D37" s="838">
        <f>'5 RECEIPTS BY MDAs'!D804</f>
        <v>35000000</v>
      </c>
      <c r="E37" s="838">
        <f>'5 RECEIPTS BY MDAs'!E804</f>
        <v>7392000</v>
      </c>
      <c r="F37" s="838">
        <f>'5 RECEIPTS BY MDAs'!F804</f>
        <v>57000000</v>
      </c>
      <c r="G37" s="833">
        <f>F37/F82%</f>
        <v>1.9885724670685855E-2</v>
      </c>
    </row>
    <row r="38" spans="1:7" ht="30.75" x14ac:dyDescent="0.2">
      <c r="A38" s="829">
        <v>36</v>
      </c>
      <c r="B38" s="836" t="s">
        <v>2485</v>
      </c>
      <c r="C38" s="837" t="s">
        <v>2385</v>
      </c>
      <c r="D38" s="838">
        <f>'5 RECEIPTS BY MDAs'!D500</f>
        <v>500000000</v>
      </c>
      <c r="E38" s="838">
        <f>'5 RECEIPTS BY MDAs'!E500</f>
        <v>269270445.05000001</v>
      </c>
      <c r="F38" s="838">
        <f>'5 RECEIPTS BY MDAs'!F500</f>
        <v>404045020</v>
      </c>
      <c r="G38" s="833">
        <f>F38/F82%</f>
        <v>0.14096014074178526</v>
      </c>
    </row>
    <row r="39" spans="1:7" ht="30.75" x14ac:dyDescent="0.2">
      <c r="A39" s="829">
        <v>37</v>
      </c>
      <c r="B39" s="836" t="s">
        <v>1292</v>
      </c>
      <c r="C39" s="837" t="s">
        <v>1407</v>
      </c>
      <c r="D39" s="838">
        <f>'5 RECEIPTS BY MDAs'!D351</f>
        <v>13021200</v>
      </c>
      <c r="E39" s="838">
        <f>'5 RECEIPTS BY MDAs'!E351</f>
        <v>5844218.6200000001</v>
      </c>
      <c r="F39" s="838">
        <f>'5 RECEIPTS BY MDAs'!F351</f>
        <v>1638730020</v>
      </c>
      <c r="G39" s="833">
        <f>F39/F82%</f>
        <v>0.57170761381241264</v>
      </c>
    </row>
    <row r="40" spans="1:7" ht="30.75" x14ac:dyDescent="0.2">
      <c r="A40" s="829">
        <v>38</v>
      </c>
      <c r="B40" s="836" t="s">
        <v>549</v>
      </c>
      <c r="C40" s="837" t="s">
        <v>2386</v>
      </c>
      <c r="D40" s="838">
        <f>'5 RECEIPTS BY MDAs'!D442</f>
        <v>21000000</v>
      </c>
      <c r="E40" s="838">
        <f>'5 RECEIPTS BY MDAs'!E442</f>
        <v>49727384</v>
      </c>
      <c r="F40" s="838">
        <f>'5 RECEIPTS BY MDAs'!F442</f>
        <v>200500000</v>
      </c>
      <c r="G40" s="833">
        <f>F40/F82%</f>
        <v>6.9948908710044097E-2</v>
      </c>
    </row>
    <row r="41" spans="1:7" ht="30.75" x14ac:dyDescent="0.2">
      <c r="A41" s="829">
        <v>39</v>
      </c>
      <c r="B41" s="839" t="s">
        <v>442</v>
      </c>
      <c r="C41" s="837" t="s">
        <v>1024</v>
      </c>
      <c r="D41" s="838">
        <f>'5 RECEIPTS BY MDAs'!D457</f>
        <v>129500000</v>
      </c>
      <c r="E41" s="838">
        <f>'5 RECEIPTS BY MDAs'!E457</f>
        <v>28644527.289999999</v>
      </c>
      <c r="F41" s="838">
        <f>'5 RECEIPTS BY MDAs'!F457</f>
        <v>1672500000</v>
      </c>
      <c r="G41" s="833">
        <f>F41/F82%</f>
        <v>0.58348902652144019</v>
      </c>
    </row>
    <row r="42" spans="1:7" ht="30.75" x14ac:dyDescent="0.2">
      <c r="A42" s="829">
        <v>40</v>
      </c>
      <c r="B42" s="836" t="s">
        <v>982</v>
      </c>
      <c r="C42" s="837" t="s">
        <v>1037</v>
      </c>
      <c r="D42" s="838">
        <f>'5 RECEIPTS BY MDAs'!D831</f>
        <v>1500000</v>
      </c>
      <c r="E42" s="838">
        <f>'5 RECEIPTS BY MDAs'!E831</f>
        <v>573300</v>
      </c>
      <c r="F42" s="838">
        <f>'5 RECEIPTS BY MDAs'!F831</f>
        <v>1500000</v>
      </c>
      <c r="G42" s="833">
        <f>F42/F82%</f>
        <v>5.233085439654172E-4</v>
      </c>
    </row>
    <row r="43" spans="1:7" s="850" customFormat="1" ht="16.5" customHeight="1" thickBot="1" x14ac:dyDescent="0.25">
      <c r="A43" s="845"/>
      <c r="B43" s="846"/>
      <c r="C43" s="847"/>
      <c r="D43" s="848"/>
      <c r="E43" s="848"/>
      <c r="F43" s="848"/>
      <c r="G43" s="849"/>
    </row>
    <row r="44" spans="1:7" s="828" customFormat="1" ht="51.75" thickBot="1" x14ac:dyDescent="0.25">
      <c r="A44" s="823" t="s">
        <v>1120</v>
      </c>
      <c r="B44" s="824" t="s">
        <v>1015</v>
      </c>
      <c r="C44" s="825" t="s">
        <v>1016</v>
      </c>
      <c r="D44" s="826" t="s">
        <v>1174</v>
      </c>
      <c r="E44" s="826" t="s">
        <v>1145</v>
      </c>
      <c r="F44" s="863" t="s">
        <v>3098</v>
      </c>
      <c r="G44" s="827" t="s">
        <v>1017</v>
      </c>
    </row>
    <row r="45" spans="1:7" ht="30.75" x14ac:dyDescent="0.2">
      <c r="A45" s="835">
        <v>41</v>
      </c>
      <c r="B45" s="830" t="s">
        <v>443</v>
      </c>
      <c r="C45" s="831" t="s">
        <v>167</v>
      </c>
      <c r="D45" s="832">
        <f>'5 RECEIPTS BY MDAs'!D700</f>
        <v>250000</v>
      </c>
      <c r="E45" s="832">
        <f>'5 RECEIPTS BY MDAs'!E700</f>
        <v>54400</v>
      </c>
      <c r="F45" s="832">
        <f>'5 RECEIPTS BY MDAs'!F700</f>
        <v>1000000</v>
      </c>
      <c r="G45" s="851">
        <f>F45/F82%</f>
        <v>3.4887236264361145E-4</v>
      </c>
    </row>
    <row r="46" spans="1:7" ht="30.75" x14ac:dyDescent="0.2">
      <c r="A46" s="835">
        <v>42</v>
      </c>
      <c r="B46" s="839" t="s">
        <v>444</v>
      </c>
      <c r="C46" s="837" t="s">
        <v>424</v>
      </c>
      <c r="D46" s="838">
        <f>'5 RECEIPTS BY MDAs'!D846</f>
        <v>50200000</v>
      </c>
      <c r="E46" s="838">
        <f>'5 RECEIPTS BY MDAs'!E846</f>
        <v>27753750</v>
      </c>
      <c r="F46" s="838">
        <f>'5 RECEIPTS BY MDAs'!F846</f>
        <v>72100000</v>
      </c>
      <c r="G46" s="833">
        <f>F46/F82%</f>
        <v>2.5153697346604387E-2</v>
      </c>
    </row>
    <row r="47" spans="1:7" ht="30.75" x14ac:dyDescent="0.2">
      <c r="A47" s="835">
        <v>43</v>
      </c>
      <c r="B47" s="839" t="s">
        <v>445</v>
      </c>
      <c r="C47" s="837" t="s">
        <v>168</v>
      </c>
      <c r="D47" s="838">
        <f>'5 RECEIPTS BY MDAs'!D464</f>
        <v>40000000</v>
      </c>
      <c r="E47" s="838">
        <f>'5 RECEIPTS BY MDAs'!E464</f>
        <v>25363290</v>
      </c>
      <c r="F47" s="838">
        <f>'5 RECEIPTS BY MDAs'!F464</f>
        <v>50000000</v>
      </c>
      <c r="G47" s="833">
        <f>F47/F82%</f>
        <v>1.7443618132180573E-2</v>
      </c>
    </row>
    <row r="48" spans="1:7" ht="30.75" x14ac:dyDescent="0.2">
      <c r="A48" s="835">
        <v>44</v>
      </c>
      <c r="B48" s="839" t="s">
        <v>446</v>
      </c>
      <c r="C48" s="837" t="s">
        <v>238</v>
      </c>
      <c r="D48" s="838">
        <f>'5 RECEIPTS BY MDAs'!D471</f>
        <v>400000</v>
      </c>
      <c r="E48" s="838">
        <f>'5 RECEIPTS BY MDAs'!E471</f>
        <v>175750</v>
      </c>
      <c r="F48" s="838">
        <f>'5 RECEIPTS BY MDAs'!F471</f>
        <v>1800000</v>
      </c>
      <c r="G48" s="833">
        <f>F48/F82%</f>
        <v>6.2797025275850059E-4</v>
      </c>
    </row>
    <row r="49" spans="1:7" ht="30.75" x14ac:dyDescent="0.2">
      <c r="A49" s="835">
        <v>45</v>
      </c>
      <c r="B49" s="839" t="s">
        <v>447</v>
      </c>
      <c r="C49" s="837" t="s">
        <v>1038</v>
      </c>
      <c r="D49" s="838">
        <f>'5 RECEIPTS BY MDAs'!D669</f>
        <v>500000</v>
      </c>
      <c r="E49" s="838">
        <f>'5 RECEIPTS BY MDAs'!E669</f>
        <v>0</v>
      </c>
      <c r="F49" s="838">
        <f>'5 RECEIPTS BY MDAs'!F669</f>
        <v>4500000</v>
      </c>
      <c r="G49" s="833">
        <f>F49/F82%</f>
        <v>1.5699256318962515E-3</v>
      </c>
    </row>
    <row r="50" spans="1:7" ht="30.75" x14ac:dyDescent="0.2">
      <c r="A50" s="835">
        <v>46</v>
      </c>
      <c r="B50" s="852" t="s">
        <v>2387</v>
      </c>
      <c r="C50" s="831" t="s">
        <v>2720</v>
      </c>
      <c r="D50" s="832">
        <f>'5 RECEIPTS BY MDAs'!D675</f>
        <v>5200000</v>
      </c>
      <c r="E50" s="832">
        <f>'5 RECEIPTS BY MDAs'!E675</f>
        <v>927000</v>
      </c>
      <c r="F50" s="832">
        <f>'5 RECEIPTS BY MDAs'!F675</f>
        <v>12000000</v>
      </c>
      <c r="G50" s="851">
        <f>F50/F82%</f>
        <v>4.1864683517233376E-3</v>
      </c>
    </row>
    <row r="51" spans="1:7" ht="30.75" x14ac:dyDescent="0.2">
      <c r="A51" s="835">
        <v>47</v>
      </c>
      <c r="B51" s="839" t="s">
        <v>448</v>
      </c>
      <c r="C51" s="837" t="s">
        <v>1025</v>
      </c>
      <c r="D51" s="838">
        <f>'5 RECEIPTS BY MDAs'!D686</f>
        <v>12350000</v>
      </c>
      <c r="E51" s="838">
        <f>'5 RECEIPTS BY MDAs'!E686</f>
        <v>3524360</v>
      </c>
      <c r="F51" s="838">
        <f>'5 RECEIPTS BY MDAs'!F686</f>
        <v>12500000</v>
      </c>
      <c r="G51" s="833">
        <f>F51/F82%</f>
        <v>4.3609045330451433E-3</v>
      </c>
    </row>
    <row r="52" spans="1:7" ht="30.75" x14ac:dyDescent="0.2">
      <c r="A52" s="835">
        <v>48</v>
      </c>
      <c r="B52" s="839" t="s">
        <v>404</v>
      </c>
      <c r="C52" s="837" t="s">
        <v>173</v>
      </c>
      <c r="D52" s="838">
        <f>'5 RECEIPTS BY MDAs'!D520</f>
        <v>12500000</v>
      </c>
      <c r="E52" s="838">
        <f>'5 RECEIPTS BY MDAs'!E520</f>
        <v>4765000</v>
      </c>
      <c r="F52" s="838">
        <f>'5 RECEIPTS BY MDAs'!F520</f>
        <v>26850000</v>
      </c>
      <c r="G52" s="833">
        <f>F52/F82%</f>
        <v>9.3672229369809682E-3</v>
      </c>
    </row>
    <row r="53" spans="1:7" ht="30.75" x14ac:dyDescent="0.2">
      <c r="A53" s="835">
        <v>49</v>
      </c>
      <c r="B53" s="839" t="s">
        <v>541</v>
      </c>
      <c r="C53" s="837" t="s">
        <v>2388</v>
      </c>
      <c r="D53" s="838">
        <f>'5 RECEIPTS BY MDAs'!D715</f>
        <v>65621540</v>
      </c>
      <c r="E53" s="838">
        <f>'5 RECEIPTS BY MDAs'!E715</f>
        <v>4536000</v>
      </c>
      <c r="F53" s="838">
        <f>'5 RECEIPTS BY MDAs'!F715</f>
        <v>15480000</v>
      </c>
      <c r="G53" s="833">
        <f>F53/F82%</f>
        <v>5.4005441737231055E-3</v>
      </c>
    </row>
    <row r="54" spans="1:7" ht="30.75" x14ac:dyDescent="0.2">
      <c r="A54" s="835">
        <v>50</v>
      </c>
      <c r="B54" s="836" t="s">
        <v>1304</v>
      </c>
      <c r="C54" s="837" t="s">
        <v>2725</v>
      </c>
      <c r="D54" s="838"/>
      <c r="E54" s="838"/>
      <c r="F54" s="838">
        <f>'5 RECEIPTS BY MDAs'!F527</f>
        <v>14300000</v>
      </c>
      <c r="G54" s="833">
        <f>F54/F82%</f>
        <v>4.9888747858036434E-3</v>
      </c>
    </row>
    <row r="55" spans="1:7" ht="30.75" x14ac:dyDescent="0.2">
      <c r="A55" s="835">
        <v>51</v>
      </c>
      <c r="B55" s="836" t="s">
        <v>1303</v>
      </c>
      <c r="C55" s="837" t="s">
        <v>2389</v>
      </c>
      <c r="D55" s="838">
        <f>'5 RECEIPTS BY MDAs'!D562</f>
        <v>90000000</v>
      </c>
      <c r="E55" s="838">
        <f>'5 RECEIPTS BY MDAs'!E562</f>
        <v>4095900</v>
      </c>
      <c r="F55" s="838">
        <f>'5 RECEIPTS BY MDAs'!F562</f>
        <v>80000000</v>
      </c>
      <c r="G55" s="833">
        <f>F55/F82%</f>
        <v>2.7909789011488918E-2</v>
      </c>
    </row>
    <row r="56" spans="1:7" ht="30.75" x14ac:dyDescent="0.2">
      <c r="A56" s="835">
        <v>52</v>
      </c>
      <c r="B56" s="836" t="s">
        <v>2390</v>
      </c>
      <c r="C56" s="837" t="s">
        <v>2391</v>
      </c>
      <c r="D56" s="853">
        <f>'5 RECEIPTS BY MDAs'!D585</f>
        <v>209749205</v>
      </c>
      <c r="E56" s="834">
        <f>'5 RECEIPTS BY MDAs'!E585</f>
        <v>75089732</v>
      </c>
      <c r="F56" s="853">
        <f>'5 RECEIPTS BY MDAs'!F585</f>
        <v>233249205</v>
      </c>
      <c r="G56" s="833">
        <f>F56/F82%</f>
        <v>8.1374201233094065E-2</v>
      </c>
    </row>
    <row r="57" spans="1:7" ht="30.75" x14ac:dyDescent="0.2">
      <c r="A57" s="835">
        <v>53</v>
      </c>
      <c r="B57" s="836" t="s">
        <v>557</v>
      </c>
      <c r="C57" s="837" t="s">
        <v>2392</v>
      </c>
      <c r="D57" s="838">
        <f>'5 RECEIPTS BY MDAs'!D655</f>
        <v>657625000</v>
      </c>
      <c r="E57" s="838">
        <f>'5 RECEIPTS BY MDAs'!E655</f>
        <v>495925773.46999997</v>
      </c>
      <c r="F57" s="838">
        <f>'5 RECEIPTS BY MDAs'!F655</f>
        <v>589745000</v>
      </c>
      <c r="G57" s="833">
        <f>F57/F82%</f>
        <v>0.20574573150725664</v>
      </c>
    </row>
    <row r="58" spans="1:7" ht="30.75" x14ac:dyDescent="0.2">
      <c r="A58" s="835">
        <v>54</v>
      </c>
      <c r="B58" s="836" t="s">
        <v>556</v>
      </c>
      <c r="C58" s="837" t="s">
        <v>2393</v>
      </c>
      <c r="D58" s="838">
        <f>'5 RECEIPTS BY MDAs'!D544</f>
        <v>137890000</v>
      </c>
      <c r="E58" s="838">
        <f>'5 RECEIPTS BY MDAs'!E544</f>
        <v>95607754.629999995</v>
      </c>
      <c r="F58" s="838">
        <f>'5 RECEIPTS BY MDAs'!F544</f>
        <v>156780000</v>
      </c>
      <c r="G58" s="833">
        <f>F58/F82%</f>
        <v>5.4696209015265403E-2</v>
      </c>
    </row>
    <row r="59" spans="1:7" ht="30.75" x14ac:dyDescent="0.2">
      <c r="A59" s="835">
        <v>55</v>
      </c>
      <c r="B59" s="836" t="s">
        <v>1302</v>
      </c>
      <c r="C59" s="837" t="s">
        <v>1414</v>
      </c>
      <c r="D59" s="838">
        <f>'5 RECEIPTS BY MDAs'!D742</f>
        <v>5500000</v>
      </c>
      <c r="E59" s="838">
        <f>'5 RECEIPTS BY MDAs'!E742</f>
        <v>37000</v>
      </c>
      <c r="F59" s="838">
        <f>'5 RECEIPTS BY MDAs'!F742</f>
        <v>6500000</v>
      </c>
      <c r="G59" s="833">
        <f>F59/F82%</f>
        <v>2.2676703571834745E-3</v>
      </c>
    </row>
    <row r="60" spans="1:7" ht="30.75" x14ac:dyDescent="0.2">
      <c r="A60" s="835">
        <v>56</v>
      </c>
      <c r="B60" s="836" t="s">
        <v>449</v>
      </c>
      <c r="C60" s="837" t="s">
        <v>2394</v>
      </c>
      <c r="D60" s="838">
        <f>'5 RECEIPTS BY MDAs'!D747</f>
        <v>0</v>
      </c>
      <c r="E60" s="838">
        <f>'5 RECEIPTS BY MDAs'!E747</f>
        <v>12500</v>
      </c>
      <c r="F60" s="838">
        <f>'5 RECEIPTS BY MDAs'!F747</f>
        <v>500000</v>
      </c>
      <c r="G60" s="833">
        <f>F60/F82%</f>
        <v>1.7443618132180572E-4</v>
      </c>
    </row>
    <row r="61" spans="1:7" ht="30.75" x14ac:dyDescent="0.2">
      <c r="A61" s="835">
        <v>57</v>
      </c>
      <c r="B61" s="836" t="s">
        <v>1304</v>
      </c>
      <c r="C61" s="837" t="s">
        <v>2395</v>
      </c>
      <c r="D61" s="838">
        <f>'5 RECEIPTS BY MDAs'!D662</f>
        <v>21699000</v>
      </c>
      <c r="E61" s="838">
        <f>'5 RECEIPTS BY MDAs'!E662</f>
        <v>3181000</v>
      </c>
      <c r="F61" s="838">
        <f>'5 RECEIPTS BY MDAs'!F662</f>
        <v>22695000</v>
      </c>
      <c r="G61" s="833">
        <f>F61/F82%</f>
        <v>7.9176582701967618E-3</v>
      </c>
    </row>
    <row r="62" spans="1:7" ht="30.75" x14ac:dyDescent="0.2">
      <c r="A62" s="835">
        <v>58</v>
      </c>
      <c r="B62" s="839" t="s">
        <v>405</v>
      </c>
      <c r="C62" s="837" t="s">
        <v>423</v>
      </c>
      <c r="D62" s="838">
        <f>'5 RECEIPTS BY MDAs'!D241</f>
        <v>6550000</v>
      </c>
      <c r="E62" s="838">
        <f>'5 RECEIPTS BY MDAs'!E241</f>
        <v>1135000</v>
      </c>
      <c r="F62" s="838">
        <f>'5 RECEIPTS BY MDAs'!F241</f>
        <v>23970000</v>
      </c>
      <c r="G62" s="833">
        <f>F62/F82%</f>
        <v>8.3624705325673673E-3</v>
      </c>
    </row>
    <row r="63" spans="1:7" ht="30.75" x14ac:dyDescent="0.2">
      <c r="A63" s="835">
        <v>59</v>
      </c>
      <c r="B63" s="836" t="s">
        <v>1307</v>
      </c>
      <c r="C63" s="837" t="s">
        <v>2879</v>
      </c>
      <c r="D63" s="838">
        <f>'5 RECEIPTS BY MDAs'!D265</f>
        <v>735028869.14999974</v>
      </c>
      <c r="E63" s="838">
        <f>'5 RECEIPTS BY MDAs'!E265</f>
        <v>541230507.25</v>
      </c>
      <c r="F63" s="838">
        <f>'5 RECEIPTS BY MDAs'!F265</f>
        <v>742379157.84150004</v>
      </c>
      <c r="G63" s="833">
        <f>F63/F82%</f>
        <v>0.25899557077353869</v>
      </c>
    </row>
    <row r="64" spans="1:7" ht="30.75" x14ac:dyDescent="0.2">
      <c r="A64" s="835">
        <v>60</v>
      </c>
      <c r="B64" s="839" t="s">
        <v>1306</v>
      </c>
      <c r="C64" s="837" t="s">
        <v>2396</v>
      </c>
      <c r="D64" s="838">
        <f>'5 RECEIPTS BY MDAs'!D271</f>
        <v>56000000</v>
      </c>
      <c r="E64" s="838">
        <f>'5 RECEIPTS BY MDAs'!E271</f>
        <v>5839548</v>
      </c>
      <c r="F64" s="854">
        <f>'5 RECEIPTS BY MDAs'!F271</f>
        <v>0</v>
      </c>
      <c r="G64" s="833">
        <f>F64/F82%</f>
        <v>0</v>
      </c>
    </row>
    <row r="65" spans="1:7" ht="30.75" x14ac:dyDescent="0.2">
      <c r="A65" s="835">
        <v>61</v>
      </c>
      <c r="B65" s="836" t="s">
        <v>1308</v>
      </c>
      <c r="C65" s="837" t="s">
        <v>1423</v>
      </c>
      <c r="D65" s="838">
        <f>'5 RECEIPTS BY MDAs'!D292</f>
        <v>15000000</v>
      </c>
      <c r="E65" s="838">
        <f>'5 RECEIPTS BY MDAs'!E292</f>
        <v>12024974.66</v>
      </c>
      <c r="F65" s="838">
        <f>'5 RECEIPTS BY MDAs'!F292</f>
        <v>25823000</v>
      </c>
      <c r="G65" s="833">
        <f>F65/F82%</f>
        <v>9.0089310205459794E-3</v>
      </c>
    </row>
    <row r="66" spans="1:7" ht="30.75" x14ac:dyDescent="0.2">
      <c r="A66" s="835">
        <v>62</v>
      </c>
      <c r="B66" s="836" t="s">
        <v>1309</v>
      </c>
      <c r="C66" s="837" t="s">
        <v>1424</v>
      </c>
      <c r="D66" s="838">
        <f>'5 RECEIPTS BY MDAs'!D312</f>
        <v>16500000</v>
      </c>
      <c r="E66" s="838">
        <f>'5 RECEIPTS BY MDAs'!E312</f>
        <v>14050219.280000001</v>
      </c>
      <c r="F66" s="838">
        <f>'5 RECEIPTS BY MDAs'!F312</f>
        <v>25903000</v>
      </c>
      <c r="G66" s="833">
        <f>F66/F82%</f>
        <v>9.036840809557467E-3</v>
      </c>
    </row>
    <row r="67" spans="1:7" ht="30.75" x14ac:dyDescent="0.2">
      <c r="A67" s="835">
        <v>63</v>
      </c>
      <c r="B67" s="836" t="s">
        <v>1059</v>
      </c>
      <c r="C67" s="837" t="s">
        <v>1095</v>
      </c>
      <c r="D67" s="838">
        <f>'5 RECEIPTS BY MDAs'!D324</f>
        <v>0</v>
      </c>
      <c r="E67" s="838">
        <f>'5 RECEIPTS BY MDAs'!E324</f>
        <v>0</v>
      </c>
      <c r="F67" s="838">
        <f>'5 RECEIPTS BY MDAs'!F324</f>
        <v>200000</v>
      </c>
      <c r="G67" s="833">
        <f>F67/F82%</f>
        <v>6.9774472528722286E-5</v>
      </c>
    </row>
    <row r="68" spans="1:7" ht="30.75" x14ac:dyDescent="0.2">
      <c r="A68" s="835">
        <v>64</v>
      </c>
      <c r="B68" s="836" t="s">
        <v>1310</v>
      </c>
      <c r="C68" s="837" t="s">
        <v>2397</v>
      </c>
      <c r="D68" s="838">
        <f>'5 RECEIPTS BY MDAs'!D319</f>
        <v>26500000</v>
      </c>
      <c r="E68" s="838">
        <f>'5 RECEIPTS BY MDAs'!E319</f>
        <v>11617900.23</v>
      </c>
      <c r="F68" s="838">
        <f>'5 RECEIPTS BY MDAs'!F319</f>
        <v>37900000</v>
      </c>
      <c r="G68" s="833">
        <f>F68/F82%</f>
        <v>1.3222262544192875E-2</v>
      </c>
    </row>
    <row r="69" spans="1:7" ht="30.75" x14ac:dyDescent="0.2">
      <c r="A69" s="835">
        <v>65</v>
      </c>
      <c r="B69" s="836" t="s">
        <v>560</v>
      </c>
      <c r="C69" s="837" t="s">
        <v>2398</v>
      </c>
      <c r="D69" s="838">
        <f>'5 RECEIPTS BY MDAs'!D817</f>
        <v>61000000</v>
      </c>
      <c r="E69" s="838">
        <f>'5 RECEIPTS BY MDAs'!E817</f>
        <v>7264775</v>
      </c>
      <c r="F69" s="838">
        <f>'5 RECEIPTS BY MDAs'!F817</f>
        <v>29200000</v>
      </c>
      <c r="G69" s="833">
        <f>F69/F82%</f>
        <v>1.0187072989193455E-2</v>
      </c>
    </row>
    <row r="70" spans="1:7" ht="30.75" x14ac:dyDescent="0.2">
      <c r="A70" s="835">
        <v>66</v>
      </c>
      <c r="B70" s="836" t="s">
        <v>1058</v>
      </c>
      <c r="C70" s="837" t="s">
        <v>2399</v>
      </c>
      <c r="D70" s="838">
        <f>'5 RECEIPTS BY MDAs'!D838</f>
        <v>450000</v>
      </c>
      <c r="E70" s="838">
        <f>'5 RECEIPTS BY MDAs'!E838</f>
        <v>0</v>
      </c>
      <c r="F70" s="838">
        <f>'5 RECEIPTS BY MDAs'!F838</f>
        <v>915000</v>
      </c>
      <c r="G70" s="833">
        <f>F70/F82%</f>
        <v>3.192182118189045E-4</v>
      </c>
    </row>
    <row r="71" spans="1:7" ht="30.75" x14ac:dyDescent="0.2">
      <c r="A71" s="835"/>
      <c r="B71" s="855" t="s">
        <v>119</v>
      </c>
      <c r="C71" s="844"/>
      <c r="D71" s="856">
        <f>SUM(D3:D70)</f>
        <v>108828733983.78999</v>
      </c>
      <c r="E71" s="856">
        <f>SUM(E3:E70)</f>
        <v>60765817147.360008</v>
      </c>
      <c r="F71" s="856">
        <f>SUM(F3:F70)</f>
        <v>169189446787.84149</v>
      </c>
      <c r="G71" s="857">
        <f>F71/F82%</f>
        <v>59.025522035239838</v>
      </c>
    </row>
    <row r="72" spans="1:7" ht="27" customHeight="1" thickBot="1" x14ac:dyDescent="0.25">
      <c r="A72" s="845"/>
      <c r="B72" s="858"/>
      <c r="C72" s="850"/>
      <c r="D72" s="859"/>
      <c r="E72" s="860"/>
      <c r="F72" s="860"/>
      <c r="G72" s="861"/>
    </row>
    <row r="73" spans="1:7" s="828" customFormat="1" ht="69.75" customHeight="1" thickBot="1" x14ac:dyDescent="0.25">
      <c r="A73" s="862" t="s">
        <v>94</v>
      </c>
      <c r="B73" s="862" t="s">
        <v>1015</v>
      </c>
      <c r="C73" s="862" t="s">
        <v>1001</v>
      </c>
      <c r="D73" s="826" t="s">
        <v>1174</v>
      </c>
      <c r="E73" s="826" t="s">
        <v>1145</v>
      </c>
      <c r="F73" s="863" t="s">
        <v>3098</v>
      </c>
      <c r="G73" s="824" t="s">
        <v>1017</v>
      </c>
    </row>
    <row r="74" spans="1:7" ht="36" customHeight="1" x14ac:dyDescent="0.2">
      <c r="A74" s="835">
        <v>1</v>
      </c>
      <c r="B74" s="835">
        <v>13020100</v>
      </c>
      <c r="C74" s="864" t="s">
        <v>1002</v>
      </c>
      <c r="D74" s="865">
        <f>'5 RECEIPTS BY MDAs'!D68</f>
        <v>10538108874</v>
      </c>
      <c r="E74" s="865">
        <f>'5 RECEIPTS BY MDAs'!E68</f>
        <v>5376429571.9799995</v>
      </c>
      <c r="F74" s="865">
        <f>'5 RECEIPTS BY MDAs'!F68</f>
        <v>15787021834</v>
      </c>
      <c r="G74" s="851">
        <f>F74/F82%</f>
        <v>5.5076556063338602</v>
      </c>
    </row>
    <row r="75" spans="1:7" ht="36" customHeight="1" x14ac:dyDescent="0.2">
      <c r="A75" s="835">
        <v>2</v>
      </c>
      <c r="B75" s="829">
        <v>13020400</v>
      </c>
      <c r="C75" s="864" t="s">
        <v>1003</v>
      </c>
      <c r="D75" s="865">
        <f>'5 RECEIPTS BY MDAs'!D103</f>
        <v>20654643766</v>
      </c>
      <c r="E75" s="865">
        <f>'5 RECEIPTS BY MDAs'!E103</f>
        <v>4918376225.8999996</v>
      </c>
      <c r="F75" s="865">
        <f>'5 RECEIPTS BY MDAs'!F103</f>
        <v>28163093365</v>
      </c>
      <c r="G75" s="833">
        <f>F75/F82%</f>
        <v>9.825324921600167</v>
      </c>
    </row>
    <row r="76" spans="1:7" ht="36" customHeight="1" x14ac:dyDescent="0.2">
      <c r="A76" s="835">
        <v>3</v>
      </c>
      <c r="B76" s="835">
        <v>14030100</v>
      </c>
      <c r="C76" s="844" t="s">
        <v>2688</v>
      </c>
      <c r="D76" s="865">
        <f>'5 RECEIPTS BY MDAs'!D109</f>
        <v>2000000000</v>
      </c>
      <c r="E76" s="865">
        <f>'5 RECEIPTS BY MDAs'!E111</f>
        <v>0</v>
      </c>
      <c r="F76" s="865">
        <f>'5 RECEIPTS BY MDAs'!F109</f>
        <v>0</v>
      </c>
      <c r="G76" s="833">
        <f>F76/F82%</f>
        <v>0</v>
      </c>
    </row>
    <row r="77" spans="1:7" ht="36" customHeight="1" x14ac:dyDescent="0.2">
      <c r="A77" s="835"/>
      <c r="B77" s="835">
        <v>14030100</v>
      </c>
      <c r="C77" s="866" t="s">
        <v>2441</v>
      </c>
      <c r="D77" s="865">
        <f>'5 RECEIPTS BY MDAs'!D110</f>
        <v>3551911249</v>
      </c>
      <c r="E77" s="865"/>
      <c r="F77" s="865">
        <f>'5 RECEIPTS BY MDAs'!F110</f>
        <v>50000000000</v>
      </c>
      <c r="G77" s="833">
        <f>F77/F82%</f>
        <v>17.443618132180571</v>
      </c>
    </row>
    <row r="78" spans="1:7" ht="36" customHeight="1" x14ac:dyDescent="0.2">
      <c r="A78" s="835">
        <v>4</v>
      </c>
      <c r="B78" s="829">
        <v>14030200</v>
      </c>
      <c r="C78" s="866" t="s">
        <v>1005</v>
      </c>
      <c r="D78" s="865">
        <f>'5 RECEIPTS BY MDAs'!D120</f>
        <v>31791374173</v>
      </c>
      <c r="E78" s="865">
        <f>'5 RECEIPTS BY MDAs'!E120</f>
        <v>0</v>
      </c>
      <c r="F78" s="865">
        <f>'5 RECEIPTS BY MDAs'!F120</f>
        <v>18498219356</v>
      </c>
      <c r="G78" s="833">
        <f>F78/F82%</f>
        <v>6.4535174914275046</v>
      </c>
    </row>
    <row r="79" spans="1:7" ht="36" customHeight="1" thickBot="1" x14ac:dyDescent="0.25">
      <c r="A79" s="835">
        <v>5</v>
      </c>
      <c r="B79" s="829">
        <v>14010100</v>
      </c>
      <c r="C79" s="866" t="s">
        <v>1006</v>
      </c>
      <c r="D79" s="867">
        <f>'5 RECEIPTS BY MDAs'!D122</f>
        <v>5000000000</v>
      </c>
      <c r="E79" s="867">
        <f>'5 RECEIPTS BY MDAs'!E122</f>
        <v>0</v>
      </c>
      <c r="F79" s="867">
        <f>'5 RECEIPTS BY MDAs'!F122</f>
        <v>5000000000</v>
      </c>
      <c r="G79" s="868">
        <f>F79/F82%</f>
        <v>1.7443618132180574</v>
      </c>
    </row>
    <row r="80" spans="1:7" ht="36" customHeight="1" thickBot="1" x14ac:dyDescent="0.25">
      <c r="A80" s="869"/>
      <c r="B80" s="870" t="s">
        <v>119</v>
      </c>
      <c r="C80" s="871"/>
      <c r="D80" s="872">
        <f>SUM(D74:D79)</f>
        <v>73536038062</v>
      </c>
      <c r="E80" s="873">
        <f>SUM(E74:E79)</f>
        <v>10294805797.879999</v>
      </c>
      <c r="F80" s="873">
        <f>SUM(F74:F79)</f>
        <v>117448334555</v>
      </c>
      <c r="G80" s="874">
        <f>F80/F82%</f>
        <v>40.974477964760162</v>
      </c>
    </row>
    <row r="81" spans="1:7" ht="22.5" customHeight="1" thickBot="1" x14ac:dyDescent="0.25">
      <c r="A81" s="875"/>
      <c r="B81" s="876"/>
      <c r="C81" s="877"/>
      <c r="D81" s="1866"/>
      <c r="E81" s="1867"/>
      <c r="F81" s="1868"/>
      <c r="G81" s="1869"/>
    </row>
    <row r="82" spans="1:7" ht="36" customHeight="1" thickBot="1" x14ac:dyDescent="0.25">
      <c r="A82" s="878"/>
      <c r="B82" s="3420" t="s">
        <v>1026</v>
      </c>
      <c r="C82" s="3421"/>
      <c r="D82" s="879">
        <f>SUM(D71,D80)</f>
        <v>182364772045.78998</v>
      </c>
      <c r="E82" s="873">
        <f>SUM(E71,E80)</f>
        <v>71060622945.240005</v>
      </c>
      <c r="F82" s="873">
        <f>SUM(F71,F80)</f>
        <v>286637781342.84149</v>
      </c>
      <c r="G82" s="880"/>
    </row>
    <row r="84" spans="1:7" ht="36" customHeight="1" x14ac:dyDescent="0.2">
      <c r="F84" s="882"/>
    </row>
  </sheetData>
  <mergeCells count="2">
    <mergeCell ref="A1:G1"/>
    <mergeCell ref="B82:C82"/>
  </mergeCells>
  <printOptions horizontalCentered="1" verticalCentered="1"/>
  <pageMargins left="0" right="0" top="0.35020833333333301" bottom="0.59791666666666698" header="0.05" footer="0.3"/>
  <pageSetup paperSize="9" scale="40" firstPageNumber="3" fitToWidth="0" fitToHeight="0" orientation="landscape" useFirstPageNumber="1" r:id="rId1"/>
  <headerFooter>
    <oddHeader>&amp;L&amp;G&amp;R&amp;16&amp;K00B050KATSINA STATE GOVERNMENT 2021 APPROVED APPROPRIATION LAW</oddHeader>
    <oddFooter>&amp;L&amp;16&amp;K00B050KATSINA STATE GOVERNMENT 2021 APPROVED APPROPRIATION LAW&amp;C&amp;24&amp;P&amp;R&amp;G</oddFooter>
  </headerFooter>
  <rowBreaks count="1" manualBreakCount="1">
    <brk id="42" max="16383" man="1"/>
  </rowBreaks>
  <ignoredErrors>
    <ignoredError sqref="B53:B70 B34:B42 B3:B33 B45:B52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50"/>
  <sheetViews>
    <sheetView view="pageBreakPreview" topLeftCell="A832" zoomScale="70" zoomScaleNormal="110" zoomScaleSheetLayoutView="70" zoomScalePageLayoutView="55" workbookViewId="0">
      <selection activeCell="C1273" sqref="C1273"/>
    </sheetView>
  </sheetViews>
  <sheetFormatPr defaultRowHeight="20.25" x14ac:dyDescent="0.3"/>
  <cols>
    <col min="1" max="1" width="9.5703125" style="198" customWidth="1"/>
    <col min="2" max="2" width="17.42578125" style="558" customWidth="1"/>
    <col min="3" max="3" width="104.5703125" style="341" customWidth="1"/>
    <col min="4" max="4" width="33.140625" style="542" customWidth="1"/>
    <col min="5" max="5" width="27.85546875" style="557" customWidth="1"/>
    <col min="6" max="6" width="28.5703125" style="542" customWidth="1"/>
    <col min="7" max="7" width="22.5703125" style="198" bestFit="1" customWidth="1"/>
    <col min="8" max="16384" width="9.140625" style="198"/>
  </cols>
  <sheetData>
    <row r="1" spans="1:7" x14ac:dyDescent="0.3">
      <c r="A1" s="3422"/>
      <c r="B1" s="3422"/>
      <c r="C1" s="3422"/>
      <c r="D1" s="3422"/>
      <c r="E1" s="3422"/>
      <c r="F1" s="3422"/>
    </row>
    <row r="2" spans="1:7" x14ac:dyDescent="0.3">
      <c r="A2" s="3423" t="s">
        <v>242</v>
      </c>
      <c r="B2" s="3423"/>
      <c r="C2" s="3423"/>
      <c r="D2" s="3423"/>
      <c r="E2" s="3423"/>
      <c r="F2" s="3423"/>
    </row>
    <row r="3" spans="1:7" x14ac:dyDescent="0.3">
      <c r="A3" s="3423" t="s">
        <v>2728</v>
      </c>
      <c r="B3" s="3423"/>
      <c r="C3" s="3423"/>
      <c r="D3" s="3423"/>
      <c r="E3" s="3423"/>
      <c r="F3" s="3423"/>
    </row>
    <row r="4" spans="1:7" x14ac:dyDescent="0.3">
      <c r="A4" s="3423" t="s">
        <v>990</v>
      </c>
      <c r="B4" s="3423"/>
      <c r="C4" s="3423"/>
      <c r="D4" s="3423"/>
      <c r="E4" s="3423"/>
      <c r="F4" s="3423"/>
    </row>
    <row r="5" spans="1:7" ht="21" thickBot="1" x14ac:dyDescent="0.35">
      <c r="A5" s="184"/>
      <c r="B5" s="293"/>
      <c r="C5" s="302" t="s">
        <v>1064</v>
      </c>
      <c r="D5" s="295"/>
      <c r="E5" s="296"/>
      <c r="F5" s="295"/>
    </row>
    <row r="6" spans="1:7" ht="61.5" thickBot="1" x14ac:dyDescent="0.35">
      <c r="A6" s="297" t="s">
        <v>94</v>
      </c>
      <c r="B6" s="298" t="s">
        <v>1</v>
      </c>
      <c r="C6" s="299" t="s">
        <v>991</v>
      </c>
      <c r="D6" s="213" t="s">
        <v>1174</v>
      </c>
      <c r="E6" s="300" t="s">
        <v>2648</v>
      </c>
      <c r="F6" s="173" t="s">
        <v>3098</v>
      </c>
    </row>
    <row r="7" spans="1:7" x14ac:dyDescent="0.3">
      <c r="A7" s="301"/>
      <c r="B7" s="301">
        <v>11000000</v>
      </c>
      <c r="C7" s="302" t="s">
        <v>2567</v>
      </c>
      <c r="D7" s="303"/>
      <c r="E7" s="304"/>
      <c r="F7" s="303"/>
    </row>
    <row r="8" spans="1:7" x14ac:dyDescent="0.3">
      <c r="A8" s="293">
        <v>1</v>
      </c>
      <c r="B8" s="293">
        <v>11010101</v>
      </c>
      <c r="C8" s="189" t="s">
        <v>3</v>
      </c>
      <c r="D8" s="181">
        <v>35722245513</v>
      </c>
      <c r="E8" s="175">
        <v>29941558633.549999</v>
      </c>
      <c r="F8" s="181">
        <v>74888219660</v>
      </c>
      <c r="G8" s="715"/>
    </row>
    <row r="9" spans="1:7" x14ac:dyDescent="0.3">
      <c r="A9" s="293">
        <v>2</v>
      </c>
      <c r="B9" s="293">
        <v>11010104</v>
      </c>
      <c r="C9" s="189" t="s">
        <v>685</v>
      </c>
      <c r="D9" s="181">
        <v>0</v>
      </c>
      <c r="E9" s="175">
        <v>1707128828.8299999</v>
      </c>
      <c r="F9" s="181">
        <v>2000000000</v>
      </c>
    </row>
    <row r="10" spans="1:7" x14ac:dyDescent="0.3">
      <c r="A10" s="293">
        <v>3</v>
      </c>
      <c r="B10" s="293">
        <v>11010104</v>
      </c>
      <c r="C10" s="189" t="s">
        <v>686</v>
      </c>
      <c r="D10" s="181">
        <v>0</v>
      </c>
      <c r="E10" s="175">
        <v>3395700373.3299999</v>
      </c>
      <c r="F10" s="181">
        <v>0</v>
      </c>
    </row>
    <row r="11" spans="1:7" x14ac:dyDescent="0.3">
      <c r="A11" s="293">
        <v>5</v>
      </c>
      <c r="B11" s="293">
        <v>11010201</v>
      </c>
      <c r="C11" s="189" t="s">
        <v>244</v>
      </c>
      <c r="D11" s="181">
        <v>23127611453</v>
      </c>
      <c r="E11" s="175">
        <v>13219013980.51</v>
      </c>
      <c r="F11" s="181">
        <v>30025000000</v>
      </c>
    </row>
    <row r="12" spans="1:7" x14ac:dyDescent="0.3">
      <c r="A12" s="293">
        <v>6</v>
      </c>
      <c r="B12" s="293">
        <v>11010301</v>
      </c>
      <c r="C12" s="189" t="s">
        <v>1039</v>
      </c>
      <c r="D12" s="181">
        <v>0</v>
      </c>
      <c r="E12" s="175">
        <v>1058435670.39</v>
      </c>
      <c r="F12" s="181">
        <v>2000000000</v>
      </c>
    </row>
    <row r="13" spans="1:7" ht="21" thickBot="1" x14ac:dyDescent="0.35">
      <c r="A13" s="293">
        <v>7</v>
      </c>
      <c r="B13" s="293">
        <v>11010104</v>
      </c>
      <c r="C13" s="305" t="s">
        <v>2439</v>
      </c>
      <c r="D13" s="306">
        <v>7072400744</v>
      </c>
      <c r="E13" s="307">
        <v>187673523.69</v>
      </c>
      <c r="F13" s="306">
        <v>7072400744</v>
      </c>
    </row>
    <row r="14" spans="1:7" ht="21" thickBot="1" x14ac:dyDescent="0.35">
      <c r="A14" s="293"/>
      <c r="B14" s="308" t="s">
        <v>243</v>
      </c>
      <c r="C14" s="189"/>
      <c r="D14" s="1849">
        <f>SUM(D8:D13)</f>
        <v>65922257710</v>
      </c>
      <c r="E14" s="1850">
        <f>SUM(E8:E13)</f>
        <v>49509511010.300003</v>
      </c>
      <c r="F14" s="705">
        <f>SUM(F8:F13)</f>
        <v>115985620404</v>
      </c>
    </row>
    <row r="15" spans="1:7" ht="41.25" thickBot="1" x14ac:dyDescent="0.35">
      <c r="A15" s="293"/>
      <c r="B15" s="293"/>
      <c r="C15" s="1851" t="s">
        <v>2568</v>
      </c>
      <c r="D15" s="295"/>
      <c r="E15" s="296"/>
      <c r="F15" s="295"/>
    </row>
    <row r="16" spans="1:7" ht="61.5" thickBot="1" x14ac:dyDescent="0.35">
      <c r="A16" s="297" t="s">
        <v>94</v>
      </c>
      <c r="B16" s="298" t="s">
        <v>1</v>
      </c>
      <c r="C16" s="299" t="s">
        <v>991</v>
      </c>
      <c r="D16" s="213" t="s">
        <v>1174</v>
      </c>
      <c r="E16" s="300" t="s">
        <v>2648</v>
      </c>
      <c r="F16" s="173" t="s">
        <v>3098</v>
      </c>
    </row>
    <row r="17" spans="1:7" x14ac:dyDescent="0.3">
      <c r="A17" s="293">
        <v>1</v>
      </c>
      <c r="B17" s="293">
        <v>12020611</v>
      </c>
      <c r="C17" s="189" t="s">
        <v>274</v>
      </c>
      <c r="D17" s="182">
        <v>30000000</v>
      </c>
      <c r="E17" s="312">
        <v>19061836.579999998</v>
      </c>
      <c r="F17" s="182">
        <v>30000000</v>
      </c>
    </row>
    <row r="18" spans="1:7" x14ac:dyDescent="0.3">
      <c r="A18" s="293">
        <v>2</v>
      </c>
      <c r="B18" s="293">
        <v>12020610</v>
      </c>
      <c r="C18" s="189" t="s">
        <v>684</v>
      </c>
      <c r="D18" s="313">
        <v>3000000000</v>
      </c>
      <c r="E18" s="314">
        <v>28451250</v>
      </c>
      <c r="F18" s="315">
        <v>2400000000</v>
      </c>
    </row>
    <row r="19" spans="1:7" x14ac:dyDescent="0.3">
      <c r="A19" s="293">
        <v>3</v>
      </c>
      <c r="B19" s="293">
        <v>12020801</v>
      </c>
      <c r="C19" s="189" t="s">
        <v>276</v>
      </c>
      <c r="D19" s="313">
        <v>70000000</v>
      </c>
      <c r="E19" s="314">
        <v>41905093.409999996</v>
      </c>
      <c r="F19" s="313">
        <v>70000000</v>
      </c>
    </row>
    <row r="20" spans="1:7" x14ac:dyDescent="0.3">
      <c r="A20" s="293">
        <v>4</v>
      </c>
      <c r="B20" s="293">
        <v>12020901</v>
      </c>
      <c r="C20" s="178" t="s">
        <v>683</v>
      </c>
      <c r="D20" s="313">
        <v>100000000</v>
      </c>
      <c r="E20" s="314">
        <v>0</v>
      </c>
      <c r="F20" s="313">
        <v>100000000</v>
      </c>
    </row>
    <row r="21" spans="1:7" s="316" customFormat="1" x14ac:dyDescent="0.3">
      <c r="A21" s="293">
        <v>5</v>
      </c>
      <c r="B21" s="187">
        <v>12021004</v>
      </c>
      <c r="C21" s="188" t="s">
        <v>681</v>
      </c>
      <c r="D21" s="313">
        <v>70000000</v>
      </c>
      <c r="E21" s="314">
        <v>0</v>
      </c>
      <c r="F21" s="313">
        <v>70000000</v>
      </c>
    </row>
    <row r="22" spans="1:7" s="316" customFormat="1" x14ac:dyDescent="0.3">
      <c r="A22" s="293">
        <v>6</v>
      </c>
      <c r="B22" s="187">
        <v>12021004</v>
      </c>
      <c r="C22" s="188" t="s">
        <v>281</v>
      </c>
      <c r="D22" s="313">
        <v>51405735</v>
      </c>
      <c r="E22" s="314">
        <v>36903345.100000001</v>
      </c>
      <c r="F22" s="313">
        <v>51405735</v>
      </c>
    </row>
    <row r="23" spans="1:7" x14ac:dyDescent="0.3">
      <c r="A23" s="293">
        <v>7</v>
      </c>
      <c r="B23" s="293">
        <v>12021006</v>
      </c>
      <c r="C23" s="178" t="s">
        <v>682</v>
      </c>
      <c r="D23" s="313">
        <v>12000000000</v>
      </c>
      <c r="E23" s="314">
        <v>0</v>
      </c>
      <c r="F23" s="313">
        <v>12000000000</v>
      </c>
    </row>
    <row r="24" spans="1:7" x14ac:dyDescent="0.3">
      <c r="A24" s="293">
        <v>8</v>
      </c>
      <c r="B24" s="293">
        <v>12021006</v>
      </c>
      <c r="C24" s="189" t="s">
        <v>2186</v>
      </c>
      <c r="D24" s="313">
        <v>15000000</v>
      </c>
      <c r="E24" s="314">
        <v>34513935.880000003</v>
      </c>
      <c r="F24" s="313">
        <v>15000000</v>
      </c>
    </row>
    <row r="25" spans="1:7" x14ac:dyDescent="0.3">
      <c r="A25" s="293">
        <v>9</v>
      </c>
      <c r="B25" s="293">
        <v>12021006</v>
      </c>
      <c r="C25" s="189" t="s">
        <v>663</v>
      </c>
      <c r="D25" s="182">
        <v>12200000000</v>
      </c>
      <c r="E25" s="312">
        <v>0</v>
      </c>
      <c r="F25" s="182">
        <v>12200000000</v>
      </c>
    </row>
    <row r="26" spans="1:7" x14ac:dyDescent="0.3">
      <c r="A26" s="293">
        <v>10</v>
      </c>
      <c r="B26" s="293">
        <v>12021103</v>
      </c>
      <c r="C26" s="189" t="s">
        <v>278</v>
      </c>
      <c r="D26" s="313">
        <v>5000000</v>
      </c>
      <c r="E26" s="313">
        <v>370000</v>
      </c>
      <c r="F26" s="313">
        <v>5000000</v>
      </c>
    </row>
    <row r="27" spans="1:7" x14ac:dyDescent="0.3">
      <c r="A27" s="293">
        <v>11</v>
      </c>
      <c r="B27" s="293">
        <v>12021102</v>
      </c>
      <c r="C27" s="189" t="s">
        <v>279</v>
      </c>
      <c r="D27" s="182">
        <v>10000000</v>
      </c>
      <c r="E27" s="312">
        <v>0</v>
      </c>
      <c r="F27" s="182">
        <v>10000000</v>
      </c>
    </row>
    <row r="28" spans="1:7" x14ac:dyDescent="0.3">
      <c r="A28" s="293">
        <v>12</v>
      </c>
      <c r="B28" s="293">
        <v>12020417</v>
      </c>
      <c r="C28" s="189" t="s">
        <v>2187</v>
      </c>
      <c r="D28" s="182">
        <v>200000000</v>
      </c>
      <c r="E28" s="312">
        <v>72856354.689999998</v>
      </c>
      <c r="F28" s="182">
        <v>200000000</v>
      </c>
    </row>
    <row r="29" spans="1:7" ht="21" thickBot="1" x14ac:dyDescent="0.35">
      <c r="A29" s="293">
        <v>13</v>
      </c>
      <c r="B29" s="317">
        <v>12021212</v>
      </c>
      <c r="C29" s="189" t="s">
        <v>280</v>
      </c>
      <c r="D29" s="346">
        <v>50000000</v>
      </c>
      <c r="E29" s="732">
        <v>3954.99</v>
      </c>
      <c r="F29" s="346">
        <v>50000000</v>
      </c>
    </row>
    <row r="30" spans="1:7" ht="21" thickBot="1" x14ac:dyDescent="0.35">
      <c r="A30" s="318"/>
      <c r="B30" s="301" t="s">
        <v>243</v>
      </c>
      <c r="C30" s="319"/>
      <c r="D30" s="733">
        <f>SUM(D15:D29)</f>
        <v>27801405735</v>
      </c>
      <c r="E30" s="734">
        <f>SUM(E15:E29)</f>
        <v>234065770.65000001</v>
      </c>
      <c r="F30" s="685">
        <f>SUM(F17:F29)</f>
        <v>27201405735</v>
      </c>
    </row>
    <row r="31" spans="1:7" ht="21" thickBot="1" x14ac:dyDescent="0.35">
      <c r="A31" s="293"/>
      <c r="B31" s="320"/>
      <c r="C31" s="189"/>
      <c r="D31" s="333"/>
      <c r="E31" s="333"/>
      <c r="F31" s="333"/>
    </row>
    <row r="32" spans="1:7" ht="21" thickBot="1" x14ac:dyDescent="0.35">
      <c r="A32" s="322"/>
      <c r="B32" s="323">
        <v>14020201</v>
      </c>
      <c r="C32" s="324" t="s">
        <v>1001</v>
      </c>
      <c r="D32" s="325"/>
      <c r="E32" s="325"/>
      <c r="F32" s="326"/>
      <c r="G32" s="327"/>
    </row>
    <row r="33" spans="1:7" ht="61.5" thickBot="1" x14ac:dyDescent="0.35">
      <c r="A33" s="297" t="s">
        <v>94</v>
      </c>
      <c r="B33" s="298" t="s">
        <v>1</v>
      </c>
      <c r="C33" s="299" t="s">
        <v>991</v>
      </c>
      <c r="D33" s="213" t="s">
        <v>1174</v>
      </c>
      <c r="E33" s="300" t="s">
        <v>1145</v>
      </c>
      <c r="F33" s="173" t="s">
        <v>3098</v>
      </c>
    </row>
    <row r="34" spans="1:7" x14ac:dyDescent="0.3">
      <c r="A34" s="328"/>
      <c r="B34" s="329">
        <v>13010301</v>
      </c>
      <c r="C34" s="330" t="s">
        <v>1002</v>
      </c>
      <c r="D34" s="331"/>
      <c r="E34" s="332"/>
      <c r="F34" s="333"/>
      <c r="G34" s="327"/>
    </row>
    <row r="35" spans="1:7" s="338" customFormat="1" x14ac:dyDescent="0.3">
      <c r="A35" s="187">
        <v>1</v>
      </c>
      <c r="B35" s="334">
        <v>13010301</v>
      </c>
      <c r="C35" s="398" t="s">
        <v>2190</v>
      </c>
      <c r="D35" s="175">
        <v>0</v>
      </c>
      <c r="E35" s="175">
        <v>0</v>
      </c>
      <c r="F35" s="336">
        <v>569651268</v>
      </c>
      <c r="G35" s="337"/>
    </row>
    <row r="36" spans="1:7" s="338" customFormat="1" x14ac:dyDescent="0.3">
      <c r="A36" s="187">
        <v>2</v>
      </c>
      <c r="B36" s="334">
        <v>13010301</v>
      </c>
      <c r="C36" s="398" t="s">
        <v>2191</v>
      </c>
      <c r="D36" s="175">
        <v>0</v>
      </c>
      <c r="E36" s="175">
        <v>0</v>
      </c>
      <c r="F36" s="336">
        <v>565816476</v>
      </c>
      <c r="G36" s="337"/>
    </row>
    <row r="37" spans="1:7" s="338" customFormat="1" x14ac:dyDescent="0.3">
      <c r="A37" s="187">
        <v>3</v>
      </c>
      <c r="B37" s="334">
        <v>13010301</v>
      </c>
      <c r="C37" s="398" t="s">
        <v>2192</v>
      </c>
      <c r="D37" s="175">
        <v>0</v>
      </c>
      <c r="E37" s="175">
        <v>0</v>
      </c>
      <c r="F37" s="336">
        <v>535655712</v>
      </c>
      <c r="G37" s="337"/>
    </row>
    <row r="38" spans="1:7" s="338" customFormat="1" x14ac:dyDescent="0.3">
      <c r="A38" s="187">
        <v>4</v>
      </c>
      <c r="B38" s="334">
        <v>13010301</v>
      </c>
      <c r="C38" s="398" t="s">
        <v>2193</v>
      </c>
      <c r="D38" s="175">
        <v>0</v>
      </c>
      <c r="E38" s="175">
        <v>0</v>
      </c>
      <c r="F38" s="336">
        <v>1826529655</v>
      </c>
      <c r="G38" s="337"/>
    </row>
    <row r="39" spans="1:7" s="338" customFormat="1" ht="40.5" x14ac:dyDescent="0.3">
      <c r="A39" s="187">
        <v>5</v>
      </c>
      <c r="B39" s="334">
        <v>13010301</v>
      </c>
      <c r="C39" s="398" t="s">
        <v>2194</v>
      </c>
      <c r="D39" s="175">
        <v>0</v>
      </c>
      <c r="E39" s="175">
        <v>0</v>
      </c>
      <c r="F39" s="336">
        <v>5000000</v>
      </c>
      <c r="G39" s="337"/>
    </row>
    <row r="40" spans="1:7" s="338" customFormat="1" x14ac:dyDescent="0.3">
      <c r="A40" s="187">
        <v>6</v>
      </c>
      <c r="B40" s="334">
        <v>13010301</v>
      </c>
      <c r="C40" s="398" t="s">
        <v>2195</v>
      </c>
      <c r="D40" s="175">
        <v>0</v>
      </c>
      <c r="E40" s="175"/>
      <c r="F40" s="336">
        <v>8000000</v>
      </c>
      <c r="G40" s="337"/>
    </row>
    <row r="41" spans="1:7" s="338" customFormat="1" x14ac:dyDescent="0.3">
      <c r="A41" s="187">
        <v>7</v>
      </c>
      <c r="B41" s="334">
        <v>13010301</v>
      </c>
      <c r="C41" s="398" t="s">
        <v>2652</v>
      </c>
      <c r="D41" s="175">
        <v>0</v>
      </c>
      <c r="E41" s="175">
        <v>0</v>
      </c>
      <c r="F41" s="336">
        <v>100000</v>
      </c>
      <c r="G41" s="337"/>
    </row>
    <row r="42" spans="1:7" s="338" customFormat="1" x14ac:dyDescent="0.3">
      <c r="A42" s="187">
        <v>8</v>
      </c>
      <c r="B42" s="334">
        <v>13010301</v>
      </c>
      <c r="C42" s="398" t="s">
        <v>2196</v>
      </c>
      <c r="D42" s="172">
        <v>0</v>
      </c>
      <c r="E42" s="172">
        <v>0</v>
      </c>
      <c r="F42" s="336">
        <v>2250000</v>
      </c>
      <c r="G42" s="337"/>
    </row>
    <row r="43" spans="1:7" ht="40.5" x14ac:dyDescent="0.3">
      <c r="A43" s="187">
        <v>9</v>
      </c>
      <c r="B43" s="334">
        <v>13010301</v>
      </c>
      <c r="C43" s="454" t="s">
        <v>3244</v>
      </c>
      <c r="D43" s="340" t="s">
        <v>2440</v>
      </c>
      <c r="E43" s="340">
        <v>0</v>
      </c>
      <c r="F43" s="181">
        <v>1500000000</v>
      </c>
      <c r="G43" s="341"/>
    </row>
    <row r="44" spans="1:7" x14ac:dyDescent="0.3">
      <c r="A44" s="187">
        <v>10</v>
      </c>
      <c r="B44" s="334">
        <v>13010301</v>
      </c>
      <c r="C44" s="494" t="s">
        <v>3245</v>
      </c>
      <c r="D44" s="182">
        <v>1579884080</v>
      </c>
      <c r="E44" s="342"/>
      <c r="F44" s="182">
        <v>1510664674</v>
      </c>
      <c r="G44" s="327"/>
    </row>
    <row r="45" spans="1:7" x14ac:dyDescent="0.3">
      <c r="A45" s="187">
        <v>11</v>
      </c>
      <c r="B45" s="334">
        <v>13010301</v>
      </c>
      <c r="C45" s="494" t="s">
        <v>618</v>
      </c>
      <c r="D45" s="182">
        <v>1100000000</v>
      </c>
      <c r="E45" s="342"/>
      <c r="F45" s="182">
        <v>575071399</v>
      </c>
      <c r="G45" s="327"/>
    </row>
    <row r="46" spans="1:7" x14ac:dyDescent="0.3">
      <c r="A46" s="187">
        <v>12</v>
      </c>
      <c r="B46" s="334">
        <v>13010301</v>
      </c>
      <c r="C46" s="454" t="s">
        <v>3246</v>
      </c>
      <c r="D46" s="181">
        <v>600000000</v>
      </c>
      <c r="E46" s="340">
        <v>0</v>
      </c>
      <c r="F46" s="181">
        <v>300000000</v>
      </c>
      <c r="G46" s="327"/>
    </row>
    <row r="47" spans="1:7" x14ac:dyDescent="0.3">
      <c r="A47" s="187">
        <v>13</v>
      </c>
      <c r="B47" s="334">
        <v>13010301</v>
      </c>
      <c r="C47" s="178" t="s">
        <v>3247</v>
      </c>
      <c r="D47" s="340" t="s">
        <v>2440</v>
      </c>
      <c r="E47" s="340">
        <v>0</v>
      </c>
      <c r="F47" s="181">
        <v>68000000</v>
      </c>
      <c r="G47" s="327"/>
    </row>
    <row r="48" spans="1:7" x14ac:dyDescent="0.3">
      <c r="A48" s="187">
        <v>14</v>
      </c>
      <c r="B48" s="334">
        <v>13010301</v>
      </c>
      <c r="C48" s="178" t="s">
        <v>3121</v>
      </c>
      <c r="D48" s="181">
        <v>900000000</v>
      </c>
      <c r="E48" s="340"/>
      <c r="F48" s="181">
        <v>900000000</v>
      </c>
      <c r="G48" s="327"/>
    </row>
    <row r="49" spans="1:7" s="338" customFormat="1" x14ac:dyDescent="0.3">
      <c r="A49" s="187">
        <v>15</v>
      </c>
      <c r="B49" s="334">
        <v>13010301</v>
      </c>
      <c r="C49" s="1852" t="s">
        <v>3122</v>
      </c>
      <c r="D49" s="181">
        <v>268000000</v>
      </c>
      <c r="E49" s="343">
        <v>63087427.979999997</v>
      </c>
      <c r="F49" s="181">
        <v>268000000</v>
      </c>
      <c r="G49" s="337"/>
    </row>
    <row r="50" spans="1:7" ht="40.5" x14ac:dyDescent="0.3">
      <c r="A50" s="187">
        <v>16</v>
      </c>
      <c r="B50" s="334">
        <v>13010301</v>
      </c>
      <c r="C50" s="178" t="s">
        <v>3123</v>
      </c>
      <c r="D50" s="181">
        <v>200000000</v>
      </c>
      <c r="E50" s="344"/>
      <c r="F50" s="181">
        <v>200000000</v>
      </c>
      <c r="G50" s="327"/>
    </row>
    <row r="51" spans="1:7" s="338" customFormat="1" ht="40.5" x14ac:dyDescent="0.3">
      <c r="A51" s="187">
        <v>17</v>
      </c>
      <c r="B51" s="334">
        <v>13010301</v>
      </c>
      <c r="C51" s="1852" t="s">
        <v>3124</v>
      </c>
      <c r="D51" s="181">
        <v>0</v>
      </c>
      <c r="E51" s="181">
        <v>202000000</v>
      </c>
      <c r="F51" s="181">
        <v>300000000</v>
      </c>
      <c r="G51" s="337"/>
    </row>
    <row r="52" spans="1:7" s="338" customFormat="1" ht="40.5" x14ac:dyDescent="0.3">
      <c r="A52" s="187">
        <v>18</v>
      </c>
      <c r="B52" s="334">
        <v>13010301</v>
      </c>
      <c r="C52" s="1852" t="s">
        <v>3012</v>
      </c>
      <c r="D52" s="182">
        <v>1164000000</v>
      </c>
      <c r="E52" s="182"/>
      <c r="F52" s="182">
        <v>1164000000</v>
      </c>
      <c r="G52" s="337"/>
    </row>
    <row r="53" spans="1:7" s="338" customFormat="1" x14ac:dyDescent="0.3">
      <c r="A53" s="187">
        <v>19</v>
      </c>
      <c r="B53" s="334">
        <v>13010301</v>
      </c>
      <c r="C53" s="1853" t="s">
        <v>3125</v>
      </c>
      <c r="D53" s="181">
        <v>120000000</v>
      </c>
      <c r="E53" s="182"/>
      <c r="F53" s="182">
        <v>612000000</v>
      </c>
      <c r="G53" s="337"/>
    </row>
    <row r="54" spans="1:7" s="338" customFormat="1" x14ac:dyDescent="0.3">
      <c r="A54" s="187">
        <v>20</v>
      </c>
      <c r="B54" s="334">
        <v>13010301</v>
      </c>
      <c r="C54" s="1852" t="s">
        <v>3013</v>
      </c>
      <c r="D54" s="181">
        <v>4211342144</v>
      </c>
      <c r="E54" s="181">
        <v>4111342144</v>
      </c>
      <c r="F54" s="181">
        <v>1000000000</v>
      </c>
      <c r="G54" s="337"/>
    </row>
    <row r="55" spans="1:7" s="338" customFormat="1" x14ac:dyDescent="0.3">
      <c r="A55" s="187">
        <v>21</v>
      </c>
      <c r="B55" s="334">
        <v>13010301</v>
      </c>
      <c r="C55" s="1852" t="s">
        <v>2197</v>
      </c>
      <c r="D55" s="181"/>
      <c r="E55" s="181">
        <v>1000000000</v>
      </c>
      <c r="F55" s="181">
        <v>2500000000</v>
      </c>
      <c r="G55" s="337"/>
    </row>
    <row r="56" spans="1:7" s="338" customFormat="1" x14ac:dyDescent="0.3">
      <c r="A56" s="187">
        <v>22</v>
      </c>
      <c r="B56" s="334">
        <v>13010301</v>
      </c>
      <c r="C56" s="314" t="s">
        <v>2475</v>
      </c>
      <c r="D56" s="181"/>
      <c r="E56" s="181"/>
      <c r="F56" s="181">
        <v>50000000</v>
      </c>
      <c r="G56" s="337"/>
    </row>
    <row r="57" spans="1:7" s="338" customFormat="1" x14ac:dyDescent="0.3">
      <c r="A57" s="187">
        <v>23</v>
      </c>
      <c r="B57" s="334">
        <v>13010301</v>
      </c>
      <c r="C57" s="314" t="s">
        <v>2476</v>
      </c>
      <c r="D57" s="181"/>
      <c r="E57" s="343"/>
      <c r="F57" s="181">
        <v>100000000</v>
      </c>
      <c r="G57" s="337"/>
    </row>
    <row r="58" spans="1:7" s="338" customFormat="1" x14ac:dyDescent="0.3">
      <c r="A58" s="187">
        <v>24</v>
      </c>
      <c r="B58" s="334">
        <v>13010301</v>
      </c>
      <c r="C58" s="314" t="s">
        <v>2477</v>
      </c>
      <c r="D58" s="181"/>
      <c r="E58" s="343"/>
      <c r="F58" s="181">
        <v>122400000</v>
      </c>
      <c r="G58" s="337"/>
    </row>
    <row r="59" spans="1:7" s="338" customFormat="1" x14ac:dyDescent="0.3">
      <c r="A59" s="187">
        <v>25</v>
      </c>
      <c r="B59" s="334">
        <v>13010301</v>
      </c>
      <c r="C59" s="184" t="s">
        <v>3126</v>
      </c>
      <c r="D59" s="182"/>
      <c r="E59" s="312"/>
      <c r="F59" s="345">
        <v>0</v>
      </c>
      <c r="G59" s="337"/>
    </row>
    <row r="60" spans="1:7" s="338" customFormat="1" ht="40.5" x14ac:dyDescent="0.3">
      <c r="A60" s="187">
        <v>26</v>
      </c>
      <c r="B60" s="334">
        <v>13010301</v>
      </c>
      <c r="C60" s="184" t="s">
        <v>3127</v>
      </c>
      <c r="D60" s="182"/>
      <c r="E60" s="312"/>
      <c r="F60" s="345">
        <v>0</v>
      </c>
      <c r="G60" s="337"/>
    </row>
    <row r="61" spans="1:7" s="338" customFormat="1" x14ac:dyDescent="0.3">
      <c r="A61" s="187">
        <v>27</v>
      </c>
      <c r="B61" s="334">
        <v>13010301</v>
      </c>
      <c r="C61" s="184" t="s">
        <v>2653</v>
      </c>
      <c r="D61" s="182">
        <v>78976530</v>
      </c>
      <c r="E61" s="312"/>
      <c r="F61" s="182">
        <v>78976530</v>
      </c>
      <c r="G61" s="337"/>
    </row>
    <row r="62" spans="1:7" s="338" customFormat="1" x14ac:dyDescent="0.3">
      <c r="A62" s="187">
        <v>28</v>
      </c>
      <c r="B62" s="334">
        <v>13010301</v>
      </c>
      <c r="C62" s="184" t="s">
        <v>2654</v>
      </c>
      <c r="D62" s="182">
        <v>276417855</v>
      </c>
      <c r="E62" s="312"/>
      <c r="F62" s="182">
        <v>276417855</v>
      </c>
      <c r="G62" s="337"/>
    </row>
    <row r="63" spans="1:7" s="338" customFormat="1" x14ac:dyDescent="0.3">
      <c r="A63" s="187">
        <v>29</v>
      </c>
      <c r="B63" s="334">
        <v>13010301</v>
      </c>
      <c r="C63" s="735" t="s">
        <v>640</v>
      </c>
      <c r="D63" s="182">
        <v>39488265</v>
      </c>
      <c r="E63" s="312"/>
      <c r="F63" s="182">
        <v>39488265</v>
      </c>
      <c r="G63" s="337"/>
    </row>
    <row r="64" spans="1:7" s="338" customFormat="1" x14ac:dyDescent="0.3">
      <c r="A64" s="187">
        <v>30</v>
      </c>
      <c r="B64" s="334">
        <v>13010301</v>
      </c>
      <c r="C64" s="735" t="s">
        <v>3248</v>
      </c>
      <c r="D64" s="182"/>
      <c r="E64" s="312"/>
      <c r="F64" s="743">
        <v>0</v>
      </c>
      <c r="G64" s="337"/>
    </row>
    <row r="65" spans="1:7" s="338" customFormat="1" x14ac:dyDescent="0.3">
      <c r="A65" s="187">
        <v>31</v>
      </c>
      <c r="B65" s="334">
        <v>13010301</v>
      </c>
      <c r="C65" s="735" t="s">
        <v>3014</v>
      </c>
      <c r="D65" s="182"/>
      <c r="E65" s="312"/>
      <c r="F65" s="708">
        <v>650000000</v>
      </c>
      <c r="G65" s="337"/>
    </row>
    <row r="66" spans="1:7" s="338" customFormat="1" x14ac:dyDescent="0.3">
      <c r="A66" s="187">
        <v>32</v>
      </c>
      <c r="B66" s="334">
        <v>13010301</v>
      </c>
      <c r="C66" s="735" t="s">
        <v>3117</v>
      </c>
      <c r="D66" s="182"/>
      <c r="E66" s="312"/>
      <c r="F66" s="182">
        <v>34000000</v>
      </c>
      <c r="G66" s="337"/>
    </row>
    <row r="67" spans="1:7" ht="41.25" thickBot="1" x14ac:dyDescent="0.35">
      <c r="A67" s="187">
        <v>32</v>
      </c>
      <c r="B67" s="334">
        <v>13010301</v>
      </c>
      <c r="C67" s="153" t="s">
        <v>3053</v>
      </c>
      <c r="D67" s="346"/>
      <c r="E67" s="711"/>
      <c r="F67" s="710">
        <v>25000000</v>
      </c>
    </row>
    <row r="68" spans="1:7" s="338" customFormat="1" ht="21" thickBot="1" x14ac:dyDescent="0.35">
      <c r="A68" s="1903"/>
      <c r="B68" s="347" t="s">
        <v>243</v>
      </c>
      <c r="C68" s="348"/>
      <c r="D68" s="712">
        <f>SUM(D35:D63)</f>
        <v>10538108874</v>
      </c>
      <c r="E68" s="712">
        <f>SUM(E35:E63)</f>
        <v>5376429571.9799995</v>
      </c>
      <c r="F68" s="712">
        <f>SUM(F35:F67)</f>
        <v>15787021834</v>
      </c>
      <c r="G68" s="337"/>
    </row>
    <row r="69" spans="1:7" ht="21" thickBot="1" x14ac:dyDescent="0.35">
      <c r="A69" s="349"/>
      <c r="B69" s="320"/>
      <c r="C69" s="350"/>
      <c r="D69" s="351"/>
      <c r="E69" s="351"/>
      <c r="F69" s="352"/>
      <c r="G69" s="327"/>
    </row>
    <row r="70" spans="1:7" ht="61.5" thickBot="1" x14ac:dyDescent="0.35">
      <c r="A70" s="297" t="s">
        <v>94</v>
      </c>
      <c r="B70" s="298" t="s">
        <v>1</v>
      </c>
      <c r="C70" s="299" t="s">
        <v>991</v>
      </c>
      <c r="D70" s="213" t="s">
        <v>1174</v>
      </c>
      <c r="E70" s="300" t="s">
        <v>1145</v>
      </c>
      <c r="F70" s="173" t="s">
        <v>3098</v>
      </c>
    </row>
    <row r="71" spans="1:7" x14ac:dyDescent="0.3">
      <c r="A71" s="328"/>
      <c r="B71" s="329">
        <v>13020401</v>
      </c>
      <c r="C71" s="330" t="s">
        <v>1003</v>
      </c>
      <c r="D71" s="332"/>
      <c r="E71" s="332"/>
      <c r="F71" s="353"/>
      <c r="G71" s="327"/>
    </row>
    <row r="72" spans="1:7" x14ac:dyDescent="0.3">
      <c r="A72" s="187">
        <v>1</v>
      </c>
      <c r="B72" s="187">
        <v>13020401</v>
      </c>
      <c r="C72" s="454" t="s">
        <v>3249</v>
      </c>
      <c r="D72" s="175">
        <v>535331870</v>
      </c>
      <c r="E72" s="354">
        <v>534431370</v>
      </c>
      <c r="F72" s="181">
        <v>535331870</v>
      </c>
      <c r="G72" s="327"/>
    </row>
    <row r="73" spans="1:7" x14ac:dyDescent="0.3">
      <c r="A73" s="187">
        <v>2</v>
      </c>
      <c r="B73" s="187">
        <v>13020401</v>
      </c>
      <c r="C73" s="454" t="s">
        <v>3106</v>
      </c>
      <c r="D73" s="175">
        <v>250000000</v>
      </c>
      <c r="E73" s="340"/>
      <c r="F73" s="355">
        <v>0</v>
      </c>
      <c r="G73" s="327"/>
    </row>
    <row r="74" spans="1:7" x14ac:dyDescent="0.3">
      <c r="A74" s="187">
        <v>3</v>
      </c>
      <c r="B74" s="187">
        <v>13020401</v>
      </c>
      <c r="C74" s="454" t="s">
        <v>3250</v>
      </c>
      <c r="D74" s="175">
        <v>102750500</v>
      </c>
      <c r="E74" s="340"/>
      <c r="F74" s="355">
        <v>0</v>
      </c>
      <c r="G74" s="327"/>
    </row>
    <row r="75" spans="1:7" x14ac:dyDescent="0.3">
      <c r="A75" s="187">
        <v>4</v>
      </c>
      <c r="B75" s="187">
        <v>13020401</v>
      </c>
      <c r="C75" s="454" t="s">
        <v>3107</v>
      </c>
      <c r="D75" s="175">
        <v>143602295</v>
      </c>
      <c r="E75" s="340"/>
      <c r="F75" s="355">
        <v>0</v>
      </c>
      <c r="G75" s="327"/>
    </row>
    <row r="76" spans="1:7" x14ac:dyDescent="0.3">
      <c r="A76" s="187">
        <v>5</v>
      </c>
      <c r="B76" s="187">
        <v>13020401</v>
      </c>
      <c r="C76" s="454" t="s">
        <v>3108</v>
      </c>
      <c r="D76" s="175">
        <v>93007480</v>
      </c>
      <c r="E76" s="340"/>
      <c r="F76" s="181">
        <v>93007480</v>
      </c>
      <c r="G76" s="327"/>
    </row>
    <row r="77" spans="1:7" x14ac:dyDescent="0.3">
      <c r="A77" s="187">
        <v>6</v>
      </c>
      <c r="B77" s="187">
        <v>13020401</v>
      </c>
      <c r="C77" s="454" t="s">
        <v>3109</v>
      </c>
      <c r="D77" s="175">
        <v>2500000000</v>
      </c>
      <c r="E77" s="181">
        <v>17935684</v>
      </c>
      <c r="F77" s="181">
        <v>48938406</v>
      </c>
      <c r="G77" s="327"/>
    </row>
    <row r="78" spans="1:7" x14ac:dyDescent="0.3">
      <c r="A78" s="187">
        <v>7</v>
      </c>
      <c r="B78" s="187">
        <v>13020401</v>
      </c>
      <c r="C78" s="454" t="s">
        <v>3110</v>
      </c>
      <c r="D78" s="175">
        <v>213963991</v>
      </c>
      <c r="E78" s="181">
        <v>213963991</v>
      </c>
      <c r="F78" s="355">
        <v>0</v>
      </c>
      <c r="G78" s="327"/>
    </row>
    <row r="79" spans="1:7" s="338" customFormat="1" x14ac:dyDescent="0.3">
      <c r="A79" s="187">
        <v>8</v>
      </c>
      <c r="B79" s="187">
        <v>13020401</v>
      </c>
      <c r="C79" s="356" t="s">
        <v>3251</v>
      </c>
      <c r="D79" s="181">
        <v>599099135</v>
      </c>
      <c r="E79" s="343">
        <v>599099135</v>
      </c>
      <c r="F79" s="181">
        <v>813063126</v>
      </c>
      <c r="G79" s="337"/>
    </row>
    <row r="80" spans="1:7" x14ac:dyDescent="0.3">
      <c r="A80" s="187">
        <v>9</v>
      </c>
      <c r="B80" s="187">
        <v>13020401</v>
      </c>
      <c r="C80" s="454" t="s">
        <v>620</v>
      </c>
      <c r="D80" s="175">
        <v>668988865</v>
      </c>
      <c r="E80" s="354">
        <v>102096310</v>
      </c>
      <c r="F80" s="181">
        <v>668988865</v>
      </c>
      <c r="G80" s="327"/>
    </row>
    <row r="81" spans="1:7" x14ac:dyDescent="0.3">
      <c r="A81" s="187">
        <v>10</v>
      </c>
      <c r="B81" s="187">
        <v>13020401</v>
      </c>
      <c r="C81" s="494" t="s">
        <v>3111</v>
      </c>
      <c r="D81" s="357">
        <v>11356100</v>
      </c>
      <c r="E81" s="188"/>
      <c r="F81" s="313">
        <v>11356100</v>
      </c>
      <c r="G81" s="327"/>
    </row>
    <row r="82" spans="1:7" x14ac:dyDescent="0.3">
      <c r="A82" s="187">
        <v>11</v>
      </c>
      <c r="B82" s="187">
        <v>13020401</v>
      </c>
      <c r="C82" s="454" t="s">
        <v>3112</v>
      </c>
      <c r="D82" s="175">
        <v>113745430</v>
      </c>
      <c r="E82" s="354">
        <v>1072640000</v>
      </c>
      <c r="F82" s="181">
        <v>450000000</v>
      </c>
      <c r="G82" s="327"/>
    </row>
    <row r="83" spans="1:7" x14ac:dyDescent="0.3">
      <c r="A83" s="187">
        <v>12</v>
      </c>
      <c r="B83" s="187">
        <v>13020401</v>
      </c>
      <c r="C83" s="454" t="s">
        <v>3252</v>
      </c>
      <c r="D83" s="175"/>
      <c r="E83" s="354"/>
      <c r="F83" s="181">
        <v>650000000</v>
      </c>
      <c r="G83" s="327"/>
    </row>
    <row r="84" spans="1:7" x14ac:dyDescent="0.3">
      <c r="A84" s="187">
        <v>13</v>
      </c>
      <c r="B84" s="187">
        <v>13020401</v>
      </c>
      <c r="C84" s="454" t="s">
        <v>3253</v>
      </c>
      <c r="D84" s="175">
        <v>343373100</v>
      </c>
      <c r="E84" s="340"/>
      <c r="F84" s="181">
        <v>343373100</v>
      </c>
      <c r="G84" s="327"/>
    </row>
    <row r="85" spans="1:7" x14ac:dyDescent="0.3">
      <c r="A85" s="187">
        <v>14</v>
      </c>
      <c r="B85" s="187">
        <v>13020401</v>
      </c>
      <c r="C85" s="454" t="s">
        <v>3113</v>
      </c>
      <c r="D85" s="175">
        <v>1600000000</v>
      </c>
      <c r="E85" s="354">
        <v>1140000000</v>
      </c>
      <c r="F85" s="181">
        <v>1140000000</v>
      </c>
      <c r="G85" s="327"/>
    </row>
    <row r="86" spans="1:7" x14ac:dyDescent="0.3">
      <c r="A86" s="187">
        <v>15</v>
      </c>
      <c r="B86" s="187">
        <v>13020401</v>
      </c>
      <c r="C86" s="454" t="s">
        <v>3114</v>
      </c>
      <c r="D86" s="175">
        <v>500000000</v>
      </c>
      <c r="E86" s="340"/>
      <c r="F86" s="355">
        <v>0</v>
      </c>
      <c r="G86" s="327"/>
    </row>
    <row r="87" spans="1:7" x14ac:dyDescent="0.3">
      <c r="A87" s="187">
        <v>16</v>
      </c>
      <c r="B87" s="187">
        <v>13020401</v>
      </c>
      <c r="C87" s="454" t="s">
        <v>3254</v>
      </c>
      <c r="D87" s="175">
        <v>3258925000</v>
      </c>
      <c r="E87" s="354">
        <v>182896880</v>
      </c>
      <c r="F87" s="181">
        <v>1204670268</v>
      </c>
      <c r="G87" s="327"/>
    </row>
    <row r="88" spans="1:7" x14ac:dyDescent="0.3">
      <c r="A88" s="187">
        <v>17</v>
      </c>
      <c r="B88" s="187">
        <v>13020401</v>
      </c>
      <c r="C88" s="454" t="s">
        <v>3115</v>
      </c>
      <c r="D88" s="175">
        <v>650000000</v>
      </c>
      <c r="E88" s="354">
        <v>150000000</v>
      </c>
      <c r="F88" s="181">
        <v>650000000</v>
      </c>
      <c r="G88" s="327"/>
    </row>
    <row r="89" spans="1:7" x14ac:dyDescent="0.3">
      <c r="A89" s="187">
        <v>18</v>
      </c>
      <c r="B89" s="187">
        <v>13020401</v>
      </c>
      <c r="C89" s="454" t="s">
        <v>3255</v>
      </c>
      <c r="D89" s="175">
        <v>237500000</v>
      </c>
      <c r="E89" s="340"/>
      <c r="F89" s="181">
        <v>213907597</v>
      </c>
      <c r="G89" s="327"/>
    </row>
    <row r="90" spans="1:7" x14ac:dyDescent="0.3">
      <c r="A90" s="187">
        <v>19</v>
      </c>
      <c r="B90" s="187">
        <v>13020401</v>
      </c>
      <c r="C90" s="454" t="s">
        <v>3116</v>
      </c>
      <c r="D90" s="340"/>
      <c r="E90" s="340"/>
      <c r="F90" s="181">
        <v>1500000000</v>
      </c>
      <c r="G90" s="327"/>
    </row>
    <row r="91" spans="1:7" x14ac:dyDescent="0.3">
      <c r="A91" s="187">
        <v>20</v>
      </c>
      <c r="B91" s="187">
        <v>13020401</v>
      </c>
      <c r="C91" s="454" t="s">
        <v>3256</v>
      </c>
      <c r="D91" s="181">
        <v>3600000000</v>
      </c>
      <c r="E91" s="340"/>
      <c r="F91" s="181">
        <v>4783456553</v>
      </c>
    </row>
    <row r="92" spans="1:7" x14ac:dyDescent="0.3">
      <c r="A92" s="187">
        <v>21</v>
      </c>
      <c r="B92" s="187">
        <v>13020401</v>
      </c>
      <c r="C92" s="454" t="s">
        <v>3257</v>
      </c>
      <c r="D92" s="175">
        <v>600000000</v>
      </c>
      <c r="E92" s="354">
        <v>365312855.89999998</v>
      </c>
      <c r="F92" s="355">
        <v>0</v>
      </c>
    </row>
    <row r="93" spans="1:7" x14ac:dyDescent="0.3">
      <c r="A93" s="187">
        <v>22</v>
      </c>
      <c r="B93" s="187">
        <v>13020401</v>
      </c>
      <c r="C93" s="454" t="s">
        <v>3258</v>
      </c>
      <c r="D93" s="175"/>
      <c r="E93" s="354"/>
      <c r="F93" s="181">
        <v>1000000000</v>
      </c>
    </row>
    <row r="94" spans="1:7" x14ac:dyDescent="0.3">
      <c r="A94" s="187">
        <v>23</v>
      </c>
      <c r="B94" s="187">
        <v>13020401</v>
      </c>
      <c r="C94" s="454" t="s">
        <v>3259</v>
      </c>
      <c r="D94" s="175"/>
      <c r="E94" s="354"/>
      <c r="F94" s="181">
        <v>1000000000</v>
      </c>
    </row>
    <row r="95" spans="1:7" s="338" customFormat="1" x14ac:dyDescent="0.3">
      <c r="A95" s="187">
        <v>24</v>
      </c>
      <c r="B95" s="187">
        <v>13020401</v>
      </c>
      <c r="C95" s="1854" t="s">
        <v>3260</v>
      </c>
      <c r="D95" s="181"/>
      <c r="E95" s="343"/>
      <c r="F95" s="181">
        <v>1500000000</v>
      </c>
      <c r="G95" s="337"/>
    </row>
    <row r="96" spans="1:7" x14ac:dyDescent="0.3">
      <c r="A96" s="187">
        <v>25</v>
      </c>
      <c r="B96" s="187">
        <v>13020401</v>
      </c>
      <c r="C96" s="454" t="s">
        <v>3261</v>
      </c>
      <c r="D96" s="175">
        <v>25000000</v>
      </c>
      <c r="E96" s="340"/>
      <c r="F96" s="181">
        <v>25000000</v>
      </c>
    </row>
    <row r="97" spans="1:6" x14ac:dyDescent="0.3">
      <c r="A97" s="187">
        <v>26</v>
      </c>
      <c r="B97" s="187">
        <v>13020401</v>
      </c>
      <c r="C97" s="454" t="s">
        <v>3262</v>
      </c>
      <c r="D97" s="175"/>
      <c r="E97" s="354"/>
      <c r="F97" s="181">
        <v>1000000000</v>
      </c>
    </row>
    <row r="98" spans="1:6" x14ac:dyDescent="0.3">
      <c r="A98" s="187">
        <v>27</v>
      </c>
      <c r="B98" s="187">
        <v>13020401</v>
      </c>
      <c r="C98" s="1856" t="s">
        <v>3263</v>
      </c>
      <c r="D98" s="181">
        <v>4608000000</v>
      </c>
      <c r="E98" s="343">
        <v>540000000</v>
      </c>
      <c r="F98" s="181">
        <v>8747000000</v>
      </c>
    </row>
    <row r="99" spans="1:6" x14ac:dyDescent="0.3">
      <c r="A99" s="187">
        <v>28</v>
      </c>
      <c r="B99" s="187">
        <v>13020401</v>
      </c>
      <c r="C99" s="1855" t="s">
        <v>3264</v>
      </c>
      <c r="D99" s="181"/>
      <c r="E99" s="343"/>
      <c r="F99" s="355">
        <v>0</v>
      </c>
    </row>
    <row r="100" spans="1:6" x14ac:dyDescent="0.3">
      <c r="A100" s="187">
        <v>29</v>
      </c>
      <c r="B100" s="657">
        <v>13020401</v>
      </c>
      <c r="C100" s="1857" t="s">
        <v>3265</v>
      </c>
      <c r="D100" s="629"/>
      <c r="E100" s="630"/>
      <c r="F100" s="658">
        <v>0</v>
      </c>
    </row>
    <row r="101" spans="1:6" x14ac:dyDescent="0.3">
      <c r="A101" s="187">
        <v>30</v>
      </c>
      <c r="B101" s="657">
        <v>13020401</v>
      </c>
      <c r="C101" s="1857" t="s">
        <v>3105</v>
      </c>
      <c r="D101" s="181"/>
      <c r="E101" s="343"/>
      <c r="F101" s="364">
        <v>1785000000</v>
      </c>
    </row>
    <row r="102" spans="1:6" ht="21" thickBot="1" x14ac:dyDescent="0.35">
      <c r="A102" s="187">
        <v>31</v>
      </c>
      <c r="B102" s="657">
        <v>13020401</v>
      </c>
      <c r="C102" s="1857" t="s">
        <v>3266</v>
      </c>
      <c r="D102" s="364"/>
      <c r="E102" s="1841"/>
      <c r="F102" s="364">
        <v>0</v>
      </c>
    </row>
    <row r="103" spans="1:6" s="360" customFormat="1" ht="21" thickBot="1" x14ac:dyDescent="0.35">
      <c r="A103" s="358"/>
      <c r="B103" s="301" t="s">
        <v>243</v>
      </c>
      <c r="C103" s="359"/>
      <c r="D103" s="1900">
        <f>SUM(D72:D99)</f>
        <v>20654643766</v>
      </c>
      <c r="E103" s="1901">
        <f>SUM(E72:E99)</f>
        <v>4918376225.8999996</v>
      </c>
      <c r="F103" s="1902">
        <f>SUM(F72:F102)</f>
        <v>28163093365</v>
      </c>
    </row>
    <row r="104" spans="1:6" s="661" customFormat="1" x14ac:dyDescent="0.3">
      <c r="A104" s="729"/>
      <c r="B104" s="374"/>
      <c r="C104" s="659"/>
      <c r="D104" s="660"/>
      <c r="E104" s="660"/>
      <c r="F104" s="660"/>
    </row>
    <row r="105" spans="1:6" s="661" customFormat="1" x14ac:dyDescent="0.3">
      <c r="A105" s="729"/>
      <c r="B105" s="374"/>
      <c r="C105" s="659"/>
      <c r="D105" s="660"/>
      <c r="E105" s="660"/>
      <c r="F105" s="660"/>
    </row>
    <row r="106" spans="1:6" s="378" customFormat="1" ht="21" thickBot="1" x14ac:dyDescent="0.35">
      <c r="A106" s="373"/>
      <c r="B106" s="374"/>
      <c r="C106" s="350"/>
      <c r="D106" s="352"/>
      <c r="E106" s="352"/>
      <c r="F106" s="352"/>
    </row>
    <row r="107" spans="1:6" ht="21" thickBot="1" x14ac:dyDescent="0.35">
      <c r="A107" s="662"/>
      <c r="B107" s="540">
        <v>14030100</v>
      </c>
      <c r="C107" s="663" t="s">
        <v>1004</v>
      </c>
      <c r="D107" s="367"/>
      <c r="E107" s="367"/>
      <c r="F107" s="368"/>
    </row>
    <row r="108" spans="1:6" ht="61.5" thickBot="1" x14ac:dyDescent="0.35">
      <c r="A108" s="297" t="s">
        <v>94</v>
      </c>
      <c r="B108" s="298" t="s">
        <v>1</v>
      </c>
      <c r="C108" s="299" t="s">
        <v>991</v>
      </c>
      <c r="D108" s="213" t="s">
        <v>1174</v>
      </c>
      <c r="E108" s="300" t="s">
        <v>1145</v>
      </c>
      <c r="F108" s="173" t="s">
        <v>3098</v>
      </c>
    </row>
    <row r="109" spans="1:6" x14ac:dyDescent="0.3">
      <c r="A109" s="317">
        <v>1</v>
      </c>
      <c r="B109" s="293">
        <v>14030201</v>
      </c>
      <c r="C109" s="362" t="s">
        <v>2419</v>
      </c>
      <c r="D109" s="353">
        <v>2000000000</v>
      </c>
      <c r="E109" s="353">
        <v>0</v>
      </c>
      <c r="F109" s="363">
        <v>0</v>
      </c>
    </row>
    <row r="110" spans="1:6" ht="21" thickBot="1" x14ac:dyDescent="0.35">
      <c r="A110" s="293">
        <v>3</v>
      </c>
      <c r="B110" s="293">
        <v>14030201</v>
      </c>
      <c r="C110" s="189" t="s">
        <v>2441</v>
      </c>
      <c r="D110" s="364">
        <v>3551911249</v>
      </c>
      <c r="E110" s="364">
        <v>0</v>
      </c>
      <c r="F110" s="364">
        <v>50000000000</v>
      </c>
    </row>
    <row r="111" spans="1:6" ht="21" thickBot="1" x14ac:dyDescent="0.35">
      <c r="A111" s="293"/>
      <c r="B111" s="301" t="s">
        <v>243</v>
      </c>
      <c r="C111" s="365"/>
      <c r="D111" s="366">
        <f>SUM(D109:D110)</f>
        <v>5551911249</v>
      </c>
      <c r="E111" s="367">
        <f>SUM(E109:E110)</f>
        <v>0</v>
      </c>
      <c r="F111" s="368">
        <f>SUM(F109:F110)</f>
        <v>50000000000</v>
      </c>
    </row>
    <row r="112" spans="1:6" x14ac:dyDescent="0.3">
      <c r="A112" s="293"/>
      <c r="B112" s="301"/>
      <c r="C112" s="189"/>
      <c r="D112" s="333"/>
      <c r="E112" s="333"/>
      <c r="F112" s="333"/>
    </row>
    <row r="113" spans="1:6" x14ac:dyDescent="0.3">
      <c r="A113" s="293"/>
      <c r="B113" s="301"/>
      <c r="C113" s="189"/>
      <c r="D113" s="321"/>
      <c r="E113" s="321"/>
      <c r="F113" s="321"/>
    </row>
    <row r="114" spans="1:6" ht="21" thickBot="1" x14ac:dyDescent="0.35">
      <c r="A114" s="293"/>
      <c r="B114" s="301">
        <v>14030200</v>
      </c>
      <c r="C114" s="369" t="s">
        <v>1005</v>
      </c>
      <c r="D114" s="321"/>
      <c r="E114" s="321"/>
      <c r="F114" s="321"/>
    </row>
    <row r="115" spans="1:6" ht="61.5" thickBot="1" x14ac:dyDescent="0.35">
      <c r="A115" s="297" t="s">
        <v>94</v>
      </c>
      <c r="B115" s="298" t="s">
        <v>1</v>
      </c>
      <c r="C115" s="299" t="s">
        <v>991</v>
      </c>
      <c r="D115" s="213" t="s">
        <v>1174</v>
      </c>
      <c r="E115" s="300" t="s">
        <v>1145</v>
      </c>
      <c r="F115" s="173" t="s">
        <v>3098</v>
      </c>
    </row>
    <row r="116" spans="1:6" x14ac:dyDescent="0.3">
      <c r="A116" s="293">
        <v>1</v>
      </c>
      <c r="B116" s="293">
        <v>14030201</v>
      </c>
      <c r="C116" s="189" t="s">
        <v>992</v>
      </c>
      <c r="D116" s="181">
        <v>9336703905</v>
      </c>
      <c r="E116" s="181"/>
      <c r="F116" s="345">
        <v>0</v>
      </c>
    </row>
    <row r="117" spans="1:6" x14ac:dyDescent="0.3">
      <c r="A117" s="293">
        <v>2</v>
      </c>
      <c r="B117" s="293">
        <v>14030203</v>
      </c>
      <c r="C117" s="189" t="s">
        <v>993</v>
      </c>
      <c r="D117" s="181">
        <v>1204670268</v>
      </c>
      <c r="E117" s="181"/>
      <c r="F117" s="182">
        <v>1204670268</v>
      </c>
    </row>
    <row r="118" spans="1:6" x14ac:dyDescent="0.3">
      <c r="A118" s="293">
        <v>3</v>
      </c>
      <c r="B118" s="293">
        <v>14030203</v>
      </c>
      <c r="C118" s="365" t="s">
        <v>994</v>
      </c>
      <c r="D118" s="181">
        <v>20000000000</v>
      </c>
      <c r="E118" s="181"/>
      <c r="F118" s="182">
        <v>16043549088</v>
      </c>
    </row>
    <row r="119" spans="1:6" ht="21" thickBot="1" x14ac:dyDescent="0.35">
      <c r="A119" s="293">
        <v>4</v>
      </c>
      <c r="B119" s="293">
        <v>14030203</v>
      </c>
      <c r="C119" s="365" t="s">
        <v>995</v>
      </c>
      <c r="D119" s="370">
        <v>1250000000</v>
      </c>
      <c r="E119" s="193"/>
      <c r="F119" s="371">
        <v>1250000000</v>
      </c>
    </row>
    <row r="120" spans="1:6" ht="21" thickBot="1" x14ac:dyDescent="0.35">
      <c r="A120" s="293"/>
      <c r="B120" s="320" t="s">
        <v>243</v>
      </c>
      <c r="C120" s="189"/>
      <c r="D120" s="366">
        <f>SUM(D116:D119)</f>
        <v>31791374173</v>
      </c>
      <c r="E120" s="367"/>
      <c r="F120" s="372">
        <f>SUM(F116:F119)</f>
        <v>18498219356</v>
      </c>
    </row>
    <row r="121" spans="1:6" ht="21" thickBot="1" x14ac:dyDescent="0.35">
      <c r="A121" s="293"/>
      <c r="B121" s="293"/>
      <c r="C121" s="189"/>
      <c r="D121" s="361"/>
      <c r="E121" s="361"/>
      <c r="F121" s="361"/>
    </row>
    <row r="122" spans="1:6" ht="21" thickBot="1" x14ac:dyDescent="0.35">
      <c r="A122" s="293">
        <v>1</v>
      </c>
      <c r="B122" s="301">
        <v>14010101</v>
      </c>
      <c r="C122" s="359" t="s">
        <v>95</v>
      </c>
      <c r="D122" s="366">
        <v>5000000000</v>
      </c>
      <c r="E122" s="366"/>
      <c r="F122" s="368">
        <v>5000000000</v>
      </c>
    </row>
    <row r="123" spans="1:6" s="378" customFormat="1" x14ac:dyDescent="0.3">
      <c r="A123" s="373"/>
      <c r="B123" s="374"/>
      <c r="C123" s="375"/>
      <c r="D123" s="376"/>
      <c r="E123" s="377"/>
      <c r="F123" s="376"/>
    </row>
    <row r="124" spans="1:6" s="378" customFormat="1" x14ac:dyDescent="0.3">
      <c r="A124" s="373"/>
      <c r="B124" s="374"/>
      <c r="C124" s="375"/>
      <c r="D124" s="376"/>
      <c r="E124" s="377"/>
      <c r="F124" s="376"/>
    </row>
    <row r="125" spans="1:6" ht="21" thickBot="1" x14ac:dyDescent="0.35">
      <c r="A125" s="193"/>
      <c r="B125" s="318"/>
      <c r="C125" s="379" t="s">
        <v>1065</v>
      </c>
      <c r="D125" s="306"/>
      <c r="E125" s="296"/>
      <c r="F125" s="295"/>
    </row>
    <row r="126" spans="1:6" ht="61.5" thickBot="1" x14ac:dyDescent="0.35">
      <c r="A126" s="297" t="s">
        <v>94</v>
      </c>
      <c r="B126" s="298" t="s">
        <v>1</v>
      </c>
      <c r="C126" s="299" t="s">
        <v>991</v>
      </c>
      <c r="D126" s="213" t="s">
        <v>1174</v>
      </c>
      <c r="E126" s="300" t="s">
        <v>1145</v>
      </c>
      <c r="F126" s="173" t="s">
        <v>3098</v>
      </c>
    </row>
    <row r="127" spans="1:6" x14ac:dyDescent="0.3">
      <c r="A127" s="317">
        <v>1</v>
      </c>
      <c r="B127" s="317">
        <v>12010101</v>
      </c>
      <c r="C127" s="477" t="s">
        <v>2100</v>
      </c>
      <c r="D127" s="353">
        <v>7500000000</v>
      </c>
      <c r="E127" s="380">
        <v>5214655128.6899996</v>
      </c>
      <c r="F127" s="381">
        <v>9000000000</v>
      </c>
    </row>
    <row r="128" spans="1:6" x14ac:dyDescent="0.3">
      <c r="A128" s="293">
        <v>2</v>
      </c>
      <c r="B128" s="293">
        <v>12010109</v>
      </c>
      <c r="C128" s="454" t="s">
        <v>2481</v>
      </c>
      <c r="D128" s="181">
        <v>600000000</v>
      </c>
      <c r="E128" s="380">
        <v>127080903.8</v>
      </c>
      <c r="F128" s="381">
        <v>700000000</v>
      </c>
    </row>
    <row r="129" spans="1:6" x14ac:dyDescent="0.3">
      <c r="A129" s="293">
        <v>3</v>
      </c>
      <c r="B129" s="293">
        <v>12010109</v>
      </c>
      <c r="C129" s="454" t="s">
        <v>2480</v>
      </c>
      <c r="D129" s="181"/>
      <c r="E129" s="380"/>
      <c r="F129" s="381">
        <v>300000000</v>
      </c>
    </row>
    <row r="130" spans="1:6" x14ac:dyDescent="0.3">
      <c r="A130" s="293">
        <v>4</v>
      </c>
      <c r="B130" s="293">
        <v>12010109</v>
      </c>
      <c r="C130" s="454" t="s">
        <v>2101</v>
      </c>
      <c r="D130" s="344">
        <v>15000000</v>
      </c>
      <c r="E130" s="380">
        <v>24999610.309999999</v>
      </c>
      <c r="F130" s="381">
        <v>50000000</v>
      </c>
    </row>
    <row r="131" spans="1:6" s="316" customFormat="1" x14ac:dyDescent="0.3">
      <c r="A131" s="293">
        <v>5</v>
      </c>
      <c r="B131" s="187">
        <v>12010109</v>
      </c>
      <c r="C131" s="454" t="s">
        <v>2479</v>
      </c>
      <c r="D131" s="344">
        <v>300000000</v>
      </c>
      <c r="E131" s="380">
        <v>3395700373.3400002</v>
      </c>
      <c r="F131" s="381">
        <v>2000000000</v>
      </c>
    </row>
    <row r="132" spans="1:6" x14ac:dyDescent="0.3">
      <c r="A132" s="293">
        <v>6</v>
      </c>
      <c r="B132" s="293">
        <v>12010109</v>
      </c>
      <c r="C132" s="454" t="s">
        <v>2478</v>
      </c>
      <c r="D132" s="344">
        <v>500000000</v>
      </c>
      <c r="E132" s="380">
        <v>0</v>
      </c>
      <c r="F132" s="381">
        <v>1500000000</v>
      </c>
    </row>
    <row r="133" spans="1:6" x14ac:dyDescent="0.3">
      <c r="A133" s="293">
        <v>7</v>
      </c>
      <c r="B133" s="293">
        <v>12020132</v>
      </c>
      <c r="C133" s="454" t="s">
        <v>247</v>
      </c>
      <c r="D133" s="344">
        <v>60000000</v>
      </c>
      <c r="E133" s="380">
        <v>14123150</v>
      </c>
      <c r="F133" s="381">
        <v>200000000</v>
      </c>
    </row>
    <row r="134" spans="1:6" x14ac:dyDescent="0.3">
      <c r="A134" s="293">
        <v>8</v>
      </c>
      <c r="B134" s="293">
        <v>12020132</v>
      </c>
      <c r="C134" s="454" t="s">
        <v>248</v>
      </c>
      <c r="D134" s="344">
        <v>20000000</v>
      </c>
      <c r="E134" s="380">
        <v>8968900.6199999992</v>
      </c>
      <c r="F134" s="381">
        <v>50000000</v>
      </c>
    </row>
    <row r="135" spans="1:6" x14ac:dyDescent="0.3">
      <c r="A135" s="293">
        <v>9</v>
      </c>
      <c r="B135" s="293">
        <v>12020132</v>
      </c>
      <c r="C135" s="454" t="s">
        <v>249</v>
      </c>
      <c r="D135" s="344">
        <v>10000000</v>
      </c>
      <c r="E135" s="380">
        <v>3049557.5</v>
      </c>
      <c r="F135" s="381">
        <v>50000000</v>
      </c>
    </row>
    <row r="136" spans="1:6" x14ac:dyDescent="0.3">
      <c r="A136" s="293">
        <v>10</v>
      </c>
      <c r="B136" s="293">
        <v>12010104</v>
      </c>
      <c r="C136" s="454" t="s">
        <v>664</v>
      </c>
      <c r="D136" s="344">
        <v>15000000</v>
      </c>
      <c r="E136" s="380">
        <v>5181289.62</v>
      </c>
      <c r="F136" s="381">
        <v>100000000</v>
      </c>
    </row>
    <row r="137" spans="1:6" x14ac:dyDescent="0.3">
      <c r="A137" s="293">
        <v>11</v>
      </c>
      <c r="B137" s="293">
        <v>12010109</v>
      </c>
      <c r="C137" s="454" t="s">
        <v>665</v>
      </c>
      <c r="D137" s="344">
        <v>100000000</v>
      </c>
      <c r="E137" s="380">
        <v>21486514.789999999</v>
      </c>
      <c r="F137" s="182">
        <v>300000000</v>
      </c>
    </row>
    <row r="138" spans="1:6" x14ac:dyDescent="0.3">
      <c r="A138" s="293">
        <v>12</v>
      </c>
      <c r="B138" s="293">
        <v>12010109</v>
      </c>
      <c r="C138" s="454" t="s">
        <v>666</v>
      </c>
      <c r="D138" s="344">
        <v>350000000</v>
      </c>
      <c r="E138" s="380">
        <v>158247300.81999999</v>
      </c>
      <c r="F138" s="381">
        <v>500000000</v>
      </c>
    </row>
    <row r="139" spans="1:6" x14ac:dyDescent="0.3">
      <c r="A139" s="293">
        <v>13</v>
      </c>
      <c r="B139" s="293">
        <v>12020132</v>
      </c>
      <c r="C139" s="454" t="s">
        <v>250</v>
      </c>
      <c r="D139" s="344">
        <v>2500000</v>
      </c>
      <c r="E139" s="380">
        <v>572920.01</v>
      </c>
      <c r="F139" s="381">
        <v>5000000</v>
      </c>
    </row>
    <row r="140" spans="1:6" x14ac:dyDescent="0.3">
      <c r="A140" s="293">
        <v>14</v>
      </c>
      <c r="B140" s="293">
        <v>12020132</v>
      </c>
      <c r="C140" s="454" t="s">
        <v>251</v>
      </c>
      <c r="D140" s="344">
        <v>100000000</v>
      </c>
      <c r="E140" s="380">
        <v>24254900</v>
      </c>
      <c r="F140" s="381">
        <v>150000000</v>
      </c>
    </row>
    <row r="141" spans="1:6" x14ac:dyDescent="0.3">
      <c r="A141" s="293">
        <v>15</v>
      </c>
      <c r="B141" s="293">
        <v>12020133</v>
      </c>
      <c r="C141" s="454" t="s">
        <v>2104</v>
      </c>
      <c r="D141" s="344">
        <v>30000000</v>
      </c>
      <c r="E141" s="380">
        <v>13548004.5</v>
      </c>
      <c r="F141" s="381">
        <v>50000000</v>
      </c>
    </row>
    <row r="142" spans="1:6" x14ac:dyDescent="0.3">
      <c r="A142" s="293">
        <v>16</v>
      </c>
      <c r="B142" s="293">
        <v>12020132</v>
      </c>
      <c r="C142" s="454" t="s">
        <v>3100</v>
      </c>
      <c r="D142" s="344">
        <v>50000000</v>
      </c>
      <c r="E142" s="380">
        <v>17752898.879999999</v>
      </c>
      <c r="F142" s="381">
        <v>100000000</v>
      </c>
    </row>
    <row r="143" spans="1:6" x14ac:dyDescent="0.3">
      <c r="A143" s="293">
        <v>17</v>
      </c>
      <c r="B143" s="293">
        <v>12020132</v>
      </c>
      <c r="C143" s="454" t="s">
        <v>2165</v>
      </c>
      <c r="D143" s="344">
        <v>20000000</v>
      </c>
      <c r="E143" s="380">
        <v>6506250</v>
      </c>
      <c r="F143" s="381">
        <v>50000000</v>
      </c>
    </row>
    <row r="144" spans="1:6" x14ac:dyDescent="0.3">
      <c r="A144" s="293">
        <v>18</v>
      </c>
      <c r="B144" s="293">
        <v>12020137</v>
      </c>
      <c r="C144" s="454" t="s">
        <v>2105</v>
      </c>
      <c r="D144" s="344">
        <v>10000000</v>
      </c>
      <c r="E144" s="380">
        <v>54455</v>
      </c>
      <c r="F144" s="381">
        <v>1000000</v>
      </c>
    </row>
    <row r="145" spans="1:6" s="316" customFormat="1" x14ac:dyDescent="0.3">
      <c r="A145" s="293">
        <v>19</v>
      </c>
      <c r="B145" s="293">
        <v>12020137</v>
      </c>
      <c r="C145" s="454" t="s">
        <v>2106</v>
      </c>
      <c r="D145" s="382"/>
      <c r="E145" s="383"/>
      <c r="F145" s="381">
        <v>3000000</v>
      </c>
    </row>
    <row r="146" spans="1:6" s="316" customFormat="1" x14ac:dyDescent="0.3">
      <c r="A146" s="293">
        <v>20</v>
      </c>
      <c r="B146" s="293">
        <v>12020137</v>
      </c>
      <c r="C146" s="454" t="s">
        <v>2107</v>
      </c>
      <c r="D146" s="382"/>
      <c r="E146" s="383"/>
      <c r="F146" s="381">
        <v>1000000</v>
      </c>
    </row>
    <row r="147" spans="1:6" s="316" customFormat="1" x14ac:dyDescent="0.3">
      <c r="A147" s="293">
        <v>21</v>
      </c>
      <c r="B147" s="293">
        <v>12020137</v>
      </c>
      <c r="C147" s="454" t="s">
        <v>2108</v>
      </c>
      <c r="D147" s="382"/>
      <c r="E147" s="383"/>
      <c r="F147" s="381">
        <v>1000000</v>
      </c>
    </row>
    <row r="148" spans="1:6" s="316" customFormat="1" x14ac:dyDescent="0.3">
      <c r="A148" s="293">
        <v>22</v>
      </c>
      <c r="B148" s="293">
        <v>12020137</v>
      </c>
      <c r="C148" s="454" t="s">
        <v>2109</v>
      </c>
      <c r="D148" s="382"/>
      <c r="E148" s="383"/>
      <c r="F148" s="381">
        <v>500000</v>
      </c>
    </row>
    <row r="149" spans="1:6" s="316" customFormat="1" x14ac:dyDescent="0.3">
      <c r="A149" s="293">
        <v>23</v>
      </c>
      <c r="B149" s="293">
        <v>12020137</v>
      </c>
      <c r="C149" s="454" t="s">
        <v>2110</v>
      </c>
      <c r="D149" s="382"/>
      <c r="E149" s="383"/>
      <c r="F149" s="381">
        <v>600000</v>
      </c>
    </row>
    <row r="150" spans="1:6" s="316" customFormat="1" x14ac:dyDescent="0.3">
      <c r="A150" s="293">
        <v>24</v>
      </c>
      <c r="B150" s="187">
        <v>12020417</v>
      </c>
      <c r="C150" s="454" t="s">
        <v>2135</v>
      </c>
      <c r="D150" s="382">
        <v>75000000</v>
      </c>
      <c r="E150" s="383">
        <v>57704738.869999997</v>
      </c>
      <c r="F150" s="384">
        <v>500000000</v>
      </c>
    </row>
    <row r="151" spans="1:6" s="316" customFormat="1" x14ac:dyDescent="0.3">
      <c r="A151" s="293">
        <v>26</v>
      </c>
      <c r="B151" s="187">
        <v>12010106</v>
      </c>
      <c r="C151" s="534" t="s">
        <v>2102</v>
      </c>
      <c r="D151" s="182">
        <v>0</v>
      </c>
      <c r="E151" s="357"/>
      <c r="F151" s="385">
        <v>0</v>
      </c>
    </row>
    <row r="152" spans="1:6" s="316" customFormat="1" ht="21" thickBot="1" x14ac:dyDescent="0.35">
      <c r="A152" s="293">
        <v>27</v>
      </c>
      <c r="B152" s="187">
        <v>12010108</v>
      </c>
      <c r="C152" s="534" t="s">
        <v>2103</v>
      </c>
      <c r="D152" s="346">
        <v>0</v>
      </c>
      <c r="E152" s="386"/>
      <c r="F152" s="387">
        <v>0</v>
      </c>
    </row>
    <row r="153" spans="1:6" ht="21" thickBot="1" x14ac:dyDescent="0.35">
      <c r="A153" s="293"/>
      <c r="B153" s="301" t="s">
        <v>243</v>
      </c>
      <c r="C153" s="195"/>
      <c r="D153" s="388">
        <f>SUM(D127:D152)</f>
        <v>9757500000</v>
      </c>
      <c r="E153" s="309">
        <f>SUM(E127:E152)</f>
        <v>9093886896.7500019</v>
      </c>
      <c r="F153" s="311">
        <f>SUM(F127:F152)</f>
        <v>15612100000</v>
      </c>
    </row>
    <row r="154" spans="1:6" s="378" customFormat="1" x14ac:dyDescent="0.3">
      <c r="B154" s="373"/>
      <c r="C154" s="389"/>
      <c r="D154" s="390"/>
      <c r="E154" s="391"/>
      <c r="F154" s="390"/>
    </row>
    <row r="155" spans="1:6" ht="21" thickBot="1" x14ac:dyDescent="0.35">
      <c r="A155" s="184"/>
      <c r="B155" s="293"/>
      <c r="C155" s="426" t="s">
        <v>2727</v>
      </c>
      <c r="D155" s="295"/>
      <c r="E155" s="296"/>
      <c r="F155" s="295"/>
    </row>
    <row r="156" spans="1:6" ht="61.5" thickBot="1" x14ac:dyDescent="0.35">
      <c r="A156" s="297" t="s">
        <v>94</v>
      </c>
      <c r="B156" s="297" t="s">
        <v>1</v>
      </c>
      <c r="C156" s="298" t="s">
        <v>991</v>
      </c>
      <c r="D156" s="212" t="s">
        <v>1174</v>
      </c>
      <c r="E156" s="300" t="s">
        <v>1145</v>
      </c>
      <c r="F156" s="173" t="s">
        <v>3098</v>
      </c>
    </row>
    <row r="157" spans="1:6" x14ac:dyDescent="0.3">
      <c r="A157" s="293">
        <v>1</v>
      </c>
      <c r="B157" s="293">
        <v>12020417</v>
      </c>
      <c r="C157" s="189" t="s">
        <v>2116</v>
      </c>
      <c r="D157" s="181">
        <v>1000000000</v>
      </c>
      <c r="E157" s="175">
        <v>108085275.34</v>
      </c>
      <c r="F157" s="295">
        <v>1300000000</v>
      </c>
    </row>
    <row r="158" spans="1:6" x14ac:dyDescent="0.3">
      <c r="A158" s="293">
        <v>2</v>
      </c>
      <c r="B158" s="293">
        <v>12020427</v>
      </c>
      <c r="C158" s="189" t="s">
        <v>2117</v>
      </c>
      <c r="D158" s="181"/>
      <c r="E158" s="175"/>
      <c r="F158" s="295">
        <v>100000000</v>
      </c>
    </row>
    <row r="159" spans="1:6" x14ac:dyDescent="0.3">
      <c r="A159" s="293">
        <v>3</v>
      </c>
      <c r="B159" s="293">
        <v>12020427</v>
      </c>
      <c r="C159" s="189" t="s">
        <v>2118</v>
      </c>
      <c r="D159" s="181"/>
      <c r="E159" s="175"/>
      <c r="F159" s="295">
        <v>30000000</v>
      </c>
    </row>
    <row r="160" spans="1:6" x14ac:dyDescent="0.3">
      <c r="A160" s="293">
        <v>4</v>
      </c>
      <c r="B160" s="293">
        <v>12020427</v>
      </c>
      <c r="C160" s="189" t="s">
        <v>2119</v>
      </c>
      <c r="D160" s="181"/>
      <c r="E160" s="175"/>
      <c r="F160" s="295">
        <v>50000000</v>
      </c>
    </row>
    <row r="161" spans="1:6" ht="21" thickBot="1" x14ac:dyDescent="0.35">
      <c r="A161" s="293">
        <v>5</v>
      </c>
      <c r="B161" s="293">
        <v>12020427</v>
      </c>
      <c r="C161" s="189" t="s">
        <v>2201</v>
      </c>
      <c r="D161" s="364"/>
      <c r="E161" s="172"/>
      <c r="F161" s="306">
        <v>20000000</v>
      </c>
    </row>
    <row r="162" spans="1:6" ht="21" thickBot="1" x14ac:dyDescent="0.35">
      <c r="A162" s="293"/>
      <c r="B162" s="301" t="s">
        <v>243</v>
      </c>
      <c r="C162" s="195"/>
      <c r="D162" s="388">
        <f>SUM(D157:D161)</f>
        <v>1000000000</v>
      </c>
      <c r="E162" s="309">
        <f t="shared" ref="E162" si="0">SUM(E157:E161)</f>
        <v>108085275.34</v>
      </c>
      <c r="F162" s="311">
        <f>SUM(F157:F161)</f>
        <v>1500000000</v>
      </c>
    </row>
    <row r="163" spans="1:6" x14ac:dyDescent="0.3">
      <c r="A163" s="293"/>
      <c r="B163" s="301"/>
      <c r="C163" s="196"/>
      <c r="D163" s="392"/>
      <c r="E163" s="393"/>
      <c r="F163" s="392"/>
    </row>
    <row r="164" spans="1:6" ht="21" thickBot="1" x14ac:dyDescent="0.35">
      <c r="A164" s="184"/>
      <c r="B164" s="293"/>
      <c r="C164" s="196" t="s">
        <v>1066</v>
      </c>
      <c r="D164" s="295"/>
      <c r="E164" s="296"/>
      <c r="F164" s="295"/>
    </row>
    <row r="165" spans="1:6" ht="61.5" thickBot="1" x14ac:dyDescent="0.35">
      <c r="A165" s="297" t="s">
        <v>94</v>
      </c>
      <c r="B165" s="297" t="s">
        <v>1</v>
      </c>
      <c r="C165" s="298" t="s">
        <v>991</v>
      </c>
      <c r="D165" s="212" t="s">
        <v>1174</v>
      </c>
      <c r="E165" s="300" t="s">
        <v>1145</v>
      </c>
      <c r="F165" s="173" t="s">
        <v>3098</v>
      </c>
    </row>
    <row r="166" spans="1:6" x14ac:dyDescent="0.3">
      <c r="A166" s="293">
        <v>1</v>
      </c>
      <c r="B166" s="293">
        <v>12020446</v>
      </c>
      <c r="C166" s="454" t="s">
        <v>996</v>
      </c>
      <c r="D166" s="181">
        <v>2000000</v>
      </c>
      <c r="E166" s="175"/>
      <c r="F166" s="181">
        <v>0</v>
      </c>
    </row>
    <row r="167" spans="1:6" x14ac:dyDescent="0.3">
      <c r="A167" s="293">
        <v>2</v>
      </c>
      <c r="B167" s="293">
        <v>12020446</v>
      </c>
      <c r="C167" s="454" t="s">
        <v>997</v>
      </c>
      <c r="D167" s="181">
        <v>15000000</v>
      </c>
      <c r="E167" s="175"/>
      <c r="F167" s="181">
        <v>0</v>
      </c>
    </row>
    <row r="168" spans="1:6" x14ac:dyDescent="0.3">
      <c r="A168" s="293">
        <v>3</v>
      </c>
      <c r="B168" s="293">
        <v>12020450</v>
      </c>
      <c r="C168" s="454" t="s">
        <v>2120</v>
      </c>
      <c r="D168" s="181">
        <v>3000000</v>
      </c>
      <c r="E168" s="175">
        <v>2095500</v>
      </c>
      <c r="F168" s="181">
        <v>20000000</v>
      </c>
    </row>
    <row r="169" spans="1:6" x14ac:dyDescent="0.3">
      <c r="A169" s="293">
        <v>4</v>
      </c>
      <c r="B169" s="293">
        <v>12020442</v>
      </c>
      <c r="C169" s="454" t="s">
        <v>2121</v>
      </c>
      <c r="D169" s="181">
        <v>1000000</v>
      </c>
      <c r="E169" s="175">
        <v>537500</v>
      </c>
      <c r="F169" s="181">
        <v>3000000</v>
      </c>
    </row>
    <row r="170" spans="1:6" x14ac:dyDescent="0.3">
      <c r="A170" s="293">
        <v>5</v>
      </c>
      <c r="B170" s="293">
        <v>12020442</v>
      </c>
      <c r="C170" s="454" t="s">
        <v>2122</v>
      </c>
      <c r="D170" s="181"/>
      <c r="E170" s="296"/>
      <c r="F170" s="181">
        <v>1075000</v>
      </c>
    </row>
    <row r="171" spans="1:6" x14ac:dyDescent="0.3">
      <c r="A171" s="293">
        <v>6</v>
      </c>
      <c r="B171" s="293">
        <v>12020442</v>
      </c>
      <c r="C171" s="454" t="s">
        <v>2123</v>
      </c>
      <c r="D171" s="181"/>
      <c r="E171" s="296"/>
      <c r="F171" s="181">
        <v>30000000</v>
      </c>
    </row>
    <row r="172" spans="1:6" x14ac:dyDescent="0.3">
      <c r="A172" s="293">
        <v>7</v>
      </c>
      <c r="B172" s="293">
        <v>12020609</v>
      </c>
      <c r="C172" s="454" t="s">
        <v>2166</v>
      </c>
      <c r="D172" s="181">
        <v>0</v>
      </c>
      <c r="E172" s="296"/>
      <c r="F172" s="181">
        <v>8000000</v>
      </c>
    </row>
    <row r="173" spans="1:6" x14ac:dyDescent="0.3">
      <c r="A173" s="293">
        <v>7</v>
      </c>
      <c r="B173" s="293">
        <v>12020609</v>
      </c>
      <c r="C173" s="454" t="s">
        <v>3027</v>
      </c>
      <c r="D173" s="181">
        <v>0</v>
      </c>
      <c r="E173" s="296"/>
      <c r="F173" s="181"/>
    </row>
    <row r="174" spans="1:6" x14ac:dyDescent="0.3">
      <c r="A174" s="293">
        <v>8</v>
      </c>
      <c r="B174" s="293">
        <v>12020609</v>
      </c>
      <c r="C174" s="454" t="s">
        <v>2182</v>
      </c>
      <c r="D174" s="181"/>
      <c r="E174" s="296"/>
      <c r="F174" s="181">
        <v>550000</v>
      </c>
    </row>
    <row r="175" spans="1:6" x14ac:dyDescent="0.3">
      <c r="A175" s="293">
        <v>9</v>
      </c>
      <c r="B175" s="293">
        <v>12020610</v>
      </c>
      <c r="C175" s="454" t="s">
        <v>976</v>
      </c>
      <c r="D175" s="181">
        <v>1000000</v>
      </c>
      <c r="E175" s="296"/>
      <c r="F175" s="181">
        <v>1000000</v>
      </c>
    </row>
    <row r="176" spans="1:6" x14ac:dyDescent="0.3">
      <c r="A176" s="293">
        <v>10</v>
      </c>
      <c r="B176" s="293">
        <v>12020616</v>
      </c>
      <c r="C176" s="454" t="s">
        <v>267</v>
      </c>
      <c r="D176" s="181">
        <v>500000</v>
      </c>
      <c r="E176" s="296"/>
      <c r="F176" s="355">
        <v>0</v>
      </c>
    </row>
    <row r="177" spans="1:6" x14ac:dyDescent="0.3">
      <c r="A177" s="293">
        <v>11</v>
      </c>
      <c r="B177" s="293">
        <v>12020708</v>
      </c>
      <c r="C177" s="454" t="s">
        <v>676</v>
      </c>
      <c r="D177" s="181">
        <v>2000000</v>
      </c>
      <c r="E177" s="175">
        <v>1340000</v>
      </c>
      <c r="F177" s="181">
        <v>2500000</v>
      </c>
    </row>
    <row r="178" spans="1:6" x14ac:dyDescent="0.3">
      <c r="A178" s="293">
        <v>12</v>
      </c>
      <c r="B178" s="293">
        <v>12020708</v>
      </c>
      <c r="C178" s="454" t="s">
        <v>695</v>
      </c>
      <c r="D178" s="181">
        <v>500000</v>
      </c>
      <c r="E178" s="296"/>
      <c r="F178" s="355">
        <v>0</v>
      </c>
    </row>
    <row r="179" spans="1:6" x14ac:dyDescent="0.3">
      <c r="A179" s="293">
        <v>13</v>
      </c>
      <c r="B179" s="293">
        <v>12020901</v>
      </c>
      <c r="C179" s="454" t="s">
        <v>2177</v>
      </c>
      <c r="D179" s="181">
        <v>1000000</v>
      </c>
      <c r="E179" s="296">
        <v>355600</v>
      </c>
      <c r="F179" s="181">
        <v>3900000</v>
      </c>
    </row>
    <row r="180" spans="1:6" x14ac:dyDescent="0.3">
      <c r="A180" s="293">
        <v>14</v>
      </c>
      <c r="B180" s="293">
        <v>12020901</v>
      </c>
      <c r="C180" s="454" t="s">
        <v>2178</v>
      </c>
      <c r="D180" s="181">
        <v>500000</v>
      </c>
      <c r="E180" s="296">
        <v>177800</v>
      </c>
      <c r="F180" s="181">
        <v>3000000</v>
      </c>
    </row>
    <row r="181" spans="1:6" x14ac:dyDescent="0.3">
      <c r="A181" s="293">
        <v>15</v>
      </c>
      <c r="B181" s="293">
        <v>12020901</v>
      </c>
      <c r="C181" s="454" t="s">
        <v>2179</v>
      </c>
      <c r="D181" s="181">
        <v>2000000</v>
      </c>
      <c r="E181" s="296">
        <v>710850</v>
      </c>
      <c r="F181" s="181">
        <v>4550000</v>
      </c>
    </row>
    <row r="182" spans="1:6" x14ac:dyDescent="0.3">
      <c r="A182" s="293">
        <v>16</v>
      </c>
      <c r="B182" s="293">
        <v>12020906</v>
      </c>
      <c r="C182" s="454" t="s">
        <v>2180</v>
      </c>
      <c r="D182" s="181">
        <v>140000</v>
      </c>
      <c r="E182" s="296"/>
      <c r="F182" s="355">
        <v>0</v>
      </c>
    </row>
    <row r="183" spans="1:6" x14ac:dyDescent="0.3">
      <c r="A183" s="293">
        <v>17</v>
      </c>
      <c r="B183" s="293">
        <v>12020906</v>
      </c>
      <c r="C183" s="454" t="s">
        <v>2181</v>
      </c>
      <c r="D183" s="181"/>
      <c r="E183" s="296">
        <v>1000000</v>
      </c>
      <c r="F183" s="181">
        <v>1000000</v>
      </c>
    </row>
    <row r="184" spans="1:6" ht="21" thickBot="1" x14ac:dyDescent="0.35">
      <c r="A184" s="293">
        <v>18</v>
      </c>
      <c r="B184" s="293">
        <v>12020906</v>
      </c>
      <c r="C184" s="454" t="s">
        <v>2167</v>
      </c>
      <c r="D184" s="364"/>
      <c r="E184" s="307"/>
      <c r="F184" s="364">
        <v>50000000</v>
      </c>
    </row>
    <row r="185" spans="1:6" ht="21" thickBot="1" x14ac:dyDescent="0.35">
      <c r="A185" s="293"/>
      <c r="B185" s="301" t="s">
        <v>243</v>
      </c>
      <c r="C185" s="1899"/>
      <c r="D185" s="388">
        <f>SUM(D166:D184)</f>
        <v>28640000</v>
      </c>
      <c r="E185" s="309">
        <f>SUM(E166:E184)</f>
        <v>6217250</v>
      </c>
      <c r="F185" s="311">
        <f>SUM(F166:F184)</f>
        <v>128575000</v>
      </c>
    </row>
    <row r="186" spans="1:6" s="174" customFormat="1" ht="21" thickBot="1" x14ac:dyDescent="0.35">
      <c r="A186" s="3425" t="s">
        <v>2202</v>
      </c>
      <c r="B186" s="3425"/>
      <c r="C186" s="3425"/>
      <c r="D186" s="3426"/>
      <c r="E186" s="3426"/>
      <c r="F186" s="3426"/>
    </row>
    <row r="187" spans="1:6" ht="61.5" thickBot="1" x14ac:dyDescent="0.35">
      <c r="A187" s="297" t="s">
        <v>94</v>
      </c>
      <c r="B187" s="297" t="s">
        <v>1</v>
      </c>
      <c r="C187" s="298" t="s">
        <v>991</v>
      </c>
      <c r="D187" s="212" t="s">
        <v>1174</v>
      </c>
      <c r="E187" s="300" t="s">
        <v>1145</v>
      </c>
      <c r="F187" s="173" t="s">
        <v>3098</v>
      </c>
    </row>
    <row r="188" spans="1:6" s="174" customFormat="1" x14ac:dyDescent="0.3">
      <c r="A188" s="395">
        <v>1</v>
      </c>
      <c r="B188" s="396">
        <v>12020608</v>
      </c>
      <c r="C188" s="335" t="s">
        <v>2203</v>
      </c>
      <c r="D188" s="397">
        <v>3500000</v>
      </c>
      <c r="E188" s="397">
        <v>2885500</v>
      </c>
      <c r="F188" s="336">
        <v>37000000</v>
      </c>
    </row>
    <row r="189" spans="1:6" s="174" customFormat="1" x14ac:dyDescent="0.3">
      <c r="A189" s="395">
        <v>2</v>
      </c>
      <c r="B189" s="396">
        <v>12020608</v>
      </c>
      <c r="C189" s="335" t="s">
        <v>2204</v>
      </c>
      <c r="D189" s="397">
        <v>2500000</v>
      </c>
      <c r="E189" s="397">
        <v>332000</v>
      </c>
      <c r="F189" s="336">
        <v>10000000</v>
      </c>
    </row>
    <row r="190" spans="1:6" s="174" customFormat="1" ht="21" thickBot="1" x14ac:dyDescent="0.35">
      <c r="A190" s="395">
        <v>3</v>
      </c>
      <c r="B190" s="396">
        <v>12020708</v>
      </c>
      <c r="C190" s="398" t="s">
        <v>2205</v>
      </c>
      <c r="D190" s="397">
        <v>2500000</v>
      </c>
      <c r="E190" s="397">
        <v>800000</v>
      </c>
      <c r="F190" s="336">
        <v>15000000</v>
      </c>
    </row>
    <row r="191" spans="1:6" s="176" customFormat="1" ht="21" thickBot="1" x14ac:dyDescent="0.35">
      <c r="A191" s="399"/>
      <c r="B191" s="400" t="s">
        <v>243</v>
      </c>
      <c r="C191" s="401"/>
      <c r="D191" s="402">
        <f>SUM(D188:D190)</f>
        <v>8500000</v>
      </c>
      <c r="E191" s="402">
        <f>SUM(E188:E190)</f>
        <v>4017500</v>
      </c>
      <c r="F191" s="403">
        <f>SUM(F188:F190)</f>
        <v>62000000</v>
      </c>
    </row>
    <row r="192" spans="1:6" s="378" customFormat="1" x14ac:dyDescent="0.3">
      <c r="A192" s="373"/>
      <c r="B192" s="374"/>
      <c r="C192" s="375"/>
      <c r="D192" s="376"/>
      <c r="E192" s="377"/>
      <c r="F192" s="376"/>
    </row>
    <row r="193" spans="1:6" s="174" customFormat="1" ht="21" thickBot="1" x14ac:dyDescent="0.35">
      <c r="A193" s="3425" t="s">
        <v>2206</v>
      </c>
      <c r="B193" s="3425"/>
      <c r="C193" s="3425"/>
      <c r="D193" s="3425"/>
      <c r="E193" s="3425"/>
      <c r="F193" s="3425"/>
    </row>
    <row r="194" spans="1:6" ht="61.5" thickBot="1" x14ac:dyDescent="0.35">
      <c r="A194" s="297" t="s">
        <v>94</v>
      </c>
      <c r="B194" s="297" t="s">
        <v>1</v>
      </c>
      <c r="C194" s="298" t="s">
        <v>991</v>
      </c>
      <c r="D194" s="212" t="s">
        <v>1174</v>
      </c>
      <c r="E194" s="300" t="s">
        <v>1145</v>
      </c>
      <c r="F194" s="173" t="s">
        <v>3098</v>
      </c>
    </row>
    <row r="195" spans="1:6" s="174" customFormat="1" x14ac:dyDescent="0.3">
      <c r="A195" s="395">
        <v>1</v>
      </c>
      <c r="B195" s="396">
        <v>12020620</v>
      </c>
      <c r="C195" s="454" t="s">
        <v>674</v>
      </c>
      <c r="D195" s="181">
        <v>5000000</v>
      </c>
      <c r="E195" s="296"/>
      <c r="F195" s="181">
        <v>5000000</v>
      </c>
    </row>
    <row r="196" spans="1:6" s="174" customFormat="1" x14ac:dyDescent="0.3">
      <c r="A196" s="395">
        <v>2</v>
      </c>
      <c r="B196" s="293">
        <v>12020608</v>
      </c>
      <c r="C196" s="454" t="s">
        <v>696</v>
      </c>
      <c r="D196" s="181">
        <v>4000000</v>
      </c>
      <c r="E196" s="296" t="s">
        <v>179</v>
      </c>
      <c r="F196" s="181">
        <v>6000000</v>
      </c>
    </row>
    <row r="197" spans="1:6" s="174" customFormat="1" x14ac:dyDescent="0.3">
      <c r="A197" s="395">
        <v>3</v>
      </c>
      <c r="B197" s="293">
        <v>12020711</v>
      </c>
      <c r="C197" s="454" t="s">
        <v>690</v>
      </c>
      <c r="D197" s="181">
        <v>5000000</v>
      </c>
      <c r="E197" s="296" t="s">
        <v>179</v>
      </c>
      <c r="F197" s="181">
        <v>5000000</v>
      </c>
    </row>
    <row r="198" spans="1:6" s="174" customFormat="1" ht="21" thickBot="1" x14ac:dyDescent="0.35">
      <c r="A198" s="395">
        <v>4</v>
      </c>
      <c r="B198" s="293">
        <v>12020901</v>
      </c>
      <c r="C198" s="454" t="s">
        <v>675</v>
      </c>
      <c r="D198" s="181">
        <v>2500000</v>
      </c>
      <c r="E198" s="296" t="s">
        <v>179</v>
      </c>
      <c r="F198" s="181">
        <v>2500000</v>
      </c>
    </row>
    <row r="199" spans="1:6" s="176" customFormat="1" ht="21" thickBot="1" x14ac:dyDescent="0.35">
      <c r="A199" s="399"/>
      <c r="B199" s="400" t="s">
        <v>243</v>
      </c>
      <c r="C199" s="1858"/>
      <c r="D199" s="402">
        <f>SUM(D195:D198)</f>
        <v>16500000</v>
      </c>
      <c r="E199" s="402">
        <f t="shared" ref="E199" si="1">SUM(E195:E198)</f>
        <v>0</v>
      </c>
      <c r="F199" s="403">
        <f>SUM(F195:F198)</f>
        <v>18500000</v>
      </c>
    </row>
    <row r="200" spans="1:6" s="176" customFormat="1" x14ac:dyDescent="0.3">
      <c r="A200" s="399"/>
      <c r="B200" s="400"/>
      <c r="C200" s="401"/>
      <c r="D200" s="404"/>
      <c r="E200" s="405"/>
      <c r="F200" s="406"/>
    </row>
    <row r="201" spans="1:6" ht="21" thickBot="1" x14ac:dyDescent="0.35">
      <c r="A201" s="184"/>
      <c r="B201" s="293"/>
      <c r="C201" s="196" t="s">
        <v>1067</v>
      </c>
      <c r="D201" s="295"/>
      <c r="E201" s="296"/>
      <c r="F201" s="295"/>
    </row>
    <row r="202" spans="1:6" ht="61.5" thickBot="1" x14ac:dyDescent="0.35">
      <c r="A202" s="297" t="s">
        <v>94</v>
      </c>
      <c r="B202" s="297" t="s">
        <v>1</v>
      </c>
      <c r="C202" s="298" t="s">
        <v>991</v>
      </c>
      <c r="D202" s="212" t="s">
        <v>1174</v>
      </c>
      <c r="E202" s="300" t="s">
        <v>1145</v>
      </c>
      <c r="F202" s="173" t="s">
        <v>3098</v>
      </c>
    </row>
    <row r="203" spans="1:6" x14ac:dyDescent="0.3">
      <c r="A203" s="293">
        <v>1</v>
      </c>
      <c r="B203" s="396">
        <v>12020137</v>
      </c>
      <c r="C203" s="398" t="s">
        <v>2154</v>
      </c>
      <c r="D203" s="397">
        <v>6000000</v>
      </c>
      <c r="E203" s="407">
        <v>2660000</v>
      </c>
      <c r="F203" s="336">
        <v>10000000</v>
      </c>
    </row>
    <row r="204" spans="1:6" x14ac:dyDescent="0.3">
      <c r="A204" s="293">
        <v>2</v>
      </c>
      <c r="B204" s="396">
        <v>12020137</v>
      </c>
      <c r="C204" s="398" t="s">
        <v>2155</v>
      </c>
      <c r="D204" s="397"/>
      <c r="E204" s="380"/>
      <c r="F204" s="336">
        <v>2000000</v>
      </c>
    </row>
    <row r="205" spans="1:6" x14ac:dyDescent="0.3">
      <c r="A205" s="293">
        <v>3</v>
      </c>
      <c r="B205" s="396">
        <v>12020137</v>
      </c>
      <c r="C205" s="446" t="s">
        <v>2111</v>
      </c>
      <c r="D205" s="397">
        <v>5000000</v>
      </c>
      <c r="E205" s="380">
        <v>327110</v>
      </c>
      <c r="F205" s="336">
        <v>1500000</v>
      </c>
    </row>
    <row r="206" spans="1:6" x14ac:dyDescent="0.3">
      <c r="A206" s="293">
        <v>4</v>
      </c>
      <c r="B206" s="396">
        <v>12020137</v>
      </c>
      <c r="C206" s="446" t="s">
        <v>2112</v>
      </c>
      <c r="D206" s="397"/>
      <c r="E206" s="380"/>
      <c r="F206" s="336">
        <v>750000</v>
      </c>
    </row>
    <row r="207" spans="1:6" x14ac:dyDescent="0.3">
      <c r="A207" s="293">
        <v>5</v>
      </c>
      <c r="B207" s="396">
        <v>12020137</v>
      </c>
      <c r="C207" s="446" t="s">
        <v>2156</v>
      </c>
      <c r="D207" s="397"/>
      <c r="E207" s="380"/>
      <c r="F207" s="336">
        <v>300000</v>
      </c>
    </row>
    <row r="208" spans="1:6" x14ac:dyDescent="0.3">
      <c r="A208" s="293">
        <v>6</v>
      </c>
      <c r="B208" s="396">
        <v>12020446</v>
      </c>
      <c r="C208" s="398" t="s">
        <v>996</v>
      </c>
      <c r="D208" s="397">
        <v>2000000</v>
      </c>
      <c r="E208" s="407">
        <v>478920</v>
      </c>
      <c r="F208" s="336">
        <v>2000000</v>
      </c>
    </row>
    <row r="209" spans="1:6" x14ac:dyDescent="0.3">
      <c r="A209" s="293">
        <v>7</v>
      </c>
      <c r="B209" s="396">
        <v>12020116</v>
      </c>
      <c r="C209" s="398" t="s">
        <v>998</v>
      </c>
      <c r="D209" s="397">
        <v>3000000</v>
      </c>
      <c r="E209" s="407"/>
      <c r="F209" s="336">
        <v>20000000</v>
      </c>
    </row>
    <row r="210" spans="1:6" x14ac:dyDescent="0.3">
      <c r="A210" s="293">
        <v>8</v>
      </c>
      <c r="B210" s="396">
        <v>12020446</v>
      </c>
      <c r="C210" s="1859" t="s">
        <v>2157</v>
      </c>
      <c r="D210" s="397">
        <v>15000000</v>
      </c>
      <c r="E210" s="380">
        <v>1642100</v>
      </c>
      <c r="F210" s="336">
        <v>5000000</v>
      </c>
    </row>
    <row r="211" spans="1:6" ht="21" thickBot="1" x14ac:dyDescent="0.35">
      <c r="A211" s="293">
        <v>9</v>
      </c>
      <c r="B211" s="396">
        <v>12020446</v>
      </c>
      <c r="C211" s="1859" t="s">
        <v>2158</v>
      </c>
      <c r="D211" s="410"/>
      <c r="E211" s="411"/>
      <c r="F211" s="339">
        <v>0</v>
      </c>
    </row>
    <row r="212" spans="1:6" ht="21" thickBot="1" x14ac:dyDescent="0.35">
      <c r="A212" s="293"/>
      <c r="B212" s="301" t="s">
        <v>243</v>
      </c>
      <c r="C212" s="195"/>
      <c r="D212" s="489">
        <f>SUM(D203:D211)</f>
        <v>31000000</v>
      </c>
      <c r="E212" s="706">
        <f t="shared" ref="E212" si="2">SUM(E203:E211)</f>
        <v>5108130</v>
      </c>
      <c r="F212" s="705">
        <f>SUM(F203:F211)</f>
        <v>41550000</v>
      </c>
    </row>
    <row r="213" spans="1:6" x14ac:dyDescent="0.3">
      <c r="A213" s="373"/>
      <c r="B213" s="374"/>
      <c r="C213" s="375"/>
      <c r="D213" s="376"/>
      <c r="E213" s="412"/>
      <c r="F213" s="376"/>
    </row>
    <row r="214" spans="1:6" s="174" customFormat="1" x14ac:dyDescent="0.3">
      <c r="A214" s="177"/>
      <c r="B214" s="728"/>
      <c r="C214" s="728"/>
      <c r="D214" s="413"/>
      <c r="E214" s="414"/>
      <c r="F214" s="415"/>
    </row>
    <row r="215" spans="1:6" s="174" customFormat="1" ht="21" thickBot="1" x14ac:dyDescent="0.35">
      <c r="A215" s="3427" t="s">
        <v>2207</v>
      </c>
      <c r="B215" s="3428"/>
      <c r="C215" s="3428"/>
      <c r="D215" s="3428"/>
      <c r="E215" s="3428"/>
      <c r="F215" s="3428"/>
    </row>
    <row r="216" spans="1:6" ht="61.5" thickBot="1" x14ac:dyDescent="0.35">
      <c r="A216" s="297" t="s">
        <v>94</v>
      </c>
      <c r="B216" s="297" t="s">
        <v>1</v>
      </c>
      <c r="C216" s="298" t="s">
        <v>991</v>
      </c>
      <c r="D216" s="212" t="s">
        <v>1174</v>
      </c>
      <c r="E216" s="300" t="s">
        <v>1145</v>
      </c>
      <c r="F216" s="173" t="s">
        <v>3098</v>
      </c>
    </row>
    <row r="217" spans="1:6" s="316" customFormat="1" x14ac:dyDescent="0.3">
      <c r="A217" s="416">
        <v>1</v>
      </c>
      <c r="B217" s="416">
        <v>12020136</v>
      </c>
      <c r="C217" s="444" t="s">
        <v>2421</v>
      </c>
      <c r="D217" s="417">
        <v>500000</v>
      </c>
      <c r="E217" s="418">
        <v>155000</v>
      </c>
      <c r="F217" s="418">
        <v>500000</v>
      </c>
    </row>
    <row r="218" spans="1:6" s="316" customFormat="1" x14ac:dyDescent="0.3">
      <c r="A218" s="416">
        <v>2</v>
      </c>
      <c r="B218" s="416">
        <v>12020136</v>
      </c>
      <c r="C218" s="444" t="s">
        <v>2420</v>
      </c>
      <c r="D218" s="417">
        <v>1200000</v>
      </c>
      <c r="E218" s="418">
        <v>500000</v>
      </c>
      <c r="F218" s="418">
        <v>2550000</v>
      </c>
    </row>
    <row r="219" spans="1:6" s="316" customFormat="1" x14ac:dyDescent="0.3">
      <c r="A219" s="416">
        <v>3</v>
      </c>
      <c r="B219" s="416">
        <v>12020136</v>
      </c>
      <c r="C219" s="444" t="s">
        <v>2422</v>
      </c>
      <c r="D219" s="417"/>
      <c r="E219" s="418"/>
      <c r="F219" s="418">
        <v>300000</v>
      </c>
    </row>
    <row r="220" spans="1:6" s="316" customFormat="1" x14ac:dyDescent="0.3">
      <c r="A220" s="416">
        <v>4</v>
      </c>
      <c r="B220" s="416">
        <v>12020136</v>
      </c>
      <c r="C220" s="444" t="s">
        <v>2423</v>
      </c>
      <c r="D220" s="417"/>
      <c r="E220" s="418"/>
      <c r="F220" s="418">
        <v>1470000</v>
      </c>
    </row>
    <row r="221" spans="1:6" s="316" customFormat="1" x14ac:dyDescent="0.3">
      <c r="A221" s="187">
        <v>5</v>
      </c>
      <c r="B221" s="416">
        <v>12020136</v>
      </c>
      <c r="C221" s="446" t="s">
        <v>2424</v>
      </c>
      <c r="D221" s="420"/>
      <c r="E221" s="182"/>
      <c r="F221" s="421">
        <v>250000</v>
      </c>
    </row>
    <row r="222" spans="1:6" s="174" customFormat="1" x14ac:dyDescent="0.3">
      <c r="A222" s="293">
        <v>6</v>
      </c>
      <c r="B222" s="416">
        <v>12020136</v>
      </c>
      <c r="C222" s="398" t="s">
        <v>2425</v>
      </c>
      <c r="D222" s="422"/>
      <c r="E222" s="181"/>
      <c r="F222" s="421">
        <v>180000</v>
      </c>
    </row>
    <row r="223" spans="1:6" s="174" customFormat="1" x14ac:dyDescent="0.3">
      <c r="A223" s="293">
        <v>7</v>
      </c>
      <c r="B223" s="416">
        <v>12020136</v>
      </c>
      <c r="C223" s="398" t="s">
        <v>2426</v>
      </c>
      <c r="D223" s="422"/>
      <c r="E223" s="181"/>
      <c r="F223" s="421">
        <v>720000</v>
      </c>
    </row>
    <row r="224" spans="1:6" s="174" customFormat="1" x14ac:dyDescent="0.3">
      <c r="A224" s="293">
        <v>8</v>
      </c>
      <c r="B224" s="416">
        <v>12020136</v>
      </c>
      <c r="C224" s="398" t="s">
        <v>2113</v>
      </c>
      <c r="D224" s="422">
        <v>2400000</v>
      </c>
      <c r="E224" s="181"/>
      <c r="F224" s="421">
        <v>3300000</v>
      </c>
    </row>
    <row r="225" spans="1:6" s="174" customFormat="1" x14ac:dyDescent="0.3">
      <c r="A225" s="293">
        <v>9</v>
      </c>
      <c r="B225" s="416">
        <v>12020136</v>
      </c>
      <c r="C225" s="398" t="s">
        <v>2427</v>
      </c>
      <c r="D225" s="422">
        <v>1000000</v>
      </c>
      <c r="E225" s="181"/>
      <c r="F225" s="421">
        <v>2250000</v>
      </c>
    </row>
    <row r="226" spans="1:6" s="174" customFormat="1" x14ac:dyDescent="0.3">
      <c r="A226" s="293">
        <v>10</v>
      </c>
      <c r="B226" s="416">
        <v>12020134</v>
      </c>
      <c r="C226" s="398" t="s">
        <v>2208</v>
      </c>
      <c r="D226" s="422">
        <v>250000</v>
      </c>
      <c r="E226" s="181" t="s">
        <v>2428</v>
      </c>
      <c r="F226" s="421">
        <v>250000</v>
      </c>
    </row>
    <row r="227" spans="1:6" s="174" customFormat="1" x14ac:dyDescent="0.3">
      <c r="A227" s="293">
        <v>11</v>
      </c>
      <c r="B227" s="416">
        <v>12020134</v>
      </c>
      <c r="C227" s="398" t="s">
        <v>2209</v>
      </c>
      <c r="D227" s="422">
        <v>500000</v>
      </c>
      <c r="E227" s="181" t="s">
        <v>2428</v>
      </c>
      <c r="F227" s="421">
        <v>500000</v>
      </c>
    </row>
    <row r="228" spans="1:6" s="176" customFormat="1" x14ac:dyDescent="0.3">
      <c r="A228" s="301"/>
      <c r="B228" s="416"/>
      <c r="C228" s="1860" t="s">
        <v>2429</v>
      </c>
      <c r="D228" s="424"/>
      <c r="E228" s="321"/>
      <c r="F228" s="425"/>
    </row>
    <row r="229" spans="1:6" s="174" customFormat="1" x14ac:dyDescent="0.3">
      <c r="A229" s="293">
        <v>12</v>
      </c>
      <c r="B229" s="416">
        <v>12020136</v>
      </c>
      <c r="C229" s="398" t="s">
        <v>2435</v>
      </c>
      <c r="D229" s="422">
        <v>200000</v>
      </c>
      <c r="E229" s="181">
        <v>200000</v>
      </c>
      <c r="F229" s="421">
        <v>240000</v>
      </c>
    </row>
    <row r="230" spans="1:6" s="174" customFormat="1" x14ac:dyDescent="0.3">
      <c r="A230" s="293">
        <v>13</v>
      </c>
      <c r="B230" s="416">
        <v>12020136</v>
      </c>
      <c r="C230" s="398" t="s">
        <v>2436</v>
      </c>
      <c r="D230" s="422">
        <v>500000</v>
      </c>
      <c r="E230" s="181">
        <v>280000</v>
      </c>
      <c r="F230" s="421">
        <v>900000</v>
      </c>
    </row>
    <row r="231" spans="1:6" s="174" customFormat="1" x14ac:dyDescent="0.3">
      <c r="A231" s="293">
        <v>14</v>
      </c>
      <c r="B231" s="416">
        <v>12020136</v>
      </c>
      <c r="C231" s="398" t="s">
        <v>2437</v>
      </c>
      <c r="D231" s="422"/>
      <c r="E231" s="181"/>
      <c r="F231" s="421">
        <v>60000</v>
      </c>
    </row>
    <row r="232" spans="1:6" s="174" customFormat="1" x14ac:dyDescent="0.3">
      <c r="A232" s="293">
        <v>15</v>
      </c>
      <c r="B232" s="416">
        <v>12020136</v>
      </c>
      <c r="C232" s="398" t="s">
        <v>2438</v>
      </c>
      <c r="D232" s="422"/>
      <c r="E232" s="181"/>
      <c r="F232" s="421">
        <v>750000</v>
      </c>
    </row>
    <row r="233" spans="1:6" s="176" customFormat="1" x14ac:dyDescent="0.3">
      <c r="A233" s="301"/>
      <c r="B233" s="423"/>
      <c r="C233" s="1860" t="s">
        <v>2649</v>
      </c>
      <c r="D233" s="424"/>
      <c r="E233" s="321"/>
      <c r="F233" s="425"/>
    </row>
    <row r="234" spans="1:6" s="174" customFormat="1" x14ac:dyDescent="0.3">
      <c r="A234" s="293">
        <v>16</v>
      </c>
      <c r="B234" s="396">
        <v>12020430</v>
      </c>
      <c r="C234" s="398" t="s">
        <v>2650</v>
      </c>
      <c r="D234" s="422"/>
      <c r="E234" s="181"/>
      <c r="F234" s="421">
        <v>8000000</v>
      </c>
    </row>
    <row r="235" spans="1:6" s="174" customFormat="1" x14ac:dyDescent="0.3">
      <c r="A235" s="293">
        <v>17</v>
      </c>
      <c r="B235" s="396">
        <v>12020430</v>
      </c>
      <c r="C235" s="398" t="s">
        <v>2651</v>
      </c>
      <c r="D235" s="422"/>
      <c r="E235" s="181"/>
      <c r="F235" s="421">
        <v>600000</v>
      </c>
    </row>
    <row r="236" spans="1:6" s="176" customFormat="1" x14ac:dyDescent="0.3">
      <c r="A236" s="293"/>
      <c r="B236" s="396"/>
      <c r="C236" s="1860" t="s">
        <v>2430</v>
      </c>
      <c r="D236" s="424"/>
      <c r="E236" s="321"/>
      <c r="F236" s="425"/>
    </row>
    <row r="237" spans="1:6" s="174" customFormat="1" x14ac:dyDescent="0.3">
      <c r="A237" s="293">
        <v>18</v>
      </c>
      <c r="B237" s="396">
        <v>12020430</v>
      </c>
      <c r="C237" s="398" t="s">
        <v>2431</v>
      </c>
      <c r="D237" s="422"/>
      <c r="E237" s="181"/>
      <c r="F237" s="421">
        <v>500000</v>
      </c>
    </row>
    <row r="238" spans="1:6" s="174" customFormat="1" x14ac:dyDescent="0.3">
      <c r="A238" s="293">
        <v>19</v>
      </c>
      <c r="B238" s="396">
        <v>12020430</v>
      </c>
      <c r="C238" s="398" t="s">
        <v>2432</v>
      </c>
      <c r="D238" s="422"/>
      <c r="E238" s="181"/>
      <c r="F238" s="421">
        <v>400000</v>
      </c>
    </row>
    <row r="239" spans="1:6" s="174" customFormat="1" x14ac:dyDescent="0.3">
      <c r="A239" s="293">
        <v>20</v>
      </c>
      <c r="B239" s="396">
        <v>12020430</v>
      </c>
      <c r="C239" s="398" t="s">
        <v>2433</v>
      </c>
      <c r="D239" s="422"/>
      <c r="E239" s="181"/>
      <c r="F239" s="421">
        <v>150000</v>
      </c>
    </row>
    <row r="240" spans="1:6" s="174" customFormat="1" ht="21" thickBot="1" x14ac:dyDescent="0.35">
      <c r="A240" s="293">
        <v>21</v>
      </c>
      <c r="B240" s="396">
        <v>12020430</v>
      </c>
      <c r="C240" s="398" t="s">
        <v>2434</v>
      </c>
      <c r="D240" s="1896"/>
      <c r="E240" s="364"/>
      <c r="F240" s="315">
        <v>100000</v>
      </c>
    </row>
    <row r="241" spans="1:6" s="174" customFormat="1" ht="21" thickBot="1" x14ac:dyDescent="0.35">
      <c r="A241" s="187"/>
      <c r="B241" s="358" t="s">
        <v>243</v>
      </c>
      <c r="C241" s="1895"/>
      <c r="D241" s="1897">
        <f>SUM(D217:D240)</f>
        <v>6550000</v>
      </c>
      <c r="E241" s="1898">
        <f t="shared" ref="E241" si="3">SUM(E217:E240)</f>
        <v>1135000</v>
      </c>
      <c r="F241" s="1879">
        <f>SUM(F217:F240)</f>
        <v>23970000</v>
      </c>
    </row>
    <row r="242" spans="1:6" x14ac:dyDescent="0.3">
      <c r="A242" s="293"/>
      <c r="B242" s="301"/>
      <c r="C242" s="196"/>
      <c r="D242" s="392"/>
      <c r="E242" s="1894"/>
      <c r="F242" s="392"/>
    </row>
    <row r="243" spans="1:6" s="174" customFormat="1" ht="21" thickBot="1" x14ac:dyDescent="0.35">
      <c r="A243" s="3432" t="s">
        <v>2878</v>
      </c>
      <c r="B243" s="3433"/>
      <c r="C243" s="3433"/>
      <c r="D243" s="3433"/>
      <c r="E243" s="3433"/>
      <c r="F243" s="3433"/>
    </row>
    <row r="244" spans="1:6" s="174" customFormat="1" ht="81.75" thickBot="1" x14ac:dyDescent="0.35">
      <c r="A244" s="527" t="s">
        <v>1120</v>
      </c>
      <c r="B244" s="540" t="s">
        <v>1</v>
      </c>
      <c r="C244" s="540" t="s">
        <v>2923</v>
      </c>
      <c r="D244" s="528" t="s">
        <v>2925</v>
      </c>
      <c r="E244" s="298" t="s">
        <v>2926</v>
      </c>
      <c r="F244" s="173" t="s">
        <v>3098</v>
      </c>
    </row>
    <row r="245" spans="1:6" s="174" customFormat="1" x14ac:dyDescent="0.3">
      <c r="A245" s="317">
        <v>1</v>
      </c>
      <c r="B245" s="478">
        <v>12020612</v>
      </c>
      <c r="C245" s="552" t="s">
        <v>3267</v>
      </c>
      <c r="D245" s="1881">
        <v>61662189.82</v>
      </c>
      <c r="E245" s="1882">
        <v>71275765</v>
      </c>
      <c r="F245" s="518">
        <f t="shared" ref="F245:F264" si="4">D245*1%+D245</f>
        <v>62278811.718199998</v>
      </c>
    </row>
    <row r="246" spans="1:6" s="174" customFormat="1" ht="40.5" x14ac:dyDescent="0.3">
      <c r="A246" s="293">
        <v>2</v>
      </c>
      <c r="B246" s="478">
        <v>12020612</v>
      </c>
      <c r="C246" s="398" t="s">
        <v>3268</v>
      </c>
      <c r="D246" s="744">
        <v>194273363.75</v>
      </c>
      <c r="E246" s="354">
        <v>87988802</v>
      </c>
      <c r="F246" s="397">
        <f t="shared" si="4"/>
        <v>196216097.38749999</v>
      </c>
    </row>
    <row r="247" spans="1:6" s="174" customFormat="1" ht="40.5" x14ac:dyDescent="0.3">
      <c r="A247" s="293">
        <v>3</v>
      </c>
      <c r="B247" s="478">
        <v>12020612</v>
      </c>
      <c r="C247" s="398" t="s">
        <v>3269</v>
      </c>
      <c r="D247" s="744">
        <v>42414194.560000002</v>
      </c>
      <c r="E247" s="354">
        <v>36709316.509999998</v>
      </c>
      <c r="F247" s="397">
        <f t="shared" si="4"/>
        <v>42838336.505600005</v>
      </c>
    </row>
    <row r="248" spans="1:6" s="174" customFormat="1" x14ac:dyDescent="0.3">
      <c r="A248" s="293">
        <v>4</v>
      </c>
      <c r="B248" s="478">
        <v>12020612</v>
      </c>
      <c r="C248" s="398" t="s">
        <v>3270</v>
      </c>
      <c r="D248" s="744">
        <v>88449934.900000006</v>
      </c>
      <c r="E248" s="354">
        <v>39985727</v>
      </c>
      <c r="F248" s="397">
        <f t="shared" si="4"/>
        <v>89334434.249000013</v>
      </c>
    </row>
    <row r="249" spans="1:6" s="174" customFormat="1" x14ac:dyDescent="0.3">
      <c r="A249" s="293">
        <v>5</v>
      </c>
      <c r="B249" s="478">
        <v>12020612</v>
      </c>
      <c r="C249" s="398" t="s">
        <v>3271</v>
      </c>
      <c r="D249" s="744">
        <v>76376120.849999994</v>
      </c>
      <c r="E249" s="354">
        <v>69759205.579999998</v>
      </c>
      <c r="F249" s="397">
        <f t="shared" si="4"/>
        <v>77139882.058499992</v>
      </c>
    </row>
    <row r="250" spans="1:6" s="174" customFormat="1" x14ac:dyDescent="0.3">
      <c r="A250" s="293">
        <v>6</v>
      </c>
      <c r="B250" s="478">
        <v>12020612</v>
      </c>
      <c r="C250" s="398" t="s">
        <v>3272</v>
      </c>
      <c r="D250" s="744">
        <v>24474714.16</v>
      </c>
      <c r="E250" s="354">
        <v>20976949.16</v>
      </c>
      <c r="F250" s="397">
        <f t="shared" si="4"/>
        <v>24719461.301600002</v>
      </c>
    </row>
    <row r="251" spans="1:6" s="174" customFormat="1" x14ac:dyDescent="0.3">
      <c r="A251" s="293">
        <v>7</v>
      </c>
      <c r="B251" s="478">
        <v>12020612</v>
      </c>
      <c r="C251" s="398" t="s">
        <v>3273</v>
      </c>
      <c r="D251" s="744">
        <v>33170357.760000002</v>
      </c>
      <c r="E251" s="354">
        <v>25354704.550000001</v>
      </c>
      <c r="F251" s="397">
        <f t="shared" si="4"/>
        <v>33502061.3376</v>
      </c>
    </row>
    <row r="252" spans="1:6" s="174" customFormat="1" x14ac:dyDescent="0.3">
      <c r="A252" s="293">
        <v>8</v>
      </c>
      <c r="B252" s="478">
        <v>12020612</v>
      </c>
      <c r="C252" s="398" t="s">
        <v>3274</v>
      </c>
      <c r="D252" s="744">
        <v>37373324.57</v>
      </c>
      <c r="E252" s="354">
        <v>38414823.030000001</v>
      </c>
      <c r="F252" s="397">
        <f t="shared" si="4"/>
        <v>37747057.815700002</v>
      </c>
    </row>
    <row r="253" spans="1:6" s="174" customFormat="1" x14ac:dyDescent="0.3">
      <c r="A253" s="293">
        <v>9</v>
      </c>
      <c r="B253" s="478">
        <v>12020612</v>
      </c>
      <c r="C253" s="398" t="s">
        <v>3275</v>
      </c>
      <c r="D253" s="744">
        <v>14001725.550000001</v>
      </c>
      <c r="E253" s="354">
        <v>14134597.9</v>
      </c>
      <c r="F253" s="397">
        <f t="shared" si="4"/>
        <v>14141742.805500001</v>
      </c>
    </row>
    <row r="254" spans="1:6" s="174" customFormat="1" ht="40.5" x14ac:dyDescent="0.3">
      <c r="A254" s="293">
        <v>10</v>
      </c>
      <c r="B254" s="478">
        <v>12020612</v>
      </c>
      <c r="C254" s="398" t="s">
        <v>3276</v>
      </c>
      <c r="D254" s="744">
        <v>22852972</v>
      </c>
      <c r="E254" s="354">
        <v>18417864</v>
      </c>
      <c r="F254" s="397">
        <f t="shared" si="4"/>
        <v>23081501.719999999</v>
      </c>
    </row>
    <row r="255" spans="1:6" s="174" customFormat="1" x14ac:dyDescent="0.3">
      <c r="A255" s="293">
        <v>11</v>
      </c>
      <c r="B255" s="478">
        <v>12020612</v>
      </c>
      <c r="C255" s="398" t="s">
        <v>3277</v>
      </c>
      <c r="D255" s="744">
        <v>21107225.41</v>
      </c>
      <c r="E255" s="354">
        <v>10567078.720000001</v>
      </c>
      <c r="F255" s="397">
        <f t="shared" si="4"/>
        <v>21318297.664099999</v>
      </c>
    </row>
    <row r="256" spans="1:6" s="174" customFormat="1" x14ac:dyDescent="0.3">
      <c r="A256" s="293">
        <v>12</v>
      </c>
      <c r="B256" s="478">
        <v>12020612</v>
      </c>
      <c r="C256" s="398" t="s">
        <v>3278</v>
      </c>
      <c r="D256" s="744">
        <v>12808491.359999999</v>
      </c>
      <c r="E256" s="354">
        <v>14093943.75</v>
      </c>
      <c r="F256" s="397">
        <f t="shared" si="4"/>
        <v>12936576.273599999</v>
      </c>
    </row>
    <row r="257" spans="1:6" s="174" customFormat="1" x14ac:dyDescent="0.3">
      <c r="A257" s="293">
        <v>13</v>
      </c>
      <c r="B257" s="478">
        <v>12020612</v>
      </c>
      <c r="C257" s="398" t="s">
        <v>3279</v>
      </c>
      <c r="D257" s="745">
        <v>18943871.100000001</v>
      </c>
      <c r="E257" s="746">
        <v>12671241.65</v>
      </c>
      <c r="F257" s="397">
        <f t="shared" si="4"/>
        <v>19133309.811000001</v>
      </c>
    </row>
    <row r="258" spans="1:6" s="174" customFormat="1" x14ac:dyDescent="0.3">
      <c r="A258" s="293">
        <v>14</v>
      </c>
      <c r="B258" s="478">
        <v>12020612</v>
      </c>
      <c r="C258" s="398" t="s">
        <v>3280</v>
      </c>
      <c r="D258" s="745">
        <v>24155025.510000002</v>
      </c>
      <c r="E258" s="746">
        <v>10467676.73</v>
      </c>
      <c r="F258" s="397">
        <f t="shared" si="4"/>
        <v>24396575.765100002</v>
      </c>
    </row>
    <row r="259" spans="1:6" s="174" customFormat="1" x14ac:dyDescent="0.3">
      <c r="A259" s="293">
        <v>15</v>
      </c>
      <c r="B259" s="478">
        <v>12020612</v>
      </c>
      <c r="C259" s="398" t="s">
        <v>3281</v>
      </c>
      <c r="D259" s="745">
        <v>17041935.52</v>
      </c>
      <c r="E259" s="746">
        <v>10711383.15</v>
      </c>
      <c r="F259" s="397">
        <f t="shared" si="4"/>
        <v>17212354.8752</v>
      </c>
    </row>
    <row r="260" spans="1:6" s="174" customFormat="1" x14ac:dyDescent="0.3">
      <c r="A260" s="293">
        <v>16</v>
      </c>
      <c r="B260" s="478">
        <v>12020612</v>
      </c>
      <c r="C260" s="398" t="s">
        <v>3282</v>
      </c>
      <c r="D260" s="745">
        <v>11581544.550000001</v>
      </c>
      <c r="E260" s="746">
        <v>17169678</v>
      </c>
      <c r="F260" s="397">
        <f t="shared" si="4"/>
        <v>11697359.9955</v>
      </c>
    </row>
    <row r="261" spans="1:6" s="174" customFormat="1" x14ac:dyDescent="0.3">
      <c r="A261" s="293">
        <v>17</v>
      </c>
      <c r="B261" s="478">
        <v>12020612</v>
      </c>
      <c r="C261" s="398" t="s">
        <v>3283</v>
      </c>
      <c r="D261" s="745">
        <v>3803161.65</v>
      </c>
      <c r="E261" s="746">
        <v>8535575.5199999996</v>
      </c>
      <c r="F261" s="397">
        <f t="shared" si="4"/>
        <v>3841193.2664999999</v>
      </c>
    </row>
    <row r="262" spans="1:6" s="174" customFormat="1" x14ac:dyDescent="0.3">
      <c r="A262" s="293">
        <v>18</v>
      </c>
      <c r="B262" s="478">
        <v>12020612</v>
      </c>
      <c r="C262" s="398" t="s">
        <v>3284</v>
      </c>
      <c r="D262" s="745">
        <v>7172545.9199999999</v>
      </c>
      <c r="E262" s="746">
        <v>15476410</v>
      </c>
      <c r="F262" s="397">
        <f t="shared" si="4"/>
        <v>7244271.3792000003</v>
      </c>
    </row>
    <row r="263" spans="1:6" s="174" customFormat="1" x14ac:dyDescent="0.3">
      <c r="A263" s="293">
        <v>19</v>
      </c>
      <c r="B263" s="478">
        <v>12020612</v>
      </c>
      <c r="C263" s="398" t="s">
        <v>3285</v>
      </c>
      <c r="D263" s="745">
        <v>20930102.66</v>
      </c>
      <c r="E263" s="746">
        <v>16291765</v>
      </c>
      <c r="F263" s="397">
        <f t="shared" si="4"/>
        <v>21139403.6866</v>
      </c>
    </row>
    <row r="264" spans="1:6" s="174" customFormat="1" ht="21" thickBot="1" x14ac:dyDescent="0.35">
      <c r="A264" s="416">
        <v>20</v>
      </c>
      <c r="B264" s="478">
        <v>12020612</v>
      </c>
      <c r="C264" s="398" t="s">
        <v>3286</v>
      </c>
      <c r="D264" s="1883">
        <v>2436067.5499999998</v>
      </c>
      <c r="E264" s="1884">
        <v>2228000</v>
      </c>
      <c r="F264" s="410">
        <f t="shared" si="4"/>
        <v>2460428.2254999997</v>
      </c>
    </row>
    <row r="265" spans="1:6" s="174" customFormat="1" ht="21" thickBot="1" x14ac:dyDescent="0.35">
      <c r="A265" s="197"/>
      <c r="B265" s="559" t="s">
        <v>2924</v>
      </c>
      <c r="C265" s="758"/>
      <c r="D265" s="1887">
        <f>SUM(D245:D264)</f>
        <v>735028869.14999974</v>
      </c>
      <c r="E265" s="1888">
        <f>SUM(E245:E264)</f>
        <v>541230507.25</v>
      </c>
      <c r="F265" s="1889">
        <f>SUM(F245:F264)</f>
        <v>742379157.84150004</v>
      </c>
    </row>
    <row r="266" spans="1:6" s="174" customFormat="1" ht="23.25" x14ac:dyDescent="0.35">
      <c r="A266" s="747"/>
      <c r="B266" s="748"/>
      <c r="C266" s="748"/>
      <c r="D266" s="1885"/>
      <c r="E266" s="1885"/>
      <c r="F266" s="1886"/>
    </row>
    <row r="267" spans="1:6" s="174" customFormat="1" ht="21" thickBot="1" x14ac:dyDescent="0.35">
      <c r="A267" s="3427" t="s">
        <v>1873</v>
      </c>
      <c r="B267" s="3428"/>
      <c r="C267" s="3428"/>
      <c r="D267" s="3428"/>
      <c r="E267" s="3428"/>
      <c r="F267" s="3428"/>
    </row>
    <row r="268" spans="1:6" ht="61.5" thickBot="1" x14ac:dyDescent="0.35">
      <c r="A268" s="297" t="s">
        <v>94</v>
      </c>
      <c r="B268" s="297" t="s">
        <v>1</v>
      </c>
      <c r="C268" s="298" t="s">
        <v>991</v>
      </c>
      <c r="D268" s="212" t="s">
        <v>1174</v>
      </c>
      <c r="E268" s="300" t="s">
        <v>1145</v>
      </c>
      <c r="F268" s="173" t="s">
        <v>3098</v>
      </c>
    </row>
    <row r="269" spans="1:6" s="174" customFormat="1" x14ac:dyDescent="0.3">
      <c r="A269" s="293">
        <v>1</v>
      </c>
      <c r="B269" s="396">
        <v>12020134</v>
      </c>
      <c r="C269" s="197" t="s">
        <v>2210</v>
      </c>
      <c r="D269" s="381">
        <v>16000000</v>
      </c>
      <c r="E269" s="418">
        <v>5839548</v>
      </c>
      <c r="F269" s="381"/>
    </row>
    <row r="270" spans="1:6" s="174" customFormat="1" ht="21" thickBot="1" x14ac:dyDescent="0.35">
      <c r="A270" s="293">
        <v>2</v>
      </c>
      <c r="B270" s="396">
        <v>12020134</v>
      </c>
      <c r="C270" s="197" t="s">
        <v>2211</v>
      </c>
      <c r="D270" s="428">
        <v>40000000</v>
      </c>
      <c r="E270" s="429">
        <v>0</v>
      </c>
      <c r="F270" s="428"/>
    </row>
    <row r="271" spans="1:6" s="174" customFormat="1" ht="21" thickBot="1" x14ac:dyDescent="0.35">
      <c r="A271" s="197"/>
      <c r="B271" s="3429" t="s">
        <v>1503</v>
      </c>
      <c r="C271" s="3430"/>
      <c r="D271" s="430">
        <f>SUM(D269:D270)</f>
        <v>56000000</v>
      </c>
      <c r="E271" s="431">
        <f>SUM(E269:E270)</f>
        <v>5839548</v>
      </c>
      <c r="F271" s="432">
        <f>SUM(F269:F270)</f>
        <v>0</v>
      </c>
    </row>
    <row r="272" spans="1:6" s="192" customFormat="1" x14ac:dyDescent="0.3">
      <c r="B272" s="433"/>
      <c r="C272" s="433"/>
      <c r="D272" s="434"/>
      <c r="E272" s="434"/>
      <c r="F272" s="435"/>
    </row>
    <row r="273" spans="1:7" s="338" customFormat="1" x14ac:dyDescent="0.3">
      <c r="A273" s="187"/>
      <c r="B273" s="334"/>
      <c r="C273" s="335"/>
      <c r="D273" s="175"/>
      <c r="E273" s="175"/>
      <c r="F273" s="336"/>
      <c r="G273" s="337"/>
    </row>
    <row r="274" spans="1:7" ht="21" thickBot="1" x14ac:dyDescent="0.35">
      <c r="A274" s="184"/>
      <c r="B274" s="293"/>
      <c r="C274" s="196" t="s">
        <v>2212</v>
      </c>
      <c r="D274" s="295"/>
      <c r="E274" s="296"/>
      <c r="F274" s="295"/>
    </row>
    <row r="275" spans="1:7" ht="61.5" thickBot="1" x14ac:dyDescent="0.35">
      <c r="A275" s="297" t="s">
        <v>94</v>
      </c>
      <c r="B275" s="297" t="s">
        <v>1</v>
      </c>
      <c r="C275" s="298" t="s">
        <v>991</v>
      </c>
      <c r="D275" s="1825" t="s">
        <v>1174</v>
      </c>
      <c r="E275" s="1826" t="s">
        <v>1145</v>
      </c>
      <c r="F275" s="173" t="s">
        <v>3098</v>
      </c>
    </row>
    <row r="276" spans="1:7" x14ac:dyDescent="0.3">
      <c r="A276" s="293">
        <v>1</v>
      </c>
      <c r="B276" s="396">
        <v>12020616</v>
      </c>
      <c r="C276" s="335" t="s">
        <v>2213</v>
      </c>
      <c r="D276" s="438">
        <v>5350000</v>
      </c>
      <c r="E276" s="181">
        <v>2648273.66</v>
      </c>
      <c r="F276" s="336">
        <v>6250000</v>
      </c>
    </row>
    <row r="277" spans="1:7" x14ac:dyDescent="0.3">
      <c r="A277" s="293">
        <v>2</v>
      </c>
      <c r="B277" s="396">
        <v>12020456</v>
      </c>
      <c r="C277" s="335" t="s">
        <v>2214</v>
      </c>
      <c r="D277" s="438">
        <v>4500000</v>
      </c>
      <c r="E277" s="181">
        <v>1805400</v>
      </c>
      <c r="F277" s="336">
        <v>6923000</v>
      </c>
    </row>
    <row r="278" spans="1:7" x14ac:dyDescent="0.3">
      <c r="A278" s="293">
        <v>3</v>
      </c>
      <c r="B278" s="396">
        <v>12020452</v>
      </c>
      <c r="C278" s="335" t="s">
        <v>2215</v>
      </c>
      <c r="D278" s="438">
        <v>800000</v>
      </c>
      <c r="E278" s="181">
        <v>602000</v>
      </c>
      <c r="F278" s="336">
        <v>3005000</v>
      </c>
    </row>
    <row r="279" spans="1:7" x14ac:dyDescent="0.3">
      <c r="A279" s="293">
        <v>4</v>
      </c>
      <c r="B279" s="396">
        <v>12020456</v>
      </c>
      <c r="C279" s="335" t="s">
        <v>2216</v>
      </c>
      <c r="D279" s="438">
        <v>1200000</v>
      </c>
      <c r="E279" s="181">
        <v>1333400</v>
      </c>
      <c r="F279" s="336">
        <v>1500000</v>
      </c>
    </row>
    <row r="280" spans="1:7" x14ac:dyDescent="0.3">
      <c r="A280" s="293">
        <v>5</v>
      </c>
      <c r="B280" s="396">
        <v>12020456</v>
      </c>
      <c r="C280" s="335" t="s">
        <v>2217</v>
      </c>
      <c r="D280" s="438">
        <v>500000</v>
      </c>
      <c r="E280" s="181">
        <v>1351400</v>
      </c>
      <c r="F280" s="336">
        <v>1500000</v>
      </c>
    </row>
    <row r="281" spans="1:7" x14ac:dyDescent="0.3">
      <c r="A281" s="293">
        <v>6</v>
      </c>
      <c r="B281" s="396">
        <v>12020456</v>
      </c>
      <c r="C281" s="335" t="s">
        <v>2218</v>
      </c>
      <c r="D281" s="438">
        <v>250000</v>
      </c>
      <c r="E281" s="181" t="s">
        <v>1578</v>
      </c>
      <c r="F281" s="336">
        <v>250000</v>
      </c>
    </row>
    <row r="282" spans="1:7" x14ac:dyDescent="0.3">
      <c r="A282" s="293">
        <v>7</v>
      </c>
      <c r="B282" s="396">
        <v>12020456</v>
      </c>
      <c r="C282" s="335" t="s">
        <v>2219</v>
      </c>
      <c r="D282" s="438">
        <v>200000</v>
      </c>
      <c r="E282" s="181">
        <v>332000</v>
      </c>
      <c r="F282" s="336">
        <v>480000</v>
      </c>
    </row>
    <row r="283" spans="1:7" x14ac:dyDescent="0.3">
      <c r="A283" s="293">
        <v>8</v>
      </c>
      <c r="B283" s="396">
        <v>12020456</v>
      </c>
      <c r="C283" s="335" t="s">
        <v>2220</v>
      </c>
      <c r="D283" s="438">
        <v>200000</v>
      </c>
      <c r="E283" s="181" t="s">
        <v>1578</v>
      </c>
      <c r="F283" s="336">
        <v>480000</v>
      </c>
    </row>
    <row r="284" spans="1:7" x14ac:dyDescent="0.3">
      <c r="A284" s="293">
        <v>9</v>
      </c>
      <c r="B284" s="396">
        <v>12020456</v>
      </c>
      <c r="C284" s="335" t="s">
        <v>2221</v>
      </c>
      <c r="D284" s="438">
        <v>1000000</v>
      </c>
      <c r="E284" s="181">
        <v>588600</v>
      </c>
      <c r="F284" s="336">
        <v>915000</v>
      </c>
    </row>
    <row r="285" spans="1:7" x14ac:dyDescent="0.3">
      <c r="A285" s="293">
        <v>10</v>
      </c>
      <c r="B285" s="396">
        <v>12020456</v>
      </c>
      <c r="C285" s="335" t="s">
        <v>2222</v>
      </c>
      <c r="D285" s="438">
        <v>200000</v>
      </c>
      <c r="E285" s="181">
        <v>359000</v>
      </c>
      <c r="F285" s="336">
        <v>480000</v>
      </c>
    </row>
    <row r="286" spans="1:7" x14ac:dyDescent="0.3">
      <c r="A286" s="293">
        <v>11</v>
      </c>
      <c r="B286" s="396">
        <v>12020456</v>
      </c>
      <c r="C286" s="335" t="s">
        <v>2223</v>
      </c>
      <c r="D286" s="438">
        <v>200000</v>
      </c>
      <c r="E286" s="181" t="s">
        <v>1578</v>
      </c>
      <c r="F286" s="336">
        <v>480000</v>
      </c>
    </row>
    <row r="287" spans="1:7" x14ac:dyDescent="0.3">
      <c r="A287" s="293">
        <v>12</v>
      </c>
      <c r="B287" s="396">
        <v>12020502</v>
      </c>
      <c r="C287" s="335" t="s">
        <v>2224</v>
      </c>
      <c r="D287" s="438">
        <v>200000</v>
      </c>
      <c r="E287" s="181" t="s">
        <v>1578</v>
      </c>
      <c r="F287" s="336">
        <v>480000</v>
      </c>
    </row>
    <row r="288" spans="1:7" x14ac:dyDescent="0.3">
      <c r="A288" s="293">
        <v>13</v>
      </c>
      <c r="B288" s="396">
        <v>12020456</v>
      </c>
      <c r="C288" s="335" t="s">
        <v>2225</v>
      </c>
      <c r="D288" s="438">
        <v>200000</v>
      </c>
      <c r="E288" s="181">
        <v>359000</v>
      </c>
      <c r="F288" s="336">
        <v>480000</v>
      </c>
    </row>
    <row r="289" spans="1:6" x14ac:dyDescent="0.3">
      <c r="A289" s="293">
        <v>14</v>
      </c>
      <c r="B289" s="396">
        <v>12020456</v>
      </c>
      <c r="C289" s="335" t="s">
        <v>2226</v>
      </c>
      <c r="D289" s="438">
        <v>200000</v>
      </c>
      <c r="E289" s="181">
        <v>58000</v>
      </c>
      <c r="F289" s="336">
        <v>120000</v>
      </c>
    </row>
    <row r="290" spans="1:6" x14ac:dyDescent="0.3">
      <c r="A290" s="293">
        <v>15</v>
      </c>
      <c r="B290" s="396">
        <v>12020456</v>
      </c>
      <c r="C290" s="335" t="s">
        <v>2227</v>
      </c>
      <c r="D290" s="438" t="s">
        <v>179</v>
      </c>
      <c r="E290" s="181">
        <v>8000</v>
      </c>
      <c r="F290" s="336">
        <v>480000</v>
      </c>
    </row>
    <row r="291" spans="1:6" ht="21" thickBot="1" x14ac:dyDescent="0.35">
      <c r="A291" s="293">
        <v>16</v>
      </c>
      <c r="B291" s="396">
        <v>12020456</v>
      </c>
      <c r="C291" s="335" t="s">
        <v>3128</v>
      </c>
      <c r="D291" s="1890" t="s">
        <v>179</v>
      </c>
      <c r="E291" s="364">
        <v>2579901</v>
      </c>
      <c r="F291" s="339">
        <v>2000000</v>
      </c>
    </row>
    <row r="292" spans="1:6" ht="21" thickBot="1" x14ac:dyDescent="0.35">
      <c r="A292" s="293"/>
      <c r="B292" s="301" t="s">
        <v>243</v>
      </c>
      <c r="C292" s="195"/>
      <c r="D292" s="388">
        <f>SUM(D276:D291)</f>
        <v>15000000</v>
      </c>
      <c r="E292" s="309">
        <f t="shared" ref="E292" si="5">SUM(E276:E291)</f>
        <v>12024974.66</v>
      </c>
      <c r="F292" s="311">
        <f>SUM(F276:F291)</f>
        <v>25823000</v>
      </c>
    </row>
    <row r="293" spans="1:6" x14ac:dyDescent="0.3">
      <c r="A293" s="439"/>
      <c r="B293" s="440"/>
      <c r="C293" s="441"/>
      <c r="D293" s="442"/>
      <c r="E293" s="443"/>
      <c r="F293" s="442"/>
    </row>
    <row r="294" spans="1:6" s="174" customFormat="1" ht="21" thickBot="1" x14ac:dyDescent="0.35">
      <c r="A294" s="3431" t="s">
        <v>1935</v>
      </c>
      <c r="B294" s="3431"/>
      <c r="C294" s="3431"/>
      <c r="D294" s="3431"/>
      <c r="E294" s="3431"/>
      <c r="F294" s="3431"/>
    </row>
    <row r="295" spans="1:6" ht="61.5" thickBot="1" x14ac:dyDescent="0.35">
      <c r="A295" s="297" t="s">
        <v>94</v>
      </c>
      <c r="B295" s="297" t="s">
        <v>1</v>
      </c>
      <c r="C295" s="298" t="s">
        <v>991</v>
      </c>
      <c r="D295" s="212" t="s">
        <v>1174</v>
      </c>
      <c r="E295" s="300" t="s">
        <v>1145</v>
      </c>
      <c r="F295" s="173" t="s">
        <v>3098</v>
      </c>
    </row>
    <row r="296" spans="1:6" s="174" customFormat="1" x14ac:dyDescent="0.3">
      <c r="A296" s="293">
        <v>1</v>
      </c>
      <c r="B296" s="396">
        <v>12020616</v>
      </c>
      <c r="C296" s="444" t="s">
        <v>2228</v>
      </c>
      <c r="D296" s="344">
        <v>5000000</v>
      </c>
      <c r="E296" s="181">
        <v>7272719.2800000003</v>
      </c>
      <c r="F296" s="181">
        <v>8750000</v>
      </c>
    </row>
    <row r="297" spans="1:6" s="174" customFormat="1" x14ac:dyDescent="0.3">
      <c r="A297" s="293">
        <v>2</v>
      </c>
      <c r="B297" s="396">
        <v>12020456</v>
      </c>
      <c r="C297" s="174" t="s">
        <v>2229</v>
      </c>
      <c r="D297" s="344">
        <v>0</v>
      </c>
      <c r="E297" s="181">
        <v>0</v>
      </c>
      <c r="F297" s="336">
        <v>4500000</v>
      </c>
    </row>
    <row r="298" spans="1:6" s="174" customFormat="1" x14ac:dyDescent="0.3">
      <c r="A298" s="293">
        <v>3</v>
      </c>
      <c r="B298" s="396">
        <v>12020456</v>
      </c>
      <c r="C298" s="444" t="s">
        <v>2230</v>
      </c>
      <c r="D298" s="344">
        <v>5000000</v>
      </c>
      <c r="E298" s="181">
        <v>0</v>
      </c>
      <c r="F298" s="336">
        <v>1675000</v>
      </c>
    </row>
    <row r="299" spans="1:6" s="174" customFormat="1" x14ac:dyDescent="0.3">
      <c r="A299" s="293">
        <v>4</v>
      </c>
      <c r="B299" s="396">
        <v>12020452</v>
      </c>
      <c r="C299" s="444" t="s">
        <v>2231</v>
      </c>
      <c r="D299" s="344">
        <v>1000000</v>
      </c>
      <c r="E299" s="181">
        <v>73300</v>
      </c>
      <c r="F299" s="336">
        <v>2000000</v>
      </c>
    </row>
    <row r="300" spans="1:6" s="174" customFormat="1" x14ac:dyDescent="0.3">
      <c r="A300" s="293">
        <v>5</v>
      </c>
      <c r="B300" s="396">
        <v>12020456</v>
      </c>
      <c r="C300" s="444" t="s">
        <v>2232</v>
      </c>
      <c r="D300" s="344">
        <v>350000</v>
      </c>
      <c r="E300" s="181">
        <v>0</v>
      </c>
      <c r="F300" s="336">
        <v>134000</v>
      </c>
    </row>
    <row r="301" spans="1:6" s="174" customFormat="1" x14ac:dyDescent="0.3">
      <c r="A301" s="293">
        <v>6</v>
      </c>
      <c r="B301" s="396">
        <v>12020503</v>
      </c>
      <c r="C301" s="444" t="s">
        <v>2233</v>
      </c>
      <c r="D301" s="344">
        <v>450000</v>
      </c>
      <c r="E301" s="181">
        <v>0</v>
      </c>
      <c r="F301" s="336">
        <v>335000</v>
      </c>
    </row>
    <row r="302" spans="1:6" s="174" customFormat="1" x14ac:dyDescent="0.3">
      <c r="A302" s="293">
        <v>7</v>
      </c>
      <c r="B302" s="396">
        <v>12020456</v>
      </c>
      <c r="C302" s="444" t="s">
        <v>2234</v>
      </c>
      <c r="D302" s="344">
        <v>600000</v>
      </c>
      <c r="E302" s="181">
        <v>0</v>
      </c>
      <c r="F302" s="336">
        <v>402000</v>
      </c>
    </row>
    <row r="303" spans="1:6" s="174" customFormat="1" x14ac:dyDescent="0.3">
      <c r="A303" s="293">
        <v>8</v>
      </c>
      <c r="B303" s="396">
        <v>12020456</v>
      </c>
      <c r="C303" s="444" t="s">
        <v>2235</v>
      </c>
      <c r="D303" s="344">
        <v>1000000</v>
      </c>
      <c r="E303" s="181">
        <v>0</v>
      </c>
      <c r="F303" s="336">
        <v>3350000</v>
      </c>
    </row>
    <row r="304" spans="1:6" s="174" customFormat="1" x14ac:dyDescent="0.3">
      <c r="A304" s="293">
        <v>9</v>
      </c>
      <c r="B304" s="396">
        <v>12020456</v>
      </c>
      <c r="C304" s="444" t="s">
        <v>2236</v>
      </c>
      <c r="D304" s="344">
        <v>400000</v>
      </c>
      <c r="E304" s="181">
        <v>0</v>
      </c>
      <c r="F304" s="181">
        <v>400000</v>
      </c>
    </row>
    <row r="305" spans="1:6" s="174" customFormat="1" x14ac:dyDescent="0.3">
      <c r="A305" s="293">
        <v>10</v>
      </c>
      <c r="B305" s="396">
        <v>12020456</v>
      </c>
      <c r="C305" s="444" t="s">
        <v>2237</v>
      </c>
      <c r="D305" s="344">
        <v>500000</v>
      </c>
      <c r="E305" s="181">
        <v>0</v>
      </c>
      <c r="F305" s="336">
        <v>335000</v>
      </c>
    </row>
    <row r="306" spans="1:6" s="174" customFormat="1" x14ac:dyDescent="0.3">
      <c r="A306" s="293">
        <v>11</v>
      </c>
      <c r="B306" s="396">
        <v>12020502</v>
      </c>
      <c r="C306" s="444" t="s">
        <v>2238</v>
      </c>
      <c r="D306" s="344">
        <v>0</v>
      </c>
      <c r="E306" s="181">
        <v>0</v>
      </c>
      <c r="F306" s="336">
        <v>402000</v>
      </c>
    </row>
    <row r="307" spans="1:6" s="174" customFormat="1" x14ac:dyDescent="0.3">
      <c r="A307" s="293">
        <v>12</v>
      </c>
      <c r="B307" s="396">
        <v>12020456</v>
      </c>
      <c r="C307" s="444" t="s">
        <v>2239</v>
      </c>
      <c r="D307" s="344">
        <v>0</v>
      </c>
      <c r="E307" s="181">
        <v>0</v>
      </c>
      <c r="F307" s="336">
        <v>450000</v>
      </c>
    </row>
    <row r="308" spans="1:6" s="174" customFormat="1" x14ac:dyDescent="0.3">
      <c r="A308" s="293">
        <v>13</v>
      </c>
      <c r="B308" s="396">
        <v>12020456</v>
      </c>
      <c r="C308" s="444" t="s">
        <v>2240</v>
      </c>
      <c r="D308" s="445">
        <v>350000</v>
      </c>
      <c r="E308" s="421">
        <v>0</v>
      </c>
      <c r="F308" s="336">
        <v>335000</v>
      </c>
    </row>
    <row r="309" spans="1:6" s="174" customFormat="1" x14ac:dyDescent="0.3">
      <c r="A309" s="293">
        <v>14</v>
      </c>
      <c r="B309" s="396">
        <v>12020456</v>
      </c>
      <c r="C309" s="444" t="s">
        <v>2241</v>
      </c>
      <c r="D309" s="445">
        <v>250000</v>
      </c>
      <c r="E309" s="421">
        <v>287000</v>
      </c>
      <c r="F309" s="336">
        <v>335000</v>
      </c>
    </row>
    <row r="310" spans="1:6" s="174" customFormat="1" x14ac:dyDescent="0.3">
      <c r="A310" s="293">
        <v>15</v>
      </c>
      <c r="B310" s="396">
        <v>12020456</v>
      </c>
      <c r="C310" s="444" t="s">
        <v>2242</v>
      </c>
      <c r="D310" s="445">
        <v>1600000</v>
      </c>
      <c r="E310" s="421">
        <v>5445500</v>
      </c>
      <c r="F310" s="336">
        <v>2500000</v>
      </c>
    </row>
    <row r="311" spans="1:6" s="174" customFormat="1" ht="21" thickBot="1" x14ac:dyDescent="0.35">
      <c r="A311" s="293">
        <v>16</v>
      </c>
      <c r="B311" s="396">
        <v>12020611</v>
      </c>
      <c r="C311" s="446" t="s">
        <v>3236</v>
      </c>
      <c r="D311" s="1891">
        <v>0</v>
      </c>
      <c r="E311" s="315">
        <v>971700</v>
      </c>
      <c r="F311" s="339">
        <v>0</v>
      </c>
    </row>
    <row r="312" spans="1:6" s="174" customFormat="1" ht="21" thickBot="1" x14ac:dyDescent="0.35">
      <c r="B312" s="301" t="s">
        <v>243</v>
      </c>
      <c r="C312" s="758"/>
      <c r="D312" s="430">
        <f>SUM(D296:D311)</f>
        <v>16500000</v>
      </c>
      <c r="E312" s="431">
        <f t="shared" ref="E312" si="6">SUM(E296:E311)</f>
        <v>14050219.280000001</v>
      </c>
      <c r="F312" s="432">
        <f>SUM(F296:F311)</f>
        <v>25903000</v>
      </c>
    </row>
    <row r="313" spans="1:6" x14ac:dyDescent="0.3">
      <c r="A313" s="439"/>
      <c r="B313" s="440"/>
      <c r="C313" s="441"/>
      <c r="D313" s="442"/>
      <c r="E313" s="443"/>
      <c r="F313" s="442"/>
    </row>
    <row r="314" spans="1:6" s="174" customFormat="1" ht="21" thickBot="1" x14ac:dyDescent="0.35">
      <c r="A314" s="3431" t="s">
        <v>2093</v>
      </c>
      <c r="B314" s="3431"/>
      <c r="C314" s="3431"/>
      <c r="D314" s="3431"/>
      <c r="E314" s="3431"/>
      <c r="F314" s="3431"/>
    </row>
    <row r="315" spans="1:6" ht="61.5" thickBot="1" x14ac:dyDescent="0.35">
      <c r="A315" s="297" t="s">
        <v>94</v>
      </c>
      <c r="B315" s="297" t="s">
        <v>1</v>
      </c>
      <c r="C315" s="298" t="s">
        <v>991</v>
      </c>
      <c r="D315" s="212" t="s">
        <v>1174</v>
      </c>
      <c r="E315" s="300" t="s">
        <v>1145</v>
      </c>
      <c r="F315" s="173" t="s">
        <v>3098</v>
      </c>
    </row>
    <row r="316" spans="1:6" s="174" customFormat="1" x14ac:dyDescent="0.3">
      <c r="A316" s="293">
        <v>1</v>
      </c>
      <c r="B316" s="396">
        <v>12020449</v>
      </c>
      <c r="C316" s="408" t="s">
        <v>2243</v>
      </c>
      <c r="D316" s="344">
        <v>500000</v>
      </c>
      <c r="E316" s="181">
        <v>0</v>
      </c>
      <c r="F316" s="181">
        <v>1500000</v>
      </c>
    </row>
    <row r="317" spans="1:6" s="174" customFormat="1" x14ac:dyDescent="0.3">
      <c r="A317" s="293">
        <v>2</v>
      </c>
      <c r="B317" s="396">
        <v>12020449</v>
      </c>
      <c r="C317" s="408" t="s">
        <v>2244</v>
      </c>
      <c r="D317" s="344"/>
      <c r="E317" s="181"/>
      <c r="F317" s="181">
        <v>400000</v>
      </c>
    </row>
    <row r="318" spans="1:6" s="174" customFormat="1" ht="21" thickBot="1" x14ac:dyDescent="0.35">
      <c r="A318" s="293">
        <v>3</v>
      </c>
      <c r="B318" s="396">
        <v>12021211</v>
      </c>
      <c r="C318" s="335" t="s">
        <v>3237</v>
      </c>
      <c r="D318" s="344">
        <v>26000000</v>
      </c>
      <c r="E318" s="181">
        <v>11617900.23</v>
      </c>
      <c r="F318" s="181">
        <v>36000000</v>
      </c>
    </row>
    <row r="319" spans="1:6" s="174" customFormat="1" ht="21" thickBot="1" x14ac:dyDescent="0.35">
      <c r="A319" s="197"/>
      <c r="B319" s="301" t="s">
        <v>243</v>
      </c>
      <c r="C319" s="561"/>
      <c r="D319" s="430">
        <f>SUM(D316:D318)</f>
        <v>26500000</v>
      </c>
      <c r="E319" s="430">
        <f t="shared" ref="E319" si="7">SUM(E316:E318)</f>
        <v>11617900.23</v>
      </c>
      <c r="F319" s="403">
        <f>SUM(F316:F318)</f>
        <v>37900000</v>
      </c>
    </row>
    <row r="320" spans="1:6" s="174" customFormat="1" x14ac:dyDescent="0.3">
      <c r="B320" s="433"/>
      <c r="C320" s="433"/>
      <c r="D320" s="434"/>
      <c r="E320" s="435"/>
      <c r="F320" s="435"/>
    </row>
    <row r="321" spans="1:6" s="174" customFormat="1" ht="21" thickBot="1" x14ac:dyDescent="0.35">
      <c r="A321" s="3424" t="s">
        <v>2245</v>
      </c>
      <c r="B321" s="3424"/>
      <c r="C321" s="3424"/>
      <c r="D321" s="3424"/>
      <c r="E321" s="3424"/>
      <c r="F321" s="3424"/>
    </row>
    <row r="322" spans="1:6" ht="61.5" thickBot="1" x14ac:dyDescent="0.35">
      <c r="A322" s="297" t="s">
        <v>94</v>
      </c>
      <c r="B322" s="297" t="s">
        <v>1</v>
      </c>
      <c r="C322" s="298" t="s">
        <v>991</v>
      </c>
      <c r="D322" s="212" t="s">
        <v>1174</v>
      </c>
      <c r="E322" s="300" t="s">
        <v>1145</v>
      </c>
      <c r="F322" s="173" t="s">
        <v>3098</v>
      </c>
    </row>
    <row r="323" spans="1:6" s="174" customFormat="1" ht="21" thickBot="1" x14ac:dyDescent="0.35">
      <c r="A323" s="293">
        <v>1</v>
      </c>
      <c r="B323" s="396">
        <v>12020453</v>
      </c>
      <c r="C323" s="446" t="s">
        <v>692</v>
      </c>
      <c r="E323" s="172"/>
      <c r="F323" s="500">
        <v>200000</v>
      </c>
    </row>
    <row r="324" spans="1:6" s="174" customFormat="1" ht="21" thickBot="1" x14ac:dyDescent="0.35">
      <c r="B324" s="559" t="s">
        <v>1503</v>
      </c>
      <c r="C324" s="559"/>
      <c r="D324" s="402">
        <f>SUM(D323:D323)</f>
        <v>0</v>
      </c>
      <c r="E324" s="757">
        <f>SUM(E323:E323)</f>
        <v>0</v>
      </c>
      <c r="F324" s="432">
        <f>SUM(F323:F323)</f>
        <v>200000</v>
      </c>
    </row>
    <row r="325" spans="1:6" x14ac:dyDescent="0.3">
      <c r="A325" s="184"/>
      <c r="B325" s="293"/>
      <c r="C325" s="178"/>
      <c r="D325" s="458"/>
      <c r="E325" s="490"/>
      <c r="F325" s="458"/>
    </row>
    <row r="326" spans="1:6" ht="21" thickBot="1" x14ac:dyDescent="0.35">
      <c r="A326" s="184"/>
      <c r="B326" s="293"/>
      <c r="C326" s="196" t="s">
        <v>1068</v>
      </c>
      <c r="D326" s="295"/>
      <c r="E326" s="296"/>
      <c r="F326" s="295"/>
    </row>
    <row r="327" spans="1:6" ht="61.5" thickBot="1" x14ac:dyDescent="0.35">
      <c r="A327" s="297" t="s">
        <v>94</v>
      </c>
      <c r="B327" s="297" t="s">
        <v>1</v>
      </c>
      <c r="C327" s="298" t="s">
        <v>991</v>
      </c>
      <c r="D327" s="212" t="s">
        <v>1174</v>
      </c>
      <c r="E327" s="300" t="s">
        <v>1145</v>
      </c>
      <c r="F327" s="173" t="s">
        <v>3098</v>
      </c>
    </row>
    <row r="328" spans="1:6" x14ac:dyDescent="0.3">
      <c r="A328" s="301">
        <v>1</v>
      </c>
      <c r="B328" s="396">
        <v>12020133</v>
      </c>
      <c r="C328" s="335" t="s">
        <v>2124</v>
      </c>
      <c r="D328" s="185">
        <v>500000</v>
      </c>
      <c r="E328" s="175">
        <v>25000</v>
      </c>
      <c r="F328" s="179">
        <v>500000</v>
      </c>
    </row>
    <row r="329" spans="1:6" x14ac:dyDescent="0.3">
      <c r="A329" s="301">
        <v>2</v>
      </c>
      <c r="B329" s="396">
        <v>12020415</v>
      </c>
      <c r="C329" s="191" t="s">
        <v>2125</v>
      </c>
      <c r="D329" s="397">
        <v>10000000</v>
      </c>
      <c r="E329" s="175">
        <v>0</v>
      </c>
      <c r="F329" s="179">
        <v>1200000</v>
      </c>
    </row>
    <row r="330" spans="1:6" x14ac:dyDescent="0.3">
      <c r="A330" s="301">
        <v>3</v>
      </c>
      <c r="B330" s="396">
        <v>12020415</v>
      </c>
      <c r="C330" s="191" t="s">
        <v>2126</v>
      </c>
      <c r="D330" s="397"/>
      <c r="E330" s="175"/>
      <c r="F330" s="179">
        <v>600000</v>
      </c>
    </row>
    <row r="331" spans="1:6" x14ac:dyDescent="0.3">
      <c r="A331" s="301">
        <v>4</v>
      </c>
      <c r="B331" s="396">
        <v>12020438</v>
      </c>
      <c r="C331" s="189" t="s">
        <v>659</v>
      </c>
      <c r="D331" s="175">
        <v>5000000</v>
      </c>
      <c r="E331" s="175">
        <v>0</v>
      </c>
      <c r="F331" s="179">
        <v>2500000</v>
      </c>
    </row>
    <row r="332" spans="1:6" x14ac:dyDescent="0.3">
      <c r="A332" s="301">
        <v>5</v>
      </c>
      <c r="B332" s="396">
        <v>12020711</v>
      </c>
      <c r="C332" s="189" t="s">
        <v>2127</v>
      </c>
      <c r="D332" s="175">
        <v>500000</v>
      </c>
      <c r="E332" s="175">
        <v>0</v>
      </c>
      <c r="F332" s="179">
        <v>250000</v>
      </c>
    </row>
    <row r="333" spans="1:6" ht="21" thickBot="1" x14ac:dyDescent="0.35">
      <c r="A333" s="301">
        <v>6</v>
      </c>
      <c r="B333" s="396">
        <v>12020621</v>
      </c>
      <c r="C333" s="191" t="s">
        <v>678</v>
      </c>
      <c r="D333" s="410">
        <v>2500000</v>
      </c>
      <c r="E333" s="172">
        <v>0</v>
      </c>
      <c r="F333" s="180">
        <v>0</v>
      </c>
    </row>
    <row r="334" spans="1:6" ht="21" thickBot="1" x14ac:dyDescent="0.35">
      <c r="A334" s="293"/>
      <c r="B334" s="301" t="s">
        <v>243</v>
      </c>
      <c r="C334" s="195"/>
      <c r="D334" s="388">
        <f>SUM(D328:D333)</f>
        <v>18500000</v>
      </c>
      <c r="E334" s="309">
        <f t="shared" ref="E334" si="8">SUM(E328:E333)</f>
        <v>25000</v>
      </c>
      <c r="F334" s="311">
        <f>SUM(F328:F333)</f>
        <v>5050000</v>
      </c>
    </row>
    <row r="335" spans="1:6" x14ac:dyDescent="0.3">
      <c r="A335" s="451"/>
      <c r="B335" s="301"/>
      <c r="C335" s="196"/>
      <c r="D335" s="392"/>
      <c r="E335" s="1894"/>
      <c r="F335" s="392"/>
    </row>
    <row r="336" spans="1:6" ht="21" thickBot="1" x14ac:dyDescent="0.35">
      <c r="A336" s="451"/>
      <c r="B336" s="301"/>
      <c r="C336" s="196" t="s">
        <v>2959</v>
      </c>
      <c r="D336" s="394"/>
      <c r="E336" s="427"/>
      <c r="F336" s="394"/>
    </row>
    <row r="337" spans="1:6" ht="61.5" thickBot="1" x14ac:dyDescent="0.35">
      <c r="A337" s="297" t="s">
        <v>94</v>
      </c>
      <c r="B337" s="297" t="s">
        <v>1</v>
      </c>
      <c r="C337" s="298" t="s">
        <v>991</v>
      </c>
      <c r="D337" s="212" t="s">
        <v>1174</v>
      </c>
      <c r="E337" s="300" t="s">
        <v>1145</v>
      </c>
      <c r="F337" s="173" t="s">
        <v>3098</v>
      </c>
    </row>
    <row r="338" spans="1:6" s="174" customFormat="1" x14ac:dyDescent="0.3">
      <c r="A338" s="186"/>
      <c r="B338" s="419">
        <v>12020453</v>
      </c>
      <c r="C338" s="197" t="s">
        <v>2717</v>
      </c>
      <c r="D338" s="152">
        <v>713029200</v>
      </c>
      <c r="E338" s="152"/>
      <c r="F338" s="152">
        <v>713029200</v>
      </c>
    </row>
    <row r="339" spans="1:6" s="174" customFormat="1" ht="21" thickBot="1" x14ac:dyDescent="0.35">
      <c r="A339" s="186"/>
      <c r="B339" s="419">
        <v>12020454</v>
      </c>
      <c r="C339" s="197" t="s">
        <v>2966</v>
      </c>
      <c r="D339" s="1892"/>
      <c r="E339" s="1892"/>
      <c r="F339" s="1892">
        <v>150000000</v>
      </c>
    </row>
    <row r="340" spans="1:6" ht="21" thickBot="1" x14ac:dyDescent="0.35">
      <c r="A340" s="293"/>
      <c r="B340" s="301" t="s">
        <v>243</v>
      </c>
      <c r="C340" s="195"/>
      <c r="D340" s="388">
        <f>SUM(D338)</f>
        <v>713029200</v>
      </c>
      <c r="E340" s="309">
        <f t="shared" ref="E340" si="9">SUM(E338)</f>
        <v>0</v>
      </c>
      <c r="F340" s="311">
        <f>SUM(F338:F339)</f>
        <v>863029200</v>
      </c>
    </row>
    <row r="341" spans="1:6" s="174" customFormat="1" x14ac:dyDescent="0.3">
      <c r="A341" s="1861"/>
      <c r="B341" s="151"/>
      <c r="C341" s="197"/>
      <c r="D341" s="1893"/>
      <c r="E341" s="1893"/>
      <c r="F341" s="1893"/>
    </row>
    <row r="342" spans="1:6" s="174" customFormat="1" ht="21" thickBot="1" x14ac:dyDescent="0.35">
      <c r="A342" s="3434" t="s">
        <v>2246</v>
      </c>
      <c r="B342" s="3435"/>
      <c r="C342" s="3435"/>
      <c r="D342" s="3435"/>
      <c r="E342" s="3435"/>
      <c r="F342" s="3435"/>
    </row>
    <row r="343" spans="1:6" ht="61.5" thickBot="1" x14ac:dyDescent="0.35">
      <c r="A343" s="297" t="s">
        <v>94</v>
      </c>
      <c r="B343" s="297" t="s">
        <v>1</v>
      </c>
      <c r="C343" s="298" t="s">
        <v>991</v>
      </c>
      <c r="D343" s="212" t="s">
        <v>1174</v>
      </c>
      <c r="E343" s="300" t="s">
        <v>1145</v>
      </c>
      <c r="F343" s="173" t="s">
        <v>3098</v>
      </c>
    </row>
    <row r="344" spans="1:6" s="174" customFormat="1" x14ac:dyDescent="0.3">
      <c r="A344" s="452">
        <v>1</v>
      </c>
      <c r="B344" s="293">
        <v>12020801</v>
      </c>
      <c r="C344" s="335" t="s">
        <v>3238</v>
      </c>
      <c r="D344" s="175">
        <v>960000</v>
      </c>
      <c r="E344" s="175">
        <v>669057</v>
      </c>
      <c r="F344" s="181">
        <v>2000000</v>
      </c>
    </row>
    <row r="345" spans="1:6" s="174" customFormat="1" x14ac:dyDescent="0.3">
      <c r="A345" s="452">
        <v>2</v>
      </c>
      <c r="B345" s="293">
        <v>12020801</v>
      </c>
      <c r="C345" s="335" t="s">
        <v>3239</v>
      </c>
      <c r="D345" s="175">
        <v>400100</v>
      </c>
      <c r="E345" s="175">
        <v>396499.95</v>
      </c>
      <c r="F345" s="181">
        <v>1000000</v>
      </c>
    </row>
    <row r="346" spans="1:6" s="174" customFormat="1" x14ac:dyDescent="0.3">
      <c r="A346" s="452">
        <v>3</v>
      </c>
      <c r="B346" s="293">
        <v>12020802</v>
      </c>
      <c r="C346" s="335" t="s">
        <v>3240</v>
      </c>
      <c r="D346" s="175">
        <v>288000</v>
      </c>
      <c r="E346" s="175">
        <v>337694.66</v>
      </c>
      <c r="F346" s="181">
        <v>600000</v>
      </c>
    </row>
    <row r="347" spans="1:6" s="174" customFormat="1" x14ac:dyDescent="0.3">
      <c r="A347" s="452">
        <v>4</v>
      </c>
      <c r="B347" s="293">
        <v>12020704</v>
      </c>
      <c r="C347" s="335" t="s">
        <v>3241</v>
      </c>
      <c r="D347" s="175">
        <v>3200000</v>
      </c>
      <c r="E347" s="175">
        <v>2597886.67</v>
      </c>
      <c r="F347" s="181">
        <v>3500000</v>
      </c>
    </row>
    <row r="348" spans="1:6" s="174" customFormat="1" x14ac:dyDescent="0.3">
      <c r="A348" s="452">
        <v>5</v>
      </c>
      <c r="B348" s="293">
        <v>12020453</v>
      </c>
      <c r="C348" s="335" t="s">
        <v>2247</v>
      </c>
      <c r="D348" s="175">
        <v>5250000</v>
      </c>
      <c r="E348" s="175">
        <v>0</v>
      </c>
      <c r="F348" s="181">
        <v>5550000</v>
      </c>
    </row>
    <row r="349" spans="1:6" s="174" customFormat="1" x14ac:dyDescent="0.3">
      <c r="A349" s="452">
        <v>6</v>
      </c>
      <c r="B349" s="293">
        <v>12020453</v>
      </c>
      <c r="C349" s="335" t="s">
        <v>2248</v>
      </c>
      <c r="D349" s="175">
        <v>2923100</v>
      </c>
      <c r="E349" s="175">
        <v>1843080.34</v>
      </c>
      <c r="F349" s="181">
        <v>1080020</v>
      </c>
    </row>
    <row r="350" spans="1:6" s="174" customFormat="1" ht="21" thickBot="1" x14ac:dyDescent="0.35">
      <c r="A350" s="452">
        <v>7</v>
      </c>
      <c r="B350" s="293">
        <v>12020461</v>
      </c>
      <c r="C350" s="335" t="s">
        <v>2249</v>
      </c>
      <c r="D350" s="172"/>
      <c r="E350" s="172"/>
      <c r="F350" s="364">
        <v>1625000000</v>
      </c>
    </row>
    <row r="351" spans="1:6" s="174" customFormat="1" ht="21" thickBot="1" x14ac:dyDescent="0.35">
      <c r="A351" s="564"/>
      <c r="B351" s="301" t="s">
        <v>243</v>
      </c>
      <c r="C351" s="1871"/>
      <c r="D351" s="402">
        <f>SUM(D344:D350)</f>
        <v>13021200</v>
      </c>
      <c r="E351" s="519">
        <f t="shared" ref="E351" si="10">SUM(E344:E350)</f>
        <v>5844218.6200000001</v>
      </c>
      <c r="F351" s="432">
        <f>SUM(F344:F350)</f>
        <v>1638730020</v>
      </c>
    </row>
    <row r="352" spans="1:6" s="378" customFormat="1" x14ac:dyDescent="0.3">
      <c r="B352" s="373"/>
      <c r="C352" s="389"/>
      <c r="D352" s="390"/>
      <c r="E352" s="391"/>
      <c r="F352" s="390"/>
    </row>
    <row r="353" spans="1:6" ht="21" thickBot="1" x14ac:dyDescent="0.35">
      <c r="A353" s="184"/>
      <c r="B353" s="293"/>
      <c r="C353" s="3436" t="s">
        <v>1069</v>
      </c>
      <c r="D353" s="3437"/>
      <c r="E353" s="3438"/>
      <c r="F353" s="295"/>
    </row>
    <row r="354" spans="1:6" ht="61.5" thickBot="1" x14ac:dyDescent="0.35">
      <c r="A354" s="297" t="s">
        <v>94</v>
      </c>
      <c r="B354" s="297" t="s">
        <v>1</v>
      </c>
      <c r="C354" s="298" t="s">
        <v>991</v>
      </c>
      <c r="D354" s="212" t="s">
        <v>1174</v>
      </c>
      <c r="E354" s="300" t="s">
        <v>1145</v>
      </c>
      <c r="F354" s="173" t="s">
        <v>3098</v>
      </c>
    </row>
    <row r="355" spans="1:6" x14ac:dyDescent="0.3">
      <c r="A355" s="293">
        <v>1</v>
      </c>
      <c r="B355" s="293">
        <v>12020442</v>
      </c>
      <c r="C355" s="189" t="s">
        <v>2250</v>
      </c>
      <c r="D355" s="181">
        <v>500000</v>
      </c>
      <c r="E355" s="175"/>
      <c r="F355" s="181">
        <v>500000</v>
      </c>
    </row>
    <row r="356" spans="1:6" x14ac:dyDescent="0.3">
      <c r="A356" s="293">
        <v>2</v>
      </c>
      <c r="B356" s="293">
        <v>12020442</v>
      </c>
      <c r="C356" s="189" t="s">
        <v>2171</v>
      </c>
      <c r="D356" s="181"/>
      <c r="E356" s="175"/>
      <c r="F356" s="181">
        <v>50000</v>
      </c>
    </row>
    <row r="357" spans="1:6" x14ac:dyDescent="0.3">
      <c r="A357" s="293">
        <v>3</v>
      </c>
      <c r="B357" s="293">
        <v>12020456</v>
      </c>
      <c r="C357" s="189" t="s">
        <v>2251</v>
      </c>
      <c r="D357" s="181"/>
      <c r="E357" s="175"/>
      <c r="F357" s="181">
        <v>300000</v>
      </c>
    </row>
    <row r="358" spans="1:6" x14ac:dyDescent="0.3">
      <c r="A358" s="293">
        <v>4</v>
      </c>
      <c r="B358" s="293">
        <v>12020705</v>
      </c>
      <c r="C358" s="189" t="s">
        <v>2172</v>
      </c>
      <c r="D358" s="295">
        <v>0</v>
      </c>
      <c r="E358" s="296"/>
      <c r="F358" s="181">
        <v>1000000</v>
      </c>
    </row>
    <row r="359" spans="1:6" x14ac:dyDescent="0.3">
      <c r="A359" s="293">
        <v>5</v>
      </c>
      <c r="B359" s="293">
        <v>12020705</v>
      </c>
      <c r="C359" s="189" t="s">
        <v>2185</v>
      </c>
      <c r="D359" s="295">
        <v>2000000</v>
      </c>
      <c r="E359" s="296">
        <v>130000</v>
      </c>
      <c r="F359" s="181">
        <v>1000000</v>
      </c>
    </row>
    <row r="360" spans="1:6" ht="21" thickBot="1" x14ac:dyDescent="0.35">
      <c r="A360" s="293">
        <v>6</v>
      </c>
      <c r="B360" s="293">
        <v>12020119</v>
      </c>
      <c r="C360" s="189" t="s">
        <v>245</v>
      </c>
      <c r="D360" s="658">
        <v>0</v>
      </c>
      <c r="E360" s="1870"/>
      <c r="F360" s="658">
        <v>0</v>
      </c>
    </row>
    <row r="361" spans="1:6" ht="21" thickBot="1" x14ac:dyDescent="0.35">
      <c r="A361" s="293"/>
      <c r="B361" s="301" t="s">
        <v>243</v>
      </c>
      <c r="C361" s="195"/>
      <c r="D361" s="388">
        <f>SUM(D355:D360)</f>
        <v>2500000</v>
      </c>
      <c r="E361" s="309">
        <f t="shared" ref="E361" si="11">SUM(E355:E360)</f>
        <v>130000</v>
      </c>
      <c r="F361" s="311">
        <f>SUM(F355:F360)</f>
        <v>2850000</v>
      </c>
    </row>
    <row r="362" spans="1:6" x14ac:dyDescent="0.3">
      <c r="A362" s="184"/>
      <c r="B362" s="293"/>
      <c r="C362" s="178"/>
      <c r="D362" s="458"/>
      <c r="E362" s="490"/>
      <c r="F362" s="458"/>
    </row>
    <row r="363" spans="1:6" ht="21" thickBot="1" x14ac:dyDescent="0.35">
      <c r="A363" s="184"/>
      <c r="B363" s="293"/>
      <c r="C363" s="196" t="s">
        <v>1070</v>
      </c>
      <c r="D363" s="295"/>
      <c r="E363" s="296"/>
      <c r="F363" s="295"/>
    </row>
    <row r="364" spans="1:6" ht="61.5" thickBot="1" x14ac:dyDescent="0.35">
      <c r="A364" s="297" t="s">
        <v>94</v>
      </c>
      <c r="B364" s="297" t="s">
        <v>1</v>
      </c>
      <c r="C364" s="298" t="s">
        <v>991</v>
      </c>
      <c r="D364" s="212" t="s">
        <v>1174</v>
      </c>
      <c r="E364" s="300" t="s">
        <v>1145</v>
      </c>
      <c r="F364" s="173" t="s">
        <v>3098</v>
      </c>
    </row>
    <row r="365" spans="1:6" x14ac:dyDescent="0.3">
      <c r="A365" s="293">
        <v>1</v>
      </c>
      <c r="B365" s="419">
        <v>12020453</v>
      </c>
      <c r="C365" s="408" t="s">
        <v>2114</v>
      </c>
      <c r="D365" s="190">
        <v>1000000</v>
      </c>
      <c r="E365" s="190">
        <v>84250</v>
      </c>
      <c r="F365" s="182">
        <v>1000000</v>
      </c>
    </row>
    <row r="366" spans="1:6" ht="21" thickBot="1" x14ac:dyDescent="0.35">
      <c r="A366" s="293">
        <v>2</v>
      </c>
      <c r="B366" s="419">
        <v>12020453</v>
      </c>
      <c r="C366" s="335" t="s">
        <v>2170</v>
      </c>
      <c r="D366" s="172"/>
      <c r="E366" s="172"/>
      <c r="F366" s="339">
        <v>0</v>
      </c>
    </row>
    <row r="367" spans="1:6" ht="21" thickBot="1" x14ac:dyDescent="0.35">
      <c r="A367" s="293"/>
      <c r="B367" s="301" t="s">
        <v>243</v>
      </c>
      <c r="C367" s="195"/>
      <c r="D367" s="388">
        <f>SUM(D365:D365)</f>
        <v>1000000</v>
      </c>
      <c r="E367" s="310">
        <f>SUM(E365:E365)</f>
        <v>84250</v>
      </c>
      <c r="F367" s="311">
        <f>SUM(F365:F366)</f>
        <v>1000000</v>
      </c>
    </row>
    <row r="368" spans="1:6" x14ac:dyDescent="0.3">
      <c r="A368" s="184"/>
      <c r="B368" s="293"/>
      <c r="C368" s="178"/>
      <c r="D368" s="458"/>
      <c r="E368" s="490"/>
      <c r="F368" s="458"/>
    </row>
    <row r="369" spans="1:6" ht="21" thickBot="1" x14ac:dyDescent="0.35">
      <c r="A369" s="184"/>
      <c r="B369" s="293"/>
      <c r="C369" s="196" t="s">
        <v>1071</v>
      </c>
      <c r="D369" s="295"/>
      <c r="E369" s="296"/>
      <c r="F369" s="295"/>
    </row>
    <row r="370" spans="1:6" ht="61.5" thickBot="1" x14ac:dyDescent="0.35">
      <c r="A370" s="297" t="s">
        <v>94</v>
      </c>
      <c r="B370" s="297" t="s">
        <v>1</v>
      </c>
      <c r="C370" s="298" t="s">
        <v>991</v>
      </c>
      <c r="D370" s="212" t="s">
        <v>1174</v>
      </c>
      <c r="E370" s="300" t="s">
        <v>1145</v>
      </c>
      <c r="F370" s="173" t="s">
        <v>3098</v>
      </c>
    </row>
    <row r="371" spans="1:6" x14ac:dyDescent="0.3">
      <c r="A371" s="293">
        <v>1</v>
      </c>
      <c r="B371" s="293">
        <v>12020428</v>
      </c>
      <c r="C371" s="454" t="s">
        <v>1469</v>
      </c>
      <c r="D371" s="181">
        <v>2000000</v>
      </c>
      <c r="E371" s="175">
        <v>490000</v>
      </c>
      <c r="F371" s="181">
        <v>4265000</v>
      </c>
    </row>
    <row r="372" spans="1:6" x14ac:dyDescent="0.3">
      <c r="A372" s="293">
        <v>2</v>
      </c>
      <c r="B372" s="293">
        <v>12020428</v>
      </c>
      <c r="C372" s="454" t="s">
        <v>1470</v>
      </c>
      <c r="D372" s="181"/>
      <c r="E372" s="175"/>
      <c r="F372" s="181">
        <v>6000000</v>
      </c>
    </row>
    <row r="373" spans="1:6" x14ac:dyDescent="0.3">
      <c r="A373" s="293">
        <v>3</v>
      </c>
      <c r="B373" s="293">
        <v>12020428</v>
      </c>
      <c r="C373" s="189" t="s">
        <v>658</v>
      </c>
      <c r="D373" s="181">
        <v>3000000</v>
      </c>
      <c r="E373" s="296">
        <v>0</v>
      </c>
      <c r="F373" s="181">
        <v>100000</v>
      </c>
    </row>
    <row r="374" spans="1:6" ht="21" thickBot="1" x14ac:dyDescent="0.35">
      <c r="A374" s="293">
        <v>4</v>
      </c>
      <c r="B374" s="293">
        <v>12020704</v>
      </c>
      <c r="C374" s="189" t="s">
        <v>697</v>
      </c>
      <c r="D374" s="364">
        <v>500000</v>
      </c>
      <c r="E374" s="307">
        <v>55000</v>
      </c>
      <c r="F374" s="364">
        <v>500000</v>
      </c>
    </row>
    <row r="375" spans="1:6" ht="21" thickBot="1" x14ac:dyDescent="0.35">
      <c r="A375" s="293"/>
      <c r="B375" s="301" t="s">
        <v>243</v>
      </c>
      <c r="C375" s="195"/>
      <c r="D375" s="388">
        <f>SUM(D371:D374)</f>
        <v>5500000</v>
      </c>
      <c r="E375" s="309">
        <f t="shared" ref="E375" si="12">SUM(E371:E374)</f>
        <v>545000</v>
      </c>
      <c r="F375" s="311">
        <f>SUM(F371:F374)</f>
        <v>10865000</v>
      </c>
    </row>
    <row r="376" spans="1:6" x14ac:dyDescent="0.3">
      <c r="A376" s="439"/>
      <c r="B376" s="440"/>
      <c r="C376" s="441"/>
      <c r="D376" s="442"/>
      <c r="E376" s="443"/>
      <c r="F376" s="442"/>
    </row>
    <row r="377" spans="1:6" ht="21" thickBot="1" x14ac:dyDescent="0.35">
      <c r="A377" s="3439" t="s">
        <v>2252</v>
      </c>
      <c r="B377" s="3439"/>
      <c r="C377" s="3439"/>
      <c r="D377" s="3439"/>
      <c r="E377" s="3439"/>
      <c r="F377" s="3439"/>
    </row>
    <row r="378" spans="1:6" ht="61.5" thickBot="1" x14ac:dyDescent="0.35">
      <c r="A378" s="297" t="s">
        <v>94</v>
      </c>
      <c r="B378" s="297" t="s">
        <v>1</v>
      </c>
      <c r="C378" s="298" t="s">
        <v>991</v>
      </c>
      <c r="D378" s="212" t="s">
        <v>1174</v>
      </c>
      <c r="E378" s="300" t="s">
        <v>1145</v>
      </c>
      <c r="F378" s="173" t="s">
        <v>3098</v>
      </c>
    </row>
    <row r="379" spans="1:6" x14ac:dyDescent="0.3">
      <c r="A379" s="293">
        <v>1</v>
      </c>
      <c r="B379" s="396">
        <v>12020436</v>
      </c>
      <c r="C379" s="335" t="s">
        <v>2253</v>
      </c>
      <c r="D379" s="175">
        <v>20000000</v>
      </c>
      <c r="E379" s="455">
        <v>10270771</v>
      </c>
      <c r="F379" s="336">
        <v>20000000</v>
      </c>
    </row>
    <row r="380" spans="1:6" ht="21" thickBot="1" x14ac:dyDescent="0.35">
      <c r="A380" s="293">
        <v>2</v>
      </c>
      <c r="B380" s="396">
        <v>12020436</v>
      </c>
      <c r="C380" s="335" t="s">
        <v>2254</v>
      </c>
      <c r="D380" s="175">
        <v>6000000</v>
      </c>
      <c r="E380" s="380">
        <v>823665.84</v>
      </c>
      <c r="F380" s="339">
        <v>6000000</v>
      </c>
    </row>
    <row r="381" spans="1:6" ht="21" thickBot="1" x14ac:dyDescent="0.35">
      <c r="A381" s="293"/>
      <c r="B381" s="400" t="s">
        <v>243</v>
      </c>
      <c r="C381" s="409"/>
      <c r="D381" s="456">
        <f>SUM(D379:D380)</f>
        <v>26000000</v>
      </c>
      <c r="E381" s="456">
        <f t="shared" ref="E381" si="13">SUM(E379:E380)</f>
        <v>11094436.84</v>
      </c>
      <c r="F381" s="457">
        <f>SUM(F379:F380)</f>
        <v>26000000</v>
      </c>
    </row>
    <row r="382" spans="1:6" x14ac:dyDescent="0.3">
      <c r="A382" s="184"/>
      <c r="B382" s="293"/>
      <c r="C382" s="178"/>
      <c r="D382" s="295"/>
      <c r="E382" s="296"/>
      <c r="F382" s="458"/>
    </row>
    <row r="383" spans="1:6" ht="21" thickBot="1" x14ac:dyDescent="0.35">
      <c r="A383" s="3431" t="s">
        <v>1480</v>
      </c>
      <c r="B383" s="3431"/>
      <c r="C383" s="3431"/>
      <c r="D383" s="3431"/>
      <c r="E383" s="3431"/>
      <c r="F383" s="3431"/>
    </row>
    <row r="384" spans="1:6" ht="61.5" thickBot="1" x14ac:dyDescent="0.35">
      <c r="A384" s="297" t="s">
        <v>94</v>
      </c>
      <c r="B384" s="297" t="s">
        <v>1</v>
      </c>
      <c r="C384" s="298" t="s">
        <v>991</v>
      </c>
      <c r="D384" s="212" t="s">
        <v>1174</v>
      </c>
      <c r="E384" s="300" t="s">
        <v>1145</v>
      </c>
      <c r="F384" s="173" t="s">
        <v>3098</v>
      </c>
    </row>
    <row r="385" spans="1:6" x14ac:dyDescent="0.3">
      <c r="A385" s="293">
        <v>1</v>
      </c>
      <c r="B385" s="396">
        <v>12020436</v>
      </c>
      <c r="C385" s="335" t="s">
        <v>2253</v>
      </c>
      <c r="D385" s="175">
        <v>30000000</v>
      </c>
      <c r="E385" s="175">
        <v>22970761.66</v>
      </c>
      <c r="F385" s="336">
        <v>40000000</v>
      </c>
    </row>
    <row r="386" spans="1:6" ht="21" thickBot="1" x14ac:dyDescent="0.35">
      <c r="A386" s="293">
        <v>2</v>
      </c>
      <c r="B386" s="396">
        <v>12020436</v>
      </c>
      <c r="C386" s="335" t="s">
        <v>2255</v>
      </c>
      <c r="D386" s="175">
        <v>20300000</v>
      </c>
      <c r="E386" s="175">
        <v>13068689.949999999</v>
      </c>
      <c r="F386" s="336">
        <v>34300000</v>
      </c>
    </row>
    <row r="387" spans="1:6" ht="21" thickBot="1" x14ac:dyDescent="0.35">
      <c r="A387" s="293"/>
      <c r="B387" s="400" t="s">
        <v>243</v>
      </c>
      <c r="C387" s="409"/>
      <c r="D387" s="402">
        <f>SUM(D385:D386)</f>
        <v>50300000</v>
      </c>
      <c r="E387" s="402">
        <f t="shared" ref="E387" si="14">SUM(E385:E386)</f>
        <v>36039451.609999999</v>
      </c>
      <c r="F387" s="403">
        <f>SUM(F385:F386)</f>
        <v>74300000</v>
      </c>
    </row>
    <row r="388" spans="1:6" x14ac:dyDescent="0.3">
      <c r="A388" s="184"/>
      <c r="B388" s="293"/>
      <c r="C388" s="178"/>
      <c r="D388" s="295"/>
      <c r="E388" s="296"/>
      <c r="F388" s="295"/>
    </row>
    <row r="389" spans="1:6" s="174" customFormat="1" ht="21" thickBot="1" x14ac:dyDescent="0.35">
      <c r="A389" s="3427" t="s">
        <v>1453</v>
      </c>
      <c r="B389" s="3428"/>
      <c r="C389" s="3428"/>
      <c r="D389" s="3428"/>
      <c r="E389" s="3428"/>
      <c r="F389" s="3428"/>
    </row>
    <row r="390" spans="1:6" ht="61.5" thickBot="1" x14ac:dyDescent="0.35">
      <c r="A390" s="297" t="s">
        <v>94</v>
      </c>
      <c r="B390" s="297" t="s">
        <v>1</v>
      </c>
      <c r="C390" s="298" t="s">
        <v>991</v>
      </c>
      <c r="D390" s="212" t="s">
        <v>1174</v>
      </c>
      <c r="E390" s="300" t="s">
        <v>1145</v>
      </c>
      <c r="F390" s="173" t="s">
        <v>3098</v>
      </c>
    </row>
    <row r="391" spans="1:6" s="174" customFormat="1" x14ac:dyDescent="0.3">
      <c r="A391" s="293">
        <v>1</v>
      </c>
      <c r="B391" s="396">
        <v>12020709</v>
      </c>
      <c r="C391" s="335" t="s">
        <v>1472</v>
      </c>
      <c r="D391" s="459">
        <v>10000000</v>
      </c>
      <c r="E391" s="175">
        <v>1497000</v>
      </c>
      <c r="F391" s="181">
        <v>40000000</v>
      </c>
    </row>
    <row r="392" spans="1:6" s="174" customFormat="1" ht="21" thickBot="1" x14ac:dyDescent="0.35">
      <c r="A392" s="293">
        <v>2</v>
      </c>
      <c r="B392" s="396">
        <v>12020709</v>
      </c>
      <c r="C392" s="335" t="s">
        <v>1473</v>
      </c>
      <c r="D392" s="175"/>
      <c r="E392" s="436"/>
      <c r="F392" s="437">
        <v>10000000</v>
      </c>
    </row>
    <row r="393" spans="1:6" s="174" customFormat="1" ht="21" thickBot="1" x14ac:dyDescent="0.35">
      <c r="A393" s="293"/>
      <c r="B393" s="400" t="s">
        <v>243</v>
      </c>
      <c r="C393" s="409"/>
      <c r="D393" s="402">
        <f>SUM(D391:D392)</f>
        <v>10000000</v>
      </c>
      <c r="E393" s="460">
        <v>1497000</v>
      </c>
      <c r="F393" s="403">
        <f>SUM(F391:F392)</f>
        <v>50000000</v>
      </c>
    </row>
    <row r="394" spans="1:6" s="174" customFormat="1" x14ac:dyDescent="0.3">
      <c r="A394" s="373"/>
      <c r="B394" s="433"/>
      <c r="C394" s="461"/>
      <c r="D394" s="462"/>
      <c r="E394" s="462"/>
      <c r="F394" s="435"/>
    </row>
    <row r="395" spans="1:6" s="192" customFormat="1" ht="21" thickBot="1" x14ac:dyDescent="0.35">
      <c r="A395" s="3440" t="s">
        <v>2256</v>
      </c>
      <c r="B395" s="3440"/>
      <c r="C395" s="3440"/>
      <c r="D395" s="3440"/>
      <c r="E395" s="3440"/>
      <c r="F395" s="3440"/>
    </row>
    <row r="396" spans="1:6" s="174" customFormat="1" ht="41.25" thickBot="1" x14ac:dyDescent="0.35">
      <c r="A396" s="463" t="s">
        <v>94</v>
      </c>
      <c r="B396" s="464" t="s">
        <v>1</v>
      </c>
      <c r="C396" s="464" t="s">
        <v>991</v>
      </c>
      <c r="D396" s="464" t="s">
        <v>1471</v>
      </c>
      <c r="E396" s="465" t="s">
        <v>1493</v>
      </c>
      <c r="F396" s="173" t="s">
        <v>3098</v>
      </c>
    </row>
    <row r="397" spans="1:6" s="174" customFormat="1" x14ac:dyDescent="0.3">
      <c r="A397" s="467">
        <v>1</v>
      </c>
      <c r="B397" s="468">
        <v>12020711</v>
      </c>
      <c r="C397" s="469" t="s">
        <v>1494</v>
      </c>
      <c r="D397" s="470">
        <v>30000</v>
      </c>
      <c r="E397" s="470" t="s">
        <v>179</v>
      </c>
      <c r="F397" s="437">
        <v>300000</v>
      </c>
    </row>
    <row r="398" spans="1:6" s="174" customFormat="1" x14ac:dyDescent="0.3">
      <c r="A398" s="471">
        <v>2</v>
      </c>
      <c r="B398" s="468">
        <v>12020711</v>
      </c>
      <c r="C398" s="473" t="s">
        <v>1495</v>
      </c>
      <c r="D398" s="474">
        <v>1500000</v>
      </c>
      <c r="E398" s="474">
        <v>123500</v>
      </c>
      <c r="F398" s="336">
        <v>1500000</v>
      </c>
    </row>
    <row r="399" spans="1:6" s="174" customFormat="1" x14ac:dyDescent="0.3">
      <c r="A399" s="471">
        <v>3</v>
      </c>
      <c r="B399" s="468">
        <v>12020711</v>
      </c>
      <c r="C399" s="473" t="s">
        <v>1496</v>
      </c>
      <c r="D399" s="474">
        <v>3400000</v>
      </c>
      <c r="E399" s="475"/>
      <c r="F399" s="336">
        <v>3400000</v>
      </c>
    </row>
    <row r="400" spans="1:6" s="174" customFormat="1" x14ac:dyDescent="0.3">
      <c r="A400" s="471">
        <v>4</v>
      </c>
      <c r="B400" s="468">
        <v>12020711</v>
      </c>
      <c r="C400" s="473" t="s">
        <v>1497</v>
      </c>
      <c r="D400" s="474">
        <v>92100</v>
      </c>
      <c r="E400" s="474" t="s">
        <v>179</v>
      </c>
      <c r="F400" s="336">
        <v>92102</v>
      </c>
    </row>
    <row r="401" spans="1:6" s="174" customFormat="1" x14ac:dyDescent="0.3">
      <c r="A401" s="471">
        <v>5</v>
      </c>
      <c r="B401" s="472">
        <v>12020611</v>
      </c>
      <c r="C401" s="473" t="s">
        <v>1498</v>
      </c>
      <c r="D401" s="474">
        <v>50000</v>
      </c>
      <c r="E401" s="474"/>
      <c r="F401" s="336">
        <v>50000</v>
      </c>
    </row>
    <row r="402" spans="1:6" s="174" customFormat="1" x14ac:dyDescent="0.3">
      <c r="A402" s="471">
        <v>6</v>
      </c>
      <c r="B402" s="472">
        <v>12020610</v>
      </c>
      <c r="C402" s="473" t="s">
        <v>1499</v>
      </c>
      <c r="D402" s="474">
        <v>50000</v>
      </c>
      <c r="E402" s="474"/>
      <c r="F402" s="336">
        <v>50000</v>
      </c>
    </row>
    <row r="403" spans="1:6" s="174" customFormat="1" x14ac:dyDescent="0.3">
      <c r="A403" s="471">
        <v>7</v>
      </c>
      <c r="B403" s="472">
        <v>12020620</v>
      </c>
      <c r="C403" s="473" t="s">
        <v>1500</v>
      </c>
      <c r="D403" s="474">
        <v>50000</v>
      </c>
      <c r="E403" s="474"/>
      <c r="F403" s="336">
        <v>195000</v>
      </c>
    </row>
    <row r="404" spans="1:6" s="174" customFormat="1" x14ac:dyDescent="0.3">
      <c r="A404" s="471">
        <v>8</v>
      </c>
      <c r="B404" s="396">
        <v>12020502</v>
      </c>
      <c r="C404" s="473" t="s">
        <v>1501</v>
      </c>
      <c r="D404" s="474">
        <v>195000</v>
      </c>
      <c r="E404" s="474"/>
      <c r="F404" s="336">
        <v>1799425</v>
      </c>
    </row>
    <row r="405" spans="1:6" s="174" customFormat="1" ht="21" thickBot="1" x14ac:dyDescent="0.35">
      <c r="A405" s="471">
        <v>9</v>
      </c>
      <c r="B405" s="468">
        <v>12020711</v>
      </c>
      <c r="C405" s="473" t="s">
        <v>1502</v>
      </c>
      <c r="D405" s="474">
        <v>1799425</v>
      </c>
      <c r="E405" s="474"/>
      <c r="F405" s="336"/>
    </row>
    <row r="406" spans="1:6" s="174" customFormat="1" ht="21" thickBot="1" x14ac:dyDescent="0.35">
      <c r="A406" s="562"/>
      <c r="B406" s="301" t="s">
        <v>243</v>
      </c>
      <c r="C406" s="563"/>
      <c r="D406" s="476">
        <f>SUM(D397:D405)</f>
        <v>7166525</v>
      </c>
      <c r="E406" s="476">
        <f t="shared" ref="E406" si="15">SUM(E397:E405)</f>
        <v>123500</v>
      </c>
      <c r="F406" s="403">
        <f>SUM(F397:F405)</f>
        <v>7386527</v>
      </c>
    </row>
    <row r="407" spans="1:6" ht="21" thickBot="1" x14ac:dyDescent="0.35">
      <c r="A407" s="3441" t="s">
        <v>1072</v>
      </c>
      <c r="B407" s="3442"/>
      <c r="C407" s="3442"/>
      <c r="D407" s="3442"/>
      <c r="E407" s="3442"/>
      <c r="F407" s="3443"/>
    </row>
    <row r="408" spans="1:6" ht="61.5" thickBot="1" x14ac:dyDescent="0.35">
      <c r="A408" s="297" t="s">
        <v>94</v>
      </c>
      <c r="B408" s="297" t="s">
        <v>1</v>
      </c>
      <c r="C408" s="298" t="s">
        <v>991</v>
      </c>
      <c r="D408" s="212" t="s">
        <v>1174</v>
      </c>
      <c r="E408" s="300" t="s">
        <v>1145</v>
      </c>
      <c r="F408" s="173" t="s">
        <v>3098</v>
      </c>
    </row>
    <row r="409" spans="1:6" x14ac:dyDescent="0.3">
      <c r="A409" s="317">
        <v>1</v>
      </c>
      <c r="B409" s="317">
        <v>12020453</v>
      </c>
      <c r="C409" s="477" t="s">
        <v>261</v>
      </c>
      <c r="D409" s="353">
        <v>400000</v>
      </c>
      <c r="E409" s="175" t="s">
        <v>179</v>
      </c>
      <c r="F409" s="181">
        <v>400000</v>
      </c>
    </row>
    <row r="410" spans="1:6" x14ac:dyDescent="0.3">
      <c r="A410" s="293">
        <v>2</v>
      </c>
      <c r="B410" s="293">
        <v>12020456</v>
      </c>
      <c r="C410" s="454" t="s">
        <v>262</v>
      </c>
      <c r="D410" s="181">
        <v>154000</v>
      </c>
      <c r="E410" s="175">
        <v>15600</v>
      </c>
      <c r="F410" s="181">
        <v>154000</v>
      </c>
    </row>
    <row r="411" spans="1:6" x14ac:dyDescent="0.3">
      <c r="A411" s="293">
        <v>3</v>
      </c>
      <c r="B411" s="293">
        <v>12020452</v>
      </c>
      <c r="C411" s="454" t="s">
        <v>263</v>
      </c>
      <c r="D411" s="181">
        <v>520000</v>
      </c>
      <c r="E411" s="175">
        <v>10000</v>
      </c>
      <c r="F411" s="181">
        <v>520000</v>
      </c>
    </row>
    <row r="412" spans="1:6" x14ac:dyDescent="0.3">
      <c r="A412" s="293">
        <v>4</v>
      </c>
      <c r="B412" s="293">
        <v>12020456</v>
      </c>
      <c r="C412" s="454" t="s">
        <v>264</v>
      </c>
      <c r="D412" s="181">
        <v>204000</v>
      </c>
      <c r="E412" s="175">
        <v>15600</v>
      </c>
      <c r="F412" s="181">
        <v>204000</v>
      </c>
    </row>
    <row r="413" spans="1:6" x14ac:dyDescent="0.3">
      <c r="A413" s="293">
        <v>5</v>
      </c>
      <c r="B413" s="293">
        <v>12020453</v>
      </c>
      <c r="C413" s="454" t="s">
        <v>265</v>
      </c>
      <c r="D413" s="181">
        <v>30000</v>
      </c>
      <c r="E413" s="175">
        <v>2700</v>
      </c>
      <c r="F413" s="181">
        <v>30000</v>
      </c>
    </row>
    <row r="414" spans="1:6" ht="21" thickBot="1" x14ac:dyDescent="0.35">
      <c r="A414" s="293">
        <v>6</v>
      </c>
      <c r="B414" s="293">
        <v>12020453</v>
      </c>
      <c r="C414" s="454" t="s">
        <v>667</v>
      </c>
      <c r="D414" s="364">
        <v>12000</v>
      </c>
      <c r="E414" s="172" t="s">
        <v>179</v>
      </c>
      <c r="F414" s="364">
        <v>12000</v>
      </c>
    </row>
    <row r="415" spans="1:6" ht="21" thickBot="1" x14ac:dyDescent="0.35">
      <c r="A415" s="293"/>
      <c r="B415" s="301" t="s">
        <v>243</v>
      </c>
      <c r="C415" s="195"/>
      <c r="D415" s="388">
        <f>SUM(D409:D414)</f>
        <v>1320000</v>
      </c>
      <c r="E415" s="309">
        <f t="shared" ref="E415" si="16">SUM(E409:E414)</f>
        <v>43900</v>
      </c>
      <c r="F415" s="311">
        <f>SUM(F409:F414)</f>
        <v>1320000</v>
      </c>
    </row>
    <row r="416" spans="1:6" x14ac:dyDescent="0.3">
      <c r="A416" s="373"/>
      <c r="B416" s="374"/>
      <c r="C416" s="375"/>
      <c r="D416" s="376"/>
      <c r="E416" s="377"/>
      <c r="F416" s="376"/>
    </row>
    <row r="417" spans="1:6" s="192" customFormat="1" ht="21" thickBot="1" x14ac:dyDescent="0.35">
      <c r="A417" s="3424" t="s">
        <v>1164</v>
      </c>
      <c r="B417" s="3424"/>
      <c r="C417" s="3424"/>
      <c r="D417" s="3424"/>
      <c r="E417" s="3424"/>
      <c r="F417" s="3424"/>
    </row>
    <row r="418" spans="1:6" ht="61.5" thickBot="1" x14ac:dyDescent="0.35">
      <c r="A418" s="297" t="s">
        <v>94</v>
      </c>
      <c r="B418" s="297" t="s">
        <v>1</v>
      </c>
      <c r="C418" s="298" t="s">
        <v>991</v>
      </c>
      <c r="D418" s="212" t="s">
        <v>1174</v>
      </c>
      <c r="E418" s="300" t="s">
        <v>1145</v>
      </c>
      <c r="F418" s="173" t="s">
        <v>3098</v>
      </c>
    </row>
    <row r="419" spans="1:6" s="174" customFormat="1" ht="21" thickBot="1" x14ac:dyDescent="0.35">
      <c r="A419" s="317">
        <v>1</v>
      </c>
      <c r="B419" s="478">
        <v>12020610</v>
      </c>
      <c r="C419" s="479" t="s">
        <v>2159</v>
      </c>
      <c r="D419" s="750">
        <v>0</v>
      </c>
      <c r="E419" s="750">
        <v>0</v>
      </c>
      <c r="F419" s="756">
        <v>500000</v>
      </c>
    </row>
    <row r="420" spans="1:6" s="174" customFormat="1" ht="21" thickBot="1" x14ac:dyDescent="0.35">
      <c r="A420" s="293"/>
      <c r="B420" s="400" t="s">
        <v>243</v>
      </c>
      <c r="C420" s="409"/>
      <c r="D420" s="402">
        <f>SUM(D419:D419)</f>
        <v>0</v>
      </c>
      <c r="E420" s="757">
        <f>SUM(E419:E419)</f>
        <v>0</v>
      </c>
      <c r="F420" s="432">
        <f>SUM(F419:F419)</f>
        <v>500000</v>
      </c>
    </row>
    <row r="421" spans="1:6" s="174" customFormat="1" ht="21" thickBot="1" x14ac:dyDescent="0.35">
      <c r="A421" s="3431" t="s">
        <v>2257</v>
      </c>
      <c r="B421" s="3431"/>
      <c r="C421" s="3431"/>
      <c r="D421" s="3431"/>
      <c r="E421" s="3431"/>
      <c r="F421" s="3431"/>
    </row>
    <row r="422" spans="1:6" ht="61.5" thickBot="1" x14ac:dyDescent="0.35">
      <c r="A422" s="297" t="s">
        <v>94</v>
      </c>
      <c r="B422" s="297" t="s">
        <v>1</v>
      </c>
      <c r="C422" s="298" t="s">
        <v>991</v>
      </c>
      <c r="D422" s="212" t="s">
        <v>1174</v>
      </c>
      <c r="E422" s="300" t="s">
        <v>1145</v>
      </c>
      <c r="F422" s="173" t="s">
        <v>3098</v>
      </c>
    </row>
    <row r="423" spans="1:6" s="174" customFormat="1" x14ac:dyDescent="0.3">
      <c r="A423" s="293">
        <v>1</v>
      </c>
      <c r="B423" s="478">
        <v>12020610</v>
      </c>
      <c r="C423" s="335" t="s">
        <v>2160</v>
      </c>
      <c r="D423" s="175"/>
      <c r="E423" s="175"/>
      <c r="F423" s="336">
        <v>200000</v>
      </c>
    </row>
    <row r="424" spans="1:6" s="174" customFormat="1" x14ac:dyDescent="0.3">
      <c r="A424" s="293">
        <v>2</v>
      </c>
      <c r="B424" s="478">
        <v>12020611</v>
      </c>
      <c r="C424" s="335" t="s">
        <v>2161</v>
      </c>
      <c r="D424" s="172"/>
      <c r="E424" s="172"/>
      <c r="F424" s="339">
        <v>100000</v>
      </c>
    </row>
    <row r="425" spans="1:6" s="174" customFormat="1" ht="21" thickBot="1" x14ac:dyDescent="0.35">
      <c r="A425" s="293"/>
      <c r="B425" s="478">
        <v>12020614</v>
      </c>
      <c r="C425" s="335" t="s">
        <v>3002</v>
      </c>
      <c r="D425" s="749"/>
      <c r="E425" s="750"/>
      <c r="F425" s="751">
        <v>100000</v>
      </c>
    </row>
    <row r="426" spans="1:6" s="174" customFormat="1" ht="21" thickBot="1" x14ac:dyDescent="0.35">
      <c r="A426" s="293"/>
      <c r="B426" s="400" t="s">
        <v>243</v>
      </c>
      <c r="C426" s="409"/>
      <c r="D426" s="402">
        <f>SUM(D423:D425)</f>
        <v>0</v>
      </c>
      <c r="E426" s="402">
        <f>SUM(E423:E425)</f>
        <v>0</v>
      </c>
      <c r="F426" s="755">
        <f>SUM(F423:F425)</f>
        <v>400000</v>
      </c>
    </row>
    <row r="427" spans="1:6" s="174" customFormat="1" x14ac:dyDescent="0.3">
      <c r="A427" s="480"/>
      <c r="B427" s="481"/>
      <c r="C427" s="482"/>
      <c r="D427" s="413"/>
      <c r="E427" s="483"/>
      <c r="F427" s="415"/>
    </row>
    <row r="428" spans="1:6" s="174" customFormat="1" ht="21" thickBot="1" x14ac:dyDescent="0.35">
      <c r="A428" s="3431" t="s">
        <v>2258</v>
      </c>
      <c r="B428" s="3431"/>
      <c r="C428" s="3431"/>
      <c r="D428" s="3431"/>
      <c r="E428" s="3431"/>
      <c r="F428" s="3431"/>
    </row>
    <row r="429" spans="1:6" ht="61.5" thickBot="1" x14ac:dyDescent="0.35">
      <c r="A429" s="297" t="s">
        <v>94</v>
      </c>
      <c r="B429" s="297" t="s">
        <v>1</v>
      </c>
      <c r="C429" s="298" t="s">
        <v>991</v>
      </c>
      <c r="D429" s="212" t="s">
        <v>1174</v>
      </c>
      <c r="E429" s="300" t="s">
        <v>1145</v>
      </c>
      <c r="F429" s="173" t="s">
        <v>3098</v>
      </c>
    </row>
    <row r="430" spans="1:6" s="174" customFormat="1" x14ac:dyDescent="0.3">
      <c r="A430" s="293">
        <v>1</v>
      </c>
      <c r="B430" s="478">
        <v>12020610</v>
      </c>
      <c r="C430" s="335" t="s">
        <v>2160</v>
      </c>
      <c r="D430" s="175"/>
      <c r="E430" s="175"/>
      <c r="F430" s="336">
        <v>400000</v>
      </c>
    </row>
    <row r="431" spans="1:6" s="174" customFormat="1" x14ac:dyDescent="0.3">
      <c r="A431" s="293">
        <v>2</v>
      </c>
      <c r="B431" s="478">
        <v>12020611</v>
      </c>
      <c r="C431" s="543" t="s">
        <v>2161</v>
      </c>
      <c r="D431" s="172"/>
      <c r="E431" s="172"/>
      <c r="F431" s="339">
        <v>200000</v>
      </c>
    </row>
    <row r="432" spans="1:6" s="174" customFormat="1" ht="21" thickBot="1" x14ac:dyDescent="0.35">
      <c r="A432" s="293"/>
      <c r="B432" s="478">
        <v>12020613</v>
      </c>
      <c r="C432" s="335" t="s">
        <v>3002</v>
      </c>
      <c r="D432" s="749"/>
      <c r="E432" s="750"/>
      <c r="F432" s="751">
        <v>100000</v>
      </c>
    </row>
    <row r="433" spans="1:6" s="174" customFormat="1" ht="21" thickBot="1" x14ac:dyDescent="0.35">
      <c r="A433" s="293"/>
      <c r="B433" s="400" t="s">
        <v>243</v>
      </c>
      <c r="C433" s="752"/>
      <c r="D433" s="402">
        <f>SUM(D430:D432)</f>
        <v>0</v>
      </c>
      <c r="E433" s="757">
        <f>SUM(E430:E432)</f>
        <v>0</v>
      </c>
      <c r="F433" s="432">
        <f>SUM(F430:F432)</f>
        <v>700000</v>
      </c>
    </row>
    <row r="434" spans="1:6" s="174" customFormat="1" x14ac:dyDescent="0.3">
      <c r="A434" s="480"/>
      <c r="B434" s="481"/>
      <c r="C434" s="482"/>
      <c r="D434" s="413"/>
      <c r="E434" s="483"/>
      <c r="F434" s="415"/>
    </row>
    <row r="435" spans="1:6" s="174" customFormat="1" x14ac:dyDescent="0.3">
      <c r="A435" s="480"/>
      <c r="B435" s="481"/>
      <c r="C435" s="482"/>
      <c r="D435" s="413"/>
      <c r="E435" s="483"/>
      <c r="F435" s="415"/>
    </row>
    <row r="436" spans="1:6" s="174" customFormat="1" ht="21" thickBot="1" x14ac:dyDescent="0.35">
      <c r="A436" s="3439" t="s">
        <v>1573</v>
      </c>
      <c r="B436" s="3439"/>
      <c r="C436" s="3439"/>
      <c r="D436" s="3439"/>
      <c r="E436" s="3439"/>
      <c r="F436" s="3439"/>
    </row>
    <row r="437" spans="1:6" ht="61.5" thickBot="1" x14ac:dyDescent="0.35">
      <c r="A437" s="297" t="s">
        <v>94</v>
      </c>
      <c r="B437" s="297" t="s">
        <v>1</v>
      </c>
      <c r="C437" s="298" t="s">
        <v>991</v>
      </c>
      <c r="D437" s="212" t="s">
        <v>1174</v>
      </c>
      <c r="E437" s="300" t="s">
        <v>1145</v>
      </c>
      <c r="F437" s="173" t="s">
        <v>3098</v>
      </c>
    </row>
    <row r="438" spans="1:6" s="174" customFormat="1" x14ac:dyDescent="0.3">
      <c r="A438" s="293">
        <v>1</v>
      </c>
      <c r="B438" s="478">
        <v>12020610</v>
      </c>
      <c r="C438" s="335" t="s">
        <v>1574</v>
      </c>
      <c r="D438" s="175"/>
      <c r="E438" s="175"/>
      <c r="F438" s="336">
        <v>500000</v>
      </c>
    </row>
    <row r="439" spans="1:6" s="174" customFormat="1" x14ac:dyDescent="0.3">
      <c r="A439" s="293">
        <v>2</v>
      </c>
      <c r="B439" s="478">
        <v>12020610</v>
      </c>
      <c r="C439" s="335" t="s">
        <v>1576</v>
      </c>
      <c r="D439" s="175">
        <v>21000000</v>
      </c>
      <c r="E439" s="175">
        <v>27399979</v>
      </c>
      <c r="F439" s="336">
        <v>100000000</v>
      </c>
    </row>
    <row r="440" spans="1:6" s="174" customFormat="1" x14ac:dyDescent="0.3">
      <c r="A440" s="293">
        <v>3</v>
      </c>
      <c r="B440" s="478">
        <v>12020610</v>
      </c>
      <c r="C440" s="335" t="s">
        <v>3118</v>
      </c>
      <c r="D440" s="175"/>
      <c r="E440" s="175">
        <v>22327405</v>
      </c>
      <c r="F440" s="336">
        <v>100000000</v>
      </c>
    </row>
    <row r="441" spans="1:6" s="174" customFormat="1" ht="21" thickBot="1" x14ac:dyDescent="0.35">
      <c r="A441" s="293">
        <v>4</v>
      </c>
      <c r="B441" s="478">
        <v>12020610</v>
      </c>
      <c r="C441" s="335" t="s">
        <v>1577</v>
      </c>
      <c r="D441" s="172"/>
      <c r="E441" s="172"/>
      <c r="F441" s="339">
        <v>0</v>
      </c>
    </row>
    <row r="442" spans="1:6" s="174" customFormat="1" ht="21" thickBot="1" x14ac:dyDescent="0.35">
      <c r="A442" s="559"/>
      <c r="B442" s="399" t="s">
        <v>243</v>
      </c>
      <c r="C442" s="758"/>
      <c r="D442" s="402">
        <f>SUM(D438:D441)</f>
        <v>21000000</v>
      </c>
      <c r="E442" s="519">
        <f t="shared" ref="E442" si="17">SUM(E438:E441)</f>
        <v>49727384</v>
      </c>
      <c r="F442" s="432">
        <f>SUM(F438:F441)</f>
        <v>200500000</v>
      </c>
    </row>
    <row r="443" spans="1:6" s="378" customFormat="1" x14ac:dyDescent="0.3">
      <c r="B443" s="373"/>
      <c r="C443" s="389"/>
      <c r="D443" s="390"/>
      <c r="E443" s="391"/>
      <c r="F443" s="390"/>
    </row>
    <row r="444" spans="1:6" ht="21" thickBot="1" x14ac:dyDescent="0.35">
      <c r="A444" s="184"/>
      <c r="B444" s="293"/>
      <c r="C444" s="294" t="s">
        <v>1073</v>
      </c>
      <c r="D444" s="306"/>
      <c r="E444" s="307"/>
      <c r="F444" s="306"/>
    </row>
    <row r="445" spans="1:6" ht="61.5" thickBot="1" x14ac:dyDescent="0.35">
      <c r="A445" s="297" t="s">
        <v>94</v>
      </c>
      <c r="B445" s="297" t="s">
        <v>1</v>
      </c>
      <c r="C445" s="298" t="s">
        <v>991</v>
      </c>
      <c r="D445" s="212" t="s">
        <v>1174</v>
      </c>
      <c r="E445" s="300" t="s">
        <v>1145</v>
      </c>
      <c r="F445" s="173" t="s">
        <v>3098</v>
      </c>
    </row>
    <row r="446" spans="1:6" x14ac:dyDescent="0.3">
      <c r="A446" s="293">
        <v>1</v>
      </c>
      <c r="B446" s="484">
        <v>12020459</v>
      </c>
      <c r="C446" s="178" t="s">
        <v>2128</v>
      </c>
      <c r="D446" s="436">
        <v>50000000</v>
      </c>
      <c r="E446" s="485">
        <v>9788737.4499999993</v>
      </c>
      <c r="F446" s="353">
        <v>100000000</v>
      </c>
    </row>
    <row r="447" spans="1:6" x14ac:dyDescent="0.3">
      <c r="A447" s="293">
        <v>2</v>
      </c>
      <c r="B447" s="484">
        <v>12020459</v>
      </c>
      <c r="C447" s="178" t="s">
        <v>2129</v>
      </c>
      <c r="D447" s="340" t="s">
        <v>2130</v>
      </c>
      <c r="E447" s="459">
        <v>3172000</v>
      </c>
      <c r="F447" s="181">
        <v>10000000</v>
      </c>
    </row>
    <row r="448" spans="1:6" x14ac:dyDescent="0.3">
      <c r="A448" s="293">
        <v>3</v>
      </c>
      <c r="B448" s="484">
        <v>12020438</v>
      </c>
      <c r="C448" s="178" t="s">
        <v>2131</v>
      </c>
      <c r="D448" s="175">
        <v>2000000</v>
      </c>
      <c r="E448" s="459">
        <v>20000</v>
      </c>
      <c r="F448" s="181">
        <v>5000000</v>
      </c>
    </row>
    <row r="449" spans="1:6" x14ac:dyDescent="0.3">
      <c r="A449" s="293">
        <v>4</v>
      </c>
      <c r="B449" s="484">
        <v>12020459</v>
      </c>
      <c r="C449" s="178" t="s">
        <v>2132</v>
      </c>
      <c r="D449" s="175">
        <v>30000000</v>
      </c>
      <c r="E449" s="459">
        <v>2232506.5</v>
      </c>
      <c r="F449" s="181">
        <v>500000000</v>
      </c>
    </row>
    <row r="450" spans="1:6" x14ac:dyDescent="0.3">
      <c r="A450" s="293">
        <v>5</v>
      </c>
      <c r="B450" s="484">
        <v>12020438</v>
      </c>
      <c r="C450" s="178" t="s">
        <v>2259</v>
      </c>
      <c r="D450" s="340" t="s">
        <v>2134</v>
      </c>
      <c r="E450" s="459">
        <v>0</v>
      </c>
      <c r="F450" s="181">
        <v>10000000</v>
      </c>
    </row>
    <row r="451" spans="1:6" x14ac:dyDescent="0.3">
      <c r="A451" s="293">
        <v>6</v>
      </c>
      <c r="B451" s="484">
        <v>12020448</v>
      </c>
      <c r="C451" s="178" t="s">
        <v>2260</v>
      </c>
      <c r="D451" s="175">
        <v>10000000</v>
      </c>
      <c r="E451" s="459">
        <v>1707500</v>
      </c>
      <c r="F451" s="181">
        <v>20000000</v>
      </c>
    </row>
    <row r="452" spans="1:6" x14ac:dyDescent="0.3">
      <c r="A452" s="293">
        <v>7</v>
      </c>
      <c r="B452" s="484">
        <v>12020438</v>
      </c>
      <c r="C452" s="178" t="s">
        <v>277</v>
      </c>
      <c r="D452" s="175">
        <v>30000000</v>
      </c>
      <c r="E452" s="459">
        <v>9101283.3399999999</v>
      </c>
      <c r="F452" s="181">
        <v>1000000000</v>
      </c>
    </row>
    <row r="453" spans="1:6" x14ac:dyDescent="0.3">
      <c r="A453" s="293">
        <v>8</v>
      </c>
      <c r="B453" s="484">
        <v>12020459</v>
      </c>
      <c r="C453" s="178" t="s">
        <v>269</v>
      </c>
      <c r="D453" s="175">
        <v>1500000</v>
      </c>
      <c r="E453" s="459">
        <v>119000</v>
      </c>
      <c r="F453" s="181">
        <v>10000000</v>
      </c>
    </row>
    <row r="454" spans="1:6" x14ac:dyDescent="0.3">
      <c r="A454" s="293">
        <v>9</v>
      </c>
      <c r="B454" s="484">
        <v>12020439</v>
      </c>
      <c r="C454" s="178" t="s">
        <v>271</v>
      </c>
      <c r="D454" s="175">
        <v>500000</v>
      </c>
      <c r="E454" s="459">
        <v>0</v>
      </c>
      <c r="F454" s="181">
        <v>1500000</v>
      </c>
    </row>
    <row r="455" spans="1:6" x14ac:dyDescent="0.3">
      <c r="A455" s="293">
        <v>10</v>
      </c>
      <c r="B455" s="486">
        <v>12020616</v>
      </c>
      <c r="C455" s="178" t="s">
        <v>2261</v>
      </c>
      <c r="D455" s="175">
        <v>5000000</v>
      </c>
      <c r="E455" s="459">
        <v>2441500</v>
      </c>
      <c r="F455" s="181">
        <v>15000000</v>
      </c>
    </row>
    <row r="456" spans="1:6" ht="21" thickBot="1" x14ac:dyDescent="0.35">
      <c r="A456" s="293">
        <v>11</v>
      </c>
      <c r="B456" s="484">
        <v>12020901</v>
      </c>
      <c r="C456" s="178" t="s">
        <v>2262</v>
      </c>
      <c r="D456" s="172">
        <v>500000</v>
      </c>
      <c r="E456" s="487">
        <v>62000</v>
      </c>
      <c r="F456" s="364">
        <v>1000000</v>
      </c>
    </row>
    <row r="457" spans="1:6" ht="21" thickBot="1" x14ac:dyDescent="0.35">
      <c r="A457" s="293"/>
      <c r="B457" s="301" t="s">
        <v>243</v>
      </c>
      <c r="C457" s="488"/>
      <c r="D457" s="388">
        <f>SUM(D446:D456)</f>
        <v>129500000</v>
      </c>
      <c r="E457" s="489">
        <f t="shared" ref="E457" si="18">SUM(E446:E456)</f>
        <v>28644527.289999999</v>
      </c>
      <c r="F457" s="311">
        <f>SUM(F446:F456)</f>
        <v>1672500000</v>
      </c>
    </row>
    <row r="458" spans="1:6" x14ac:dyDescent="0.3">
      <c r="A458" s="184"/>
      <c r="B458" s="293"/>
      <c r="C458" s="178"/>
      <c r="D458" s="458"/>
      <c r="E458" s="490"/>
      <c r="F458" s="458"/>
    </row>
    <row r="459" spans="1:6" ht="21" thickBot="1" x14ac:dyDescent="0.35">
      <c r="A459" s="184"/>
      <c r="B459" s="293"/>
      <c r="C459" s="294" t="s">
        <v>1074</v>
      </c>
      <c r="D459" s="295"/>
      <c r="E459" s="296"/>
      <c r="F459" s="295"/>
    </row>
    <row r="460" spans="1:6" ht="61.5" thickBot="1" x14ac:dyDescent="0.35">
      <c r="A460" s="297" t="s">
        <v>94</v>
      </c>
      <c r="B460" s="297" t="s">
        <v>1</v>
      </c>
      <c r="C460" s="298" t="s">
        <v>991</v>
      </c>
      <c r="D460" s="212" t="s">
        <v>1174</v>
      </c>
      <c r="E460" s="300" t="s">
        <v>1145</v>
      </c>
      <c r="F460" s="173" t="s">
        <v>3098</v>
      </c>
    </row>
    <row r="461" spans="1:6" x14ac:dyDescent="0.3">
      <c r="A461" s="293">
        <v>1</v>
      </c>
      <c r="B461" s="396">
        <v>12020501</v>
      </c>
      <c r="C461" s="191" t="s">
        <v>252</v>
      </c>
      <c r="D461" s="397">
        <v>20000000</v>
      </c>
      <c r="E461" s="175">
        <v>9609300</v>
      </c>
      <c r="F461" s="336">
        <v>25000000</v>
      </c>
    </row>
    <row r="462" spans="1:6" x14ac:dyDescent="0.3">
      <c r="A462" s="293">
        <v>2</v>
      </c>
      <c r="B462" s="396">
        <v>12020501</v>
      </c>
      <c r="C462" s="191" t="s">
        <v>272</v>
      </c>
      <c r="D462" s="397">
        <v>20000000</v>
      </c>
      <c r="E462" s="175">
        <v>15753990</v>
      </c>
      <c r="F462" s="336">
        <v>20000000</v>
      </c>
    </row>
    <row r="463" spans="1:6" ht="21" thickBot="1" x14ac:dyDescent="0.35">
      <c r="A463" s="293">
        <v>3</v>
      </c>
      <c r="B463" s="396">
        <v>12020401</v>
      </c>
      <c r="C463" s="191" t="s">
        <v>2136</v>
      </c>
      <c r="D463" s="410"/>
      <c r="E463" s="172"/>
      <c r="F463" s="339">
        <v>5000000</v>
      </c>
    </row>
    <row r="464" spans="1:6" ht="21" thickBot="1" x14ac:dyDescent="0.35">
      <c r="A464" s="293"/>
      <c r="B464" s="301" t="s">
        <v>243</v>
      </c>
      <c r="C464" s="195"/>
      <c r="D464" s="388">
        <f>SUM(D461:D463)</f>
        <v>40000000</v>
      </c>
      <c r="E464" s="309">
        <f t="shared" ref="E464" si="19">SUM(E461:E463)</f>
        <v>25363290</v>
      </c>
      <c r="F464" s="311">
        <f>SUM(F461:F463)</f>
        <v>50000000</v>
      </c>
    </row>
    <row r="465" spans="1:6" x14ac:dyDescent="0.3">
      <c r="A465" s="184"/>
      <c r="B465" s="293"/>
      <c r="C465" s="178"/>
      <c r="D465" s="458"/>
      <c r="E465" s="490"/>
      <c r="F465" s="458"/>
    </row>
    <row r="466" spans="1:6" ht="21" thickBot="1" x14ac:dyDescent="0.35">
      <c r="A466" s="184"/>
      <c r="B466" s="293"/>
      <c r="C466" s="294" t="s">
        <v>1075</v>
      </c>
      <c r="D466" s="295"/>
      <c r="E466" s="296"/>
      <c r="F466" s="295"/>
    </row>
    <row r="467" spans="1:6" ht="61.5" thickBot="1" x14ac:dyDescent="0.35">
      <c r="A467" s="297" t="s">
        <v>94</v>
      </c>
      <c r="B467" s="297" t="s">
        <v>1</v>
      </c>
      <c r="C467" s="298" t="s">
        <v>991</v>
      </c>
      <c r="D467" s="212" t="s">
        <v>1174</v>
      </c>
      <c r="E467" s="300" t="s">
        <v>1145</v>
      </c>
      <c r="F467" s="173" t="s">
        <v>3098</v>
      </c>
    </row>
    <row r="468" spans="1:6" x14ac:dyDescent="0.3">
      <c r="A468" s="293">
        <v>1</v>
      </c>
      <c r="B468" s="396">
        <v>12020401</v>
      </c>
      <c r="C468" s="335" t="s">
        <v>2137</v>
      </c>
      <c r="D468" s="336">
        <v>250000</v>
      </c>
      <c r="E468" s="175">
        <v>77400</v>
      </c>
      <c r="F468" s="336">
        <v>1200000</v>
      </c>
    </row>
    <row r="469" spans="1:6" x14ac:dyDescent="0.3">
      <c r="A469" s="293">
        <v>2</v>
      </c>
      <c r="B469" s="396">
        <v>12020401</v>
      </c>
      <c r="C469" s="335" t="s">
        <v>2138</v>
      </c>
      <c r="D469" s="336">
        <v>100000</v>
      </c>
      <c r="E469" s="175">
        <v>83350</v>
      </c>
      <c r="F469" s="336">
        <v>500000</v>
      </c>
    </row>
    <row r="470" spans="1:6" ht="21" thickBot="1" x14ac:dyDescent="0.35">
      <c r="A470" s="293">
        <v>3</v>
      </c>
      <c r="B470" s="396">
        <v>12020401</v>
      </c>
      <c r="C470" s="335" t="s">
        <v>2139</v>
      </c>
      <c r="D470" s="410">
        <v>50000</v>
      </c>
      <c r="E470" s="307">
        <v>15000</v>
      </c>
      <c r="F470" s="339">
        <v>100000</v>
      </c>
    </row>
    <row r="471" spans="1:6" ht="21" thickBot="1" x14ac:dyDescent="0.35">
      <c r="A471" s="293"/>
      <c r="B471" s="301" t="s">
        <v>243</v>
      </c>
      <c r="C471" s="195"/>
      <c r="D471" s="388">
        <f>SUM(D468:D470)</f>
        <v>400000</v>
      </c>
      <c r="E471" s="309">
        <f t="shared" ref="E471" si="20">SUM(E468:E470)</f>
        <v>175750</v>
      </c>
      <c r="F471" s="311">
        <f>SUM(F468:F470)</f>
        <v>1800000</v>
      </c>
    </row>
    <row r="472" spans="1:6" s="378" customFormat="1" x14ac:dyDescent="0.3">
      <c r="A472" s="373"/>
      <c r="B472" s="374"/>
      <c r="C472" s="375"/>
      <c r="D472" s="376"/>
      <c r="E472" s="377"/>
      <c r="F472" s="376"/>
    </row>
    <row r="473" spans="1:6" s="174" customFormat="1" ht="21" thickBot="1" x14ac:dyDescent="0.35">
      <c r="A473" s="3427" t="s">
        <v>2198</v>
      </c>
      <c r="B473" s="3428"/>
      <c r="C473" s="3428"/>
      <c r="D473" s="3428"/>
      <c r="E473" s="3428"/>
      <c r="F473" s="3428"/>
    </row>
    <row r="474" spans="1:6" ht="61.5" thickBot="1" x14ac:dyDescent="0.35">
      <c r="A474" s="297" t="s">
        <v>94</v>
      </c>
      <c r="B474" s="297" t="s">
        <v>1</v>
      </c>
      <c r="C474" s="298" t="s">
        <v>991</v>
      </c>
      <c r="D474" s="212" t="s">
        <v>1174</v>
      </c>
      <c r="E474" s="300" t="s">
        <v>1145</v>
      </c>
      <c r="F474" s="173" t="s">
        <v>3098</v>
      </c>
    </row>
    <row r="475" spans="1:6" s="174" customFormat="1" x14ac:dyDescent="0.3">
      <c r="A475" s="293">
        <v>1</v>
      </c>
      <c r="B475" s="478">
        <v>12020610</v>
      </c>
      <c r="C475" s="335" t="s">
        <v>2199</v>
      </c>
      <c r="D475" s="491">
        <v>9630000</v>
      </c>
      <c r="E475" s="175">
        <v>3090000</v>
      </c>
      <c r="F475" s="179">
        <v>9630000</v>
      </c>
    </row>
    <row r="476" spans="1:6" s="174" customFormat="1" ht="21" thickBot="1" x14ac:dyDescent="0.35">
      <c r="A476" s="293">
        <v>2</v>
      </c>
      <c r="B476" s="478">
        <v>12020610</v>
      </c>
      <c r="C476" s="335" t="s">
        <v>2200</v>
      </c>
      <c r="D476" s="172">
        <v>6500000</v>
      </c>
      <c r="E476" s="172">
        <v>9306750</v>
      </c>
      <c r="F476" s="339">
        <v>6000000</v>
      </c>
    </row>
    <row r="477" spans="1:6" s="174" customFormat="1" ht="21" thickBot="1" x14ac:dyDescent="0.35">
      <c r="A477" s="293"/>
      <c r="B477" s="400" t="s">
        <v>243</v>
      </c>
      <c r="C477" s="409"/>
      <c r="D477" s="402">
        <f>SUM(D475:D476)</f>
        <v>16130000</v>
      </c>
      <c r="E477" s="519">
        <f>SUM(E475:E476)</f>
        <v>12396750</v>
      </c>
      <c r="F477" s="432">
        <f>SUM(F475:F476)</f>
        <v>15630000</v>
      </c>
    </row>
    <row r="478" spans="1:6" s="378" customFormat="1" x14ac:dyDescent="0.3">
      <c r="A478" s="373"/>
      <c r="B478" s="374"/>
      <c r="C478" s="375"/>
      <c r="D478" s="376"/>
      <c r="E478" s="377"/>
      <c r="F478" s="376"/>
    </row>
    <row r="479" spans="1:6" ht="21" thickBot="1" x14ac:dyDescent="0.35">
      <c r="A479" s="193"/>
      <c r="B479" s="318"/>
      <c r="C479" s="492" t="s">
        <v>1076</v>
      </c>
      <c r="D479" s="306"/>
      <c r="E479" s="296"/>
      <c r="F479" s="295"/>
    </row>
    <row r="480" spans="1:6" ht="61.5" thickBot="1" x14ac:dyDescent="0.35">
      <c r="A480" s="297" t="s">
        <v>94</v>
      </c>
      <c r="B480" s="297" t="s">
        <v>1</v>
      </c>
      <c r="C480" s="298" t="s">
        <v>991</v>
      </c>
      <c r="D480" s="212" t="s">
        <v>1174</v>
      </c>
      <c r="E480" s="300" t="s">
        <v>1145</v>
      </c>
      <c r="F480" s="173" t="s">
        <v>3098</v>
      </c>
    </row>
    <row r="481" spans="1:6" x14ac:dyDescent="0.3">
      <c r="A481" s="317">
        <v>1</v>
      </c>
      <c r="B481" s="317">
        <v>12020449</v>
      </c>
      <c r="C481" s="362" t="s">
        <v>259</v>
      </c>
      <c r="D481" s="458">
        <v>2000000</v>
      </c>
      <c r="E481" s="175">
        <v>503000</v>
      </c>
      <c r="F481" s="295">
        <v>10000000</v>
      </c>
    </row>
    <row r="482" spans="1:6" x14ac:dyDescent="0.3">
      <c r="A482" s="293">
        <v>2</v>
      </c>
      <c r="B482" s="293">
        <v>12020449</v>
      </c>
      <c r="C482" s="189" t="s">
        <v>260</v>
      </c>
      <c r="D482" s="295">
        <v>50000000</v>
      </c>
      <c r="E482" s="175">
        <v>9595100</v>
      </c>
      <c r="F482" s="295">
        <v>80000000</v>
      </c>
    </row>
    <row r="483" spans="1:6" x14ac:dyDescent="0.3">
      <c r="A483" s="293">
        <v>5</v>
      </c>
      <c r="B483" s="293">
        <v>12020711</v>
      </c>
      <c r="C483" s="178" t="s">
        <v>3103</v>
      </c>
      <c r="D483" s="295">
        <v>5000000</v>
      </c>
      <c r="E483" s="296">
        <v>0</v>
      </c>
      <c r="F483" s="295">
        <v>5000000</v>
      </c>
    </row>
    <row r="484" spans="1:6" x14ac:dyDescent="0.3">
      <c r="A484" s="293">
        <v>6</v>
      </c>
      <c r="B484" s="293">
        <v>12020711</v>
      </c>
      <c r="C484" s="178" t="s">
        <v>687</v>
      </c>
      <c r="D484" s="295">
        <v>5000000</v>
      </c>
      <c r="E484" s="296">
        <v>0</v>
      </c>
      <c r="F484" s="295">
        <v>5000000</v>
      </c>
    </row>
    <row r="485" spans="1:6" x14ac:dyDescent="0.3">
      <c r="A485" s="293">
        <v>7</v>
      </c>
      <c r="B485" s="293">
        <v>12020720</v>
      </c>
      <c r="C485" s="178" t="s">
        <v>3119</v>
      </c>
      <c r="D485" s="295">
        <v>60000000</v>
      </c>
      <c r="E485" s="296">
        <v>1186786.28</v>
      </c>
      <c r="F485" s="295">
        <v>60000000</v>
      </c>
    </row>
    <row r="486" spans="1:6" x14ac:dyDescent="0.3">
      <c r="A486" s="293">
        <v>8</v>
      </c>
      <c r="B486" s="293">
        <v>12020720</v>
      </c>
      <c r="C486" s="178" t="s">
        <v>688</v>
      </c>
      <c r="D486" s="295">
        <v>50000000</v>
      </c>
      <c r="E486" s="296">
        <v>4817771.1100000003</v>
      </c>
      <c r="F486" s="295">
        <v>50000000</v>
      </c>
    </row>
    <row r="487" spans="1:6" ht="21" thickBot="1" x14ac:dyDescent="0.35">
      <c r="A487" s="293"/>
      <c r="B487" s="293">
        <v>12020720</v>
      </c>
      <c r="C487" s="178" t="s">
        <v>2722</v>
      </c>
      <c r="D487" s="306">
        <v>10000000</v>
      </c>
      <c r="E487" s="307"/>
      <c r="F487" s="306"/>
    </row>
    <row r="488" spans="1:6" ht="21" thickBot="1" x14ac:dyDescent="0.35">
      <c r="A488" s="293"/>
      <c r="B488" s="301" t="s">
        <v>243</v>
      </c>
      <c r="C488" s="195"/>
      <c r="D488" s="388">
        <f>SUM(D481:D487)</f>
        <v>182000000</v>
      </c>
      <c r="E488" s="309">
        <f>SUM(E481:E486)</f>
        <v>16102657.390000001</v>
      </c>
      <c r="F488" s="311">
        <f>SUM(F481:F486)</f>
        <v>210000000</v>
      </c>
    </row>
    <row r="489" spans="1:6" x14ac:dyDescent="0.3">
      <c r="A489" s="702"/>
      <c r="B489" s="703"/>
      <c r="C489" s="704"/>
      <c r="D489" s="376"/>
      <c r="E489" s="377"/>
      <c r="F489" s="376"/>
    </row>
    <row r="490" spans="1:6" s="174" customFormat="1" ht="21" thickBot="1" x14ac:dyDescent="0.35">
      <c r="A490" s="3444" t="s">
        <v>2956</v>
      </c>
      <c r="B490" s="3444"/>
      <c r="C490" s="3444"/>
      <c r="D490" s="3444"/>
      <c r="E490" s="3444"/>
      <c r="F490" s="3444"/>
    </row>
    <row r="491" spans="1:6" ht="61.5" thickBot="1" x14ac:dyDescent="0.35">
      <c r="A491" s="297" t="s">
        <v>94</v>
      </c>
      <c r="B491" s="297" t="s">
        <v>1</v>
      </c>
      <c r="C491" s="298" t="s">
        <v>991</v>
      </c>
      <c r="D491" s="212" t="s">
        <v>1174</v>
      </c>
      <c r="E491" s="300" t="s">
        <v>1145</v>
      </c>
      <c r="F491" s="173" t="s">
        <v>3098</v>
      </c>
    </row>
    <row r="492" spans="1:6" x14ac:dyDescent="0.3">
      <c r="A492" s="293">
        <v>3</v>
      </c>
      <c r="B492" s="293">
        <v>12020449</v>
      </c>
      <c r="C492" s="189" t="s">
        <v>2954</v>
      </c>
      <c r="D492" s="295">
        <v>70000000</v>
      </c>
      <c r="E492" s="175">
        <v>0</v>
      </c>
      <c r="F492" s="295">
        <v>70000000</v>
      </c>
    </row>
    <row r="493" spans="1:6" ht="21" thickBot="1" x14ac:dyDescent="0.35">
      <c r="A493" s="318">
        <v>4</v>
      </c>
      <c r="B493" s="318">
        <v>12020436</v>
      </c>
      <c r="C493" s="707" t="s">
        <v>2955</v>
      </c>
      <c r="D493" s="306">
        <v>30000000</v>
      </c>
      <c r="E493" s="172">
        <v>0</v>
      </c>
      <c r="F493" s="306">
        <v>30000000</v>
      </c>
    </row>
    <row r="494" spans="1:6" ht="21" thickBot="1" x14ac:dyDescent="0.35">
      <c r="A494" s="293"/>
      <c r="B494" s="301" t="s">
        <v>243</v>
      </c>
      <c r="C494" s="196"/>
      <c r="D494" s="705">
        <f>SUM(D492:D493)</f>
        <v>100000000</v>
      </c>
      <c r="E494" s="706">
        <f>SUM(E492:E493)</f>
        <v>0</v>
      </c>
      <c r="F494" s="705">
        <f>SUM(F492:F493)</f>
        <v>100000000</v>
      </c>
    </row>
    <row r="495" spans="1:6" s="378" customFormat="1" x14ac:dyDescent="0.3">
      <c r="A495" s="373"/>
      <c r="B495" s="374"/>
      <c r="C495" s="375"/>
      <c r="D495" s="376"/>
      <c r="E495" s="376"/>
      <c r="F495" s="376"/>
    </row>
    <row r="496" spans="1:6" s="378" customFormat="1" x14ac:dyDescent="0.3">
      <c r="A496" s="373"/>
      <c r="B496" s="374"/>
      <c r="C496" s="375"/>
      <c r="D496" s="376"/>
      <c r="E496" s="377"/>
      <c r="F496" s="376"/>
    </row>
    <row r="497" spans="1:6" s="174" customFormat="1" ht="21" thickBot="1" x14ac:dyDescent="0.35">
      <c r="A497" s="3445" t="s">
        <v>2486</v>
      </c>
      <c r="B497" s="3435"/>
      <c r="C497" s="3435"/>
      <c r="D497" s="3435"/>
      <c r="E497" s="3435"/>
      <c r="F497" s="3435"/>
    </row>
    <row r="498" spans="1:6" ht="61.5" thickBot="1" x14ac:dyDescent="0.35">
      <c r="A498" s="297" t="s">
        <v>94</v>
      </c>
      <c r="B498" s="297" t="s">
        <v>1</v>
      </c>
      <c r="C498" s="298" t="s">
        <v>991</v>
      </c>
      <c r="D498" s="212" t="s">
        <v>1174</v>
      </c>
      <c r="E498" s="300" t="s">
        <v>1145</v>
      </c>
      <c r="F498" s="173" t="s">
        <v>3098</v>
      </c>
    </row>
    <row r="499" spans="1:6" s="174" customFormat="1" ht="21" thickBot="1" x14ac:dyDescent="0.35">
      <c r="A499" s="293">
        <v>1</v>
      </c>
      <c r="B499" s="293">
        <v>12020720</v>
      </c>
      <c r="C499" s="335" t="s">
        <v>2263</v>
      </c>
      <c r="D499" s="346">
        <v>500000000</v>
      </c>
      <c r="E499" s="732">
        <v>269270445.05000001</v>
      </c>
      <c r="F499" s="315">
        <v>404045020</v>
      </c>
    </row>
    <row r="500" spans="1:6" ht="21" thickBot="1" x14ac:dyDescent="0.35">
      <c r="A500" s="293"/>
      <c r="B500" s="301" t="s">
        <v>243</v>
      </c>
      <c r="C500" s="195"/>
      <c r="D500" s="760">
        <f>SUM(D499)</f>
        <v>500000000</v>
      </c>
      <c r="E500" s="759">
        <f t="shared" ref="E500" si="21">SUM(E499)</f>
        <v>269270445.05000001</v>
      </c>
      <c r="F500" s="761">
        <f>SUM(F499)</f>
        <v>404045020</v>
      </c>
    </row>
    <row r="501" spans="1:6" s="378" customFormat="1" x14ac:dyDescent="0.3">
      <c r="A501" s="373"/>
      <c r="B501" s="374"/>
      <c r="C501" s="375"/>
      <c r="D501" s="376"/>
      <c r="E501" s="376"/>
      <c r="F501" s="376"/>
    </row>
    <row r="502" spans="1:6" s="174" customFormat="1" ht="21" thickBot="1" x14ac:dyDescent="0.35">
      <c r="A502" s="3445" t="s">
        <v>2264</v>
      </c>
      <c r="B502" s="3435"/>
      <c r="C502" s="3435"/>
      <c r="D502" s="3435"/>
      <c r="E502" s="3435"/>
      <c r="F502" s="3435"/>
    </row>
    <row r="503" spans="1:6" ht="61.5" thickBot="1" x14ac:dyDescent="0.35">
      <c r="A503" s="297" t="s">
        <v>94</v>
      </c>
      <c r="B503" s="297" t="s">
        <v>1</v>
      </c>
      <c r="C503" s="298" t="s">
        <v>991</v>
      </c>
      <c r="D503" s="212" t="s">
        <v>1174</v>
      </c>
      <c r="E503" s="300" t="s">
        <v>1145</v>
      </c>
      <c r="F503" s="173" t="s">
        <v>3098</v>
      </c>
    </row>
    <row r="504" spans="1:6" s="174" customFormat="1" x14ac:dyDescent="0.3">
      <c r="A504" s="293">
        <v>1</v>
      </c>
      <c r="B504" s="396">
        <v>11010201</v>
      </c>
      <c r="C504" s="335" t="s">
        <v>2183</v>
      </c>
      <c r="D504" s="175"/>
      <c r="E504" s="175"/>
      <c r="F504" s="336">
        <v>6000000</v>
      </c>
    </row>
    <row r="505" spans="1:6" s="174" customFormat="1" ht="21" thickBot="1" x14ac:dyDescent="0.35">
      <c r="A505" s="293">
        <v>2</v>
      </c>
      <c r="B505" s="396">
        <v>11010301</v>
      </c>
      <c r="C505" s="335" t="s">
        <v>2184</v>
      </c>
      <c r="D505" s="172"/>
      <c r="E505" s="172"/>
      <c r="F505" s="339">
        <v>0</v>
      </c>
    </row>
    <row r="506" spans="1:6" s="174" customFormat="1" ht="21" thickBot="1" x14ac:dyDescent="0.35">
      <c r="A506" s="293"/>
      <c r="B506" s="400" t="s">
        <v>243</v>
      </c>
      <c r="C506" s="409"/>
      <c r="D506" s="402">
        <f>SUM(D504:D505)</f>
        <v>0</v>
      </c>
      <c r="E506" s="519">
        <f>SUM(E504:E505)</f>
        <v>0</v>
      </c>
      <c r="F506" s="432">
        <f>SUM(F504:F505)</f>
        <v>6000000</v>
      </c>
    </row>
    <row r="507" spans="1:6" x14ac:dyDescent="0.3">
      <c r="A507" s="184"/>
      <c r="B507" s="293"/>
      <c r="C507" s="178"/>
      <c r="D507" s="458"/>
      <c r="E507" s="490"/>
      <c r="F507" s="458"/>
    </row>
    <row r="508" spans="1:6" ht="21" thickBot="1" x14ac:dyDescent="0.35">
      <c r="A508" s="184"/>
      <c r="B508" s="293"/>
      <c r="C508" s="196" t="s">
        <v>1077</v>
      </c>
      <c r="D508" s="295"/>
      <c r="E508" s="296"/>
      <c r="F508" s="295"/>
    </row>
    <row r="509" spans="1:6" ht="61.5" thickBot="1" x14ac:dyDescent="0.35">
      <c r="A509" s="297" t="s">
        <v>94</v>
      </c>
      <c r="B509" s="297" t="s">
        <v>1</v>
      </c>
      <c r="C509" s="298" t="s">
        <v>991</v>
      </c>
      <c r="D509" s="212" t="s">
        <v>1174</v>
      </c>
      <c r="E509" s="300" t="s">
        <v>1145</v>
      </c>
      <c r="F509" s="173" t="s">
        <v>3098</v>
      </c>
    </row>
    <row r="510" spans="1:6" x14ac:dyDescent="0.3">
      <c r="A510" s="293">
        <v>1</v>
      </c>
      <c r="B510" s="419">
        <v>12020616</v>
      </c>
      <c r="C510" s="494" t="s">
        <v>2169</v>
      </c>
      <c r="D510" s="301"/>
      <c r="E510" s="495"/>
      <c r="F510" s="496">
        <v>100000</v>
      </c>
    </row>
    <row r="511" spans="1:6" x14ac:dyDescent="0.3">
      <c r="A511" s="293">
        <v>2</v>
      </c>
      <c r="B511" s="419">
        <v>12020135</v>
      </c>
      <c r="C511" s="446" t="s">
        <v>2140</v>
      </c>
      <c r="D511" s="497">
        <v>500000</v>
      </c>
      <c r="E511" s="175">
        <v>210000</v>
      </c>
      <c r="F511" s="448">
        <v>500000</v>
      </c>
    </row>
    <row r="512" spans="1:6" x14ac:dyDescent="0.3">
      <c r="A512" s="293">
        <v>3</v>
      </c>
      <c r="B512" s="419">
        <v>12020135</v>
      </c>
      <c r="C512" s="446" t="s">
        <v>2141</v>
      </c>
      <c r="D512" s="497"/>
      <c r="E512" s="175"/>
      <c r="F512" s="448">
        <v>250000</v>
      </c>
    </row>
    <row r="513" spans="1:6" x14ac:dyDescent="0.3">
      <c r="A513" s="293">
        <v>4</v>
      </c>
      <c r="B513" s="419">
        <v>12020135</v>
      </c>
      <c r="C513" s="446" t="s">
        <v>2142</v>
      </c>
      <c r="D513" s="497"/>
      <c r="E513" s="175"/>
      <c r="F513" s="448">
        <v>1000000</v>
      </c>
    </row>
    <row r="514" spans="1:6" x14ac:dyDescent="0.3">
      <c r="A514" s="293">
        <v>5</v>
      </c>
      <c r="B514" s="419">
        <v>12020135</v>
      </c>
      <c r="C514" s="446" t="s">
        <v>2143</v>
      </c>
      <c r="D514" s="497">
        <v>9500000</v>
      </c>
      <c r="E514" s="175">
        <v>2270000</v>
      </c>
      <c r="F514" s="448">
        <v>7000000</v>
      </c>
    </row>
    <row r="515" spans="1:6" x14ac:dyDescent="0.3">
      <c r="A515" s="293">
        <v>6</v>
      </c>
      <c r="B515" s="419">
        <v>12020135</v>
      </c>
      <c r="C515" s="446" t="s">
        <v>2144</v>
      </c>
      <c r="D515" s="497"/>
      <c r="E515" s="175"/>
      <c r="F515" s="448">
        <v>2500000</v>
      </c>
    </row>
    <row r="516" spans="1:6" x14ac:dyDescent="0.3">
      <c r="A516" s="293">
        <v>7</v>
      </c>
      <c r="B516" s="419">
        <v>12020135</v>
      </c>
      <c r="C516" s="446" t="s">
        <v>691</v>
      </c>
      <c r="D516" s="497">
        <v>0</v>
      </c>
      <c r="E516" s="175">
        <v>0</v>
      </c>
      <c r="F516" s="448">
        <v>500000</v>
      </c>
    </row>
    <row r="517" spans="1:6" x14ac:dyDescent="0.3">
      <c r="A517" s="293">
        <v>8</v>
      </c>
      <c r="B517" s="419">
        <v>12020135</v>
      </c>
      <c r="C517" s="446" t="s">
        <v>2145</v>
      </c>
      <c r="D517" s="497">
        <v>2500000</v>
      </c>
      <c r="E517" s="175">
        <v>15000</v>
      </c>
      <c r="F517" s="448">
        <v>1500000</v>
      </c>
    </row>
    <row r="518" spans="1:6" x14ac:dyDescent="0.3">
      <c r="A518" s="293">
        <v>9</v>
      </c>
      <c r="B518" s="419">
        <v>12020135</v>
      </c>
      <c r="C518" s="446" t="s">
        <v>2146</v>
      </c>
      <c r="D518" s="497"/>
      <c r="E518" s="175"/>
      <c r="F518" s="448">
        <v>1000000</v>
      </c>
    </row>
    <row r="519" spans="1:6" ht="21" thickBot="1" x14ac:dyDescent="0.35">
      <c r="A519" s="293">
        <v>10</v>
      </c>
      <c r="B519" s="419">
        <v>12020135</v>
      </c>
      <c r="C519" s="498" t="s">
        <v>2147</v>
      </c>
      <c r="D519" s="499"/>
      <c r="E519" s="172">
        <v>2270000</v>
      </c>
      <c r="F519" s="500">
        <v>12500000</v>
      </c>
    </row>
    <row r="520" spans="1:6" ht="21" thickBot="1" x14ac:dyDescent="0.35">
      <c r="A520" s="293"/>
      <c r="B520" s="301" t="s">
        <v>243</v>
      </c>
      <c r="C520" s="195"/>
      <c r="D520" s="388">
        <f>SUM(D510:D519)</f>
        <v>12500000</v>
      </c>
      <c r="E520" s="309">
        <f t="shared" ref="E520" si="22">SUM(E510:E519)</f>
        <v>4765000</v>
      </c>
      <c r="F520" s="311">
        <f>SUM(F510:F519)</f>
        <v>26850000</v>
      </c>
    </row>
    <row r="521" spans="1:6" x14ac:dyDescent="0.3">
      <c r="A521" s="439"/>
      <c r="B521" s="440"/>
      <c r="C521" s="441"/>
      <c r="D521" s="442"/>
      <c r="E521" s="501"/>
      <c r="F521" s="442"/>
    </row>
    <row r="522" spans="1:6" s="174" customFormat="1" ht="21" thickBot="1" x14ac:dyDescent="0.35">
      <c r="C522" s="3129" t="s">
        <v>2726</v>
      </c>
      <c r="D522" s="3130"/>
      <c r="E522" s="3130"/>
      <c r="F522" s="3130"/>
    </row>
    <row r="523" spans="1:6" s="169" customFormat="1" ht="61.5" thickBot="1" x14ac:dyDescent="0.35">
      <c r="A523" s="170" t="s">
        <v>94</v>
      </c>
      <c r="B523" s="170" t="s">
        <v>1</v>
      </c>
      <c r="C523" s="170" t="s">
        <v>991</v>
      </c>
      <c r="D523" s="212" t="s">
        <v>1174</v>
      </c>
      <c r="E523" s="300" t="s">
        <v>1145</v>
      </c>
      <c r="F523" s="173" t="s">
        <v>3098</v>
      </c>
    </row>
    <row r="524" spans="1:6" s="171" customFormat="1" x14ac:dyDescent="0.3">
      <c r="A524" s="736">
        <v>1</v>
      </c>
      <c r="B524" s="753">
        <v>12020616</v>
      </c>
      <c r="C524" s="184" t="s">
        <v>4282</v>
      </c>
      <c r="D524" s="738"/>
      <c r="E524" s="738"/>
      <c r="F524" s="738">
        <v>300000</v>
      </c>
    </row>
    <row r="525" spans="1:6" s="171" customFormat="1" x14ac:dyDescent="0.3">
      <c r="A525" s="736">
        <v>2</v>
      </c>
      <c r="B525" s="737">
        <v>12020132</v>
      </c>
      <c r="C525" s="197" t="s">
        <v>1641</v>
      </c>
      <c r="D525" s="738"/>
      <c r="E525" s="738"/>
      <c r="F525" s="738">
        <v>7250000</v>
      </c>
    </row>
    <row r="526" spans="1:6" s="171" customFormat="1" ht="21" thickBot="1" x14ac:dyDescent="0.35">
      <c r="A526" s="736">
        <v>3</v>
      </c>
      <c r="B526" s="737">
        <v>12020134</v>
      </c>
      <c r="C526" s="197" t="s">
        <v>2721</v>
      </c>
      <c r="D526" s="739"/>
      <c r="E526" s="739"/>
      <c r="F526" s="739">
        <v>6750000</v>
      </c>
    </row>
    <row r="527" spans="1:6" s="742" customFormat="1" ht="21" thickBot="1" x14ac:dyDescent="0.35">
      <c r="A527" s="740"/>
      <c r="B527" s="399" t="s">
        <v>243</v>
      </c>
      <c r="C527" s="741"/>
      <c r="D527" s="1872">
        <f>SUM(D524:D526)</f>
        <v>0</v>
      </c>
      <c r="E527" s="1874">
        <f>SUM(E524:E526)</f>
        <v>0</v>
      </c>
      <c r="F527" s="1873">
        <f>SUM(F524:F526)</f>
        <v>14300000</v>
      </c>
    </row>
    <row r="528" spans="1:6" x14ac:dyDescent="0.3">
      <c r="A528" s="439"/>
      <c r="B528" s="440"/>
      <c r="C528" s="441"/>
      <c r="D528" s="442"/>
      <c r="E528" s="501"/>
      <c r="F528" s="442"/>
    </row>
    <row r="529" spans="1:6" ht="21" thickBot="1" x14ac:dyDescent="0.35">
      <c r="A529" s="3446" t="s">
        <v>1250</v>
      </c>
      <c r="B529" s="3446"/>
      <c r="C529" s="3446"/>
      <c r="D529" s="3446"/>
      <c r="E529" s="3446"/>
      <c r="F529" s="3446"/>
    </row>
    <row r="530" spans="1:6" ht="61.5" thickBot="1" x14ac:dyDescent="0.35">
      <c r="A530" s="297" t="s">
        <v>94</v>
      </c>
      <c r="B530" s="297" t="s">
        <v>1</v>
      </c>
      <c r="C530" s="298" t="s">
        <v>991</v>
      </c>
      <c r="D530" s="212" t="s">
        <v>1174</v>
      </c>
      <c r="E530" s="300" t="s">
        <v>1145</v>
      </c>
      <c r="F530" s="173" t="s">
        <v>3098</v>
      </c>
    </row>
    <row r="531" spans="1:6" x14ac:dyDescent="0.3">
      <c r="A531" s="293">
        <v>1</v>
      </c>
      <c r="B531" s="419">
        <v>12020453</v>
      </c>
      <c r="C531" s="335" t="s">
        <v>3242</v>
      </c>
      <c r="D531" s="175">
        <v>550000</v>
      </c>
      <c r="E531" s="175">
        <v>41000</v>
      </c>
      <c r="F531" s="336">
        <v>3250000</v>
      </c>
    </row>
    <row r="532" spans="1:6" x14ac:dyDescent="0.3">
      <c r="A532" s="293">
        <v>2</v>
      </c>
      <c r="B532" s="419">
        <v>12020452</v>
      </c>
      <c r="C532" s="502" t="s">
        <v>2265</v>
      </c>
      <c r="D532" s="175">
        <v>7300000</v>
      </c>
      <c r="E532" s="175"/>
      <c r="F532" s="336">
        <v>8000000</v>
      </c>
    </row>
    <row r="533" spans="1:6" x14ac:dyDescent="0.3">
      <c r="A533" s="293">
        <v>3</v>
      </c>
      <c r="B533" s="419">
        <v>12020456</v>
      </c>
      <c r="C533" s="335" t="s">
        <v>2266</v>
      </c>
      <c r="D533" s="175">
        <v>95991000</v>
      </c>
      <c r="E533" s="175">
        <v>84768154.629999995</v>
      </c>
      <c r="F533" s="336">
        <v>100000000</v>
      </c>
    </row>
    <row r="534" spans="1:6" x14ac:dyDescent="0.3">
      <c r="A534" s="293">
        <v>4</v>
      </c>
      <c r="B534" s="419">
        <v>12020456</v>
      </c>
      <c r="C534" s="335" t="s">
        <v>2267</v>
      </c>
      <c r="D534" s="175">
        <v>3800000</v>
      </c>
      <c r="E534" s="175">
        <v>817000</v>
      </c>
      <c r="F534" s="336">
        <v>4200000</v>
      </c>
    </row>
    <row r="535" spans="1:6" x14ac:dyDescent="0.3">
      <c r="A535" s="293">
        <v>5</v>
      </c>
      <c r="B535" s="419">
        <v>12020802</v>
      </c>
      <c r="C535" s="335" t="s">
        <v>2268</v>
      </c>
      <c r="D535" s="175">
        <v>429000</v>
      </c>
      <c r="E535" s="175">
        <v>270000</v>
      </c>
      <c r="F535" s="336">
        <v>1000000</v>
      </c>
    </row>
    <row r="536" spans="1:6" x14ac:dyDescent="0.3">
      <c r="A536" s="293">
        <v>6</v>
      </c>
      <c r="B536" s="419">
        <v>12020456</v>
      </c>
      <c r="C536" s="335" t="s">
        <v>2269</v>
      </c>
      <c r="D536" s="175">
        <v>3800000</v>
      </c>
      <c r="E536" s="175">
        <v>2590700</v>
      </c>
      <c r="F536" s="336">
        <v>4200000</v>
      </c>
    </row>
    <row r="537" spans="1:6" x14ac:dyDescent="0.3">
      <c r="A537" s="293">
        <v>7</v>
      </c>
      <c r="B537" s="419">
        <v>12020456</v>
      </c>
      <c r="C537" s="335" t="s">
        <v>2270</v>
      </c>
      <c r="D537" s="175">
        <v>4500000</v>
      </c>
      <c r="E537" s="175">
        <v>2600800</v>
      </c>
      <c r="F537" s="336">
        <v>10000000</v>
      </c>
    </row>
    <row r="538" spans="1:6" x14ac:dyDescent="0.3">
      <c r="A538" s="293">
        <v>9</v>
      </c>
      <c r="B538" s="419">
        <v>12020456</v>
      </c>
      <c r="C538" s="335" t="s">
        <v>2271</v>
      </c>
      <c r="D538" s="175">
        <v>20000</v>
      </c>
      <c r="E538" s="175"/>
      <c r="F538" s="336">
        <v>30000</v>
      </c>
    </row>
    <row r="539" spans="1:6" x14ac:dyDescent="0.3">
      <c r="A539" s="293">
        <v>10</v>
      </c>
      <c r="B539" s="419">
        <v>12020456</v>
      </c>
      <c r="C539" s="335" t="s">
        <v>2272</v>
      </c>
      <c r="D539" s="175">
        <v>500000</v>
      </c>
      <c r="E539" s="175"/>
      <c r="F539" s="336">
        <v>600000</v>
      </c>
    </row>
    <row r="540" spans="1:6" x14ac:dyDescent="0.3">
      <c r="A540" s="293">
        <v>11</v>
      </c>
      <c r="B540" s="419">
        <v>12020456</v>
      </c>
      <c r="C540" s="335" t="s">
        <v>2273</v>
      </c>
      <c r="D540" s="175">
        <v>15000000</v>
      </c>
      <c r="E540" s="175">
        <v>3821100</v>
      </c>
      <c r="F540" s="336">
        <v>17000000</v>
      </c>
    </row>
    <row r="541" spans="1:6" x14ac:dyDescent="0.3">
      <c r="A541" s="293">
        <v>12</v>
      </c>
      <c r="B541" s="419">
        <v>12020609</v>
      </c>
      <c r="C541" s="335" t="s">
        <v>2274</v>
      </c>
      <c r="D541" s="175">
        <v>1000000</v>
      </c>
      <c r="E541" s="175"/>
      <c r="F541" s="336">
        <v>1500000</v>
      </c>
    </row>
    <row r="542" spans="1:6" x14ac:dyDescent="0.3">
      <c r="A542" s="293">
        <v>13</v>
      </c>
      <c r="B542" s="419">
        <v>12020456</v>
      </c>
      <c r="C542" s="335" t="s">
        <v>2275</v>
      </c>
      <c r="D542" s="175">
        <v>4500000</v>
      </c>
      <c r="E542" s="175">
        <v>699000</v>
      </c>
      <c r="F542" s="336">
        <v>5000000</v>
      </c>
    </row>
    <row r="543" spans="1:6" ht="21" thickBot="1" x14ac:dyDescent="0.35">
      <c r="A543" s="293">
        <v>14</v>
      </c>
      <c r="B543" s="419">
        <v>12020701</v>
      </c>
      <c r="C543" s="335" t="s">
        <v>2276</v>
      </c>
      <c r="D543" s="1862">
        <v>500000</v>
      </c>
      <c r="E543" s="172"/>
      <c r="F543" s="339">
        <v>2000000</v>
      </c>
    </row>
    <row r="544" spans="1:6" ht="21" thickBot="1" x14ac:dyDescent="0.35">
      <c r="A544" s="184"/>
      <c r="B544" s="399" t="s">
        <v>243</v>
      </c>
      <c r="C544" s="1865"/>
      <c r="D544" s="1875">
        <f>SUM(D531:D543)</f>
        <v>137890000</v>
      </c>
      <c r="E544" s="755">
        <f t="shared" ref="E544" si="23">SUM(E531:E543)</f>
        <v>95607754.629999995</v>
      </c>
      <c r="F544" s="538">
        <f>SUM(F531:F543)</f>
        <v>156780000</v>
      </c>
    </row>
    <row r="545" spans="1:6" x14ac:dyDescent="0.3">
      <c r="A545" s="184"/>
      <c r="B545" s="1863"/>
      <c r="C545" s="1864"/>
      <c r="D545" s="762"/>
      <c r="E545" s="762"/>
      <c r="F545" s="763"/>
    </row>
    <row r="546" spans="1:6" s="503" customFormat="1" ht="21" thickBot="1" x14ac:dyDescent="0.35">
      <c r="A546" s="3446" t="s">
        <v>2277</v>
      </c>
      <c r="B546" s="3446"/>
      <c r="C546" s="3446"/>
      <c r="D546" s="3446"/>
      <c r="E546" s="3446"/>
      <c r="F546" s="3446"/>
    </row>
    <row r="547" spans="1:6" ht="61.5" thickBot="1" x14ac:dyDescent="0.35">
      <c r="A547" s="297" t="s">
        <v>94</v>
      </c>
      <c r="B547" s="297" t="s">
        <v>1</v>
      </c>
      <c r="C547" s="298" t="s">
        <v>991</v>
      </c>
      <c r="D547" s="212" t="s">
        <v>1174</v>
      </c>
      <c r="E547" s="300" t="s">
        <v>1145</v>
      </c>
      <c r="F547" s="173" t="s">
        <v>3098</v>
      </c>
    </row>
    <row r="548" spans="1:6" s="503" customFormat="1" x14ac:dyDescent="0.3">
      <c r="A548" s="340">
        <v>1</v>
      </c>
      <c r="B548" s="398">
        <v>12020616</v>
      </c>
      <c r="C548" s="398" t="s">
        <v>2278</v>
      </c>
      <c r="D548" s="175">
        <v>5000000</v>
      </c>
      <c r="E548" s="175">
        <v>77000</v>
      </c>
      <c r="F548" s="336">
        <v>5000000</v>
      </c>
    </row>
    <row r="549" spans="1:6" s="503" customFormat="1" x14ac:dyDescent="0.3">
      <c r="A549" s="340">
        <v>2</v>
      </c>
      <c r="B549" s="398">
        <v>12020452</v>
      </c>
      <c r="C549" s="398" t="s">
        <v>263</v>
      </c>
      <c r="D549" s="175">
        <v>3000000</v>
      </c>
      <c r="E549" s="175">
        <v>2553000</v>
      </c>
      <c r="F549" s="336">
        <v>3000000</v>
      </c>
    </row>
    <row r="550" spans="1:6" s="503" customFormat="1" x14ac:dyDescent="0.3">
      <c r="A550" s="340">
        <v>3</v>
      </c>
      <c r="B550" s="398">
        <v>12020456</v>
      </c>
      <c r="C550" s="398" t="s">
        <v>2279</v>
      </c>
      <c r="D550" s="175">
        <v>3000000</v>
      </c>
      <c r="E550" s="175">
        <v>0</v>
      </c>
      <c r="F550" s="336">
        <v>3000000</v>
      </c>
    </row>
    <row r="551" spans="1:6" s="503" customFormat="1" x14ac:dyDescent="0.3">
      <c r="A551" s="340">
        <v>4</v>
      </c>
      <c r="B551" s="398">
        <v>12020456</v>
      </c>
      <c r="C551" s="398" t="s">
        <v>262</v>
      </c>
      <c r="D551" s="175">
        <v>3000000</v>
      </c>
      <c r="E551" s="175">
        <v>0</v>
      </c>
      <c r="F551" s="336">
        <v>3000000</v>
      </c>
    </row>
    <row r="552" spans="1:6" s="503" customFormat="1" x14ac:dyDescent="0.3">
      <c r="A552" s="340">
        <v>5</v>
      </c>
      <c r="B552" s="398">
        <v>12020456</v>
      </c>
      <c r="C552" s="398" t="s">
        <v>264</v>
      </c>
      <c r="D552" s="175">
        <v>18000000</v>
      </c>
      <c r="E552" s="175">
        <v>2100</v>
      </c>
      <c r="F552" s="336">
        <v>18000000</v>
      </c>
    </row>
    <row r="553" spans="1:6" s="503" customFormat="1" x14ac:dyDescent="0.3">
      <c r="A553" s="340">
        <v>6</v>
      </c>
      <c r="B553" s="398">
        <v>12020456</v>
      </c>
      <c r="C553" s="398" t="s">
        <v>2280</v>
      </c>
      <c r="D553" s="175">
        <v>18000000</v>
      </c>
      <c r="E553" s="175">
        <v>14000</v>
      </c>
      <c r="F553" s="336">
        <v>18000000</v>
      </c>
    </row>
    <row r="554" spans="1:6" s="503" customFormat="1" x14ac:dyDescent="0.3">
      <c r="A554" s="340">
        <v>7</v>
      </c>
      <c r="B554" s="398">
        <v>12020456</v>
      </c>
      <c r="C554" s="398" t="s">
        <v>2281</v>
      </c>
      <c r="D554" s="175">
        <v>5500000</v>
      </c>
      <c r="E554" s="175">
        <v>7000</v>
      </c>
      <c r="F554" s="336">
        <v>5500000</v>
      </c>
    </row>
    <row r="555" spans="1:6" s="503" customFormat="1" x14ac:dyDescent="0.3">
      <c r="A555" s="340">
        <v>8</v>
      </c>
      <c r="B555" s="398">
        <v>12020456</v>
      </c>
      <c r="C555" s="398" t="s">
        <v>2967</v>
      </c>
      <c r="D555" s="504">
        <v>3000000</v>
      </c>
      <c r="E555" s="504">
        <v>198100</v>
      </c>
      <c r="F555" s="336">
        <v>3000000</v>
      </c>
    </row>
    <row r="556" spans="1:6" s="503" customFormat="1" x14ac:dyDescent="0.3">
      <c r="A556" s="340">
        <v>9</v>
      </c>
      <c r="B556" s="398">
        <v>12020456</v>
      </c>
      <c r="C556" s="446" t="s">
        <v>2282</v>
      </c>
      <c r="D556" s="504">
        <v>5500000</v>
      </c>
      <c r="E556" s="504">
        <v>1241200</v>
      </c>
      <c r="F556" s="336">
        <v>5500000</v>
      </c>
    </row>
    <row r="557" spans="1:6" s="503" customFormat="1" x14ac:dyDescent="0.3">
      <c r="A557" s="340">
        <v>10</v>
      </c>
      <c r="B557" s="398">
        <v>12020456</v>
      </c>
      <c r="C557" s="398" t="s">
        <v>2968</v>
      </c>
      <c r="D557" s="504">
        <v>2000000</v>
      </c>
      <c r="E557" s="504">
        <v>0</v>
      </c>
      <c r="F557" s="336">
        <v>2000000</v>
      </c>
    </row>
    <row r="558" spans="1:6" s="503" customFormat="1" x14ac:dyDescent="0.3">
      <c r="A558" s="340">
        <v>11</v>
      </c>
      <c r="B558" s="398">
        <v>12020603</v>
      </c>
      <c r="C558" s="398" t="s">
        <v>2969</v>
      </c>
      <c r="D558" s="504">
        <v>2000000</v>
      </c>
      <c r="E558" s="504">
        <v>3500</v>
      </c>
      <c r="F558" s="336">
        <v>2000000</v>
      </c>
    </row>
    <row r="559" spans="1:6" s="503" customFormat="1" x14ac:dyDescent="0.3">
      <c r="A559" s="340">
        <v>12</v>
      </c>
      <c r="B559" s="398">
        <v>12020502</v>
      </c>
      <c r="C559" s="398" t="s">
        <v>2283</v>
      </c>
      <c r="D559" s="504">
        <v>1000000</v>
      </c>
      <c r="E559" s="504">
        <v>0</v>
      </c>
      <c r="F559" s="336">
        <v>1000000</v>
      </c>
    </row>
    <row r="560" spans="1:6" s="503" customFormat="1" x14ac:dyDescent="0.3">
      <c r="A560" s="340">
        <v>13</v>
      </c>
      <c r="B560" s="398">
        <v>12020456</v>
      </c>
      <c r="C560" s="398" t="s">
        <v>2970</v>
      </c>
      <c r="D560" s="504">
        <v>1000000</v>
      </c>
      <c r="E560" s="504">
        <v>0</v>
      </c>
      <c r="F560" s="336">
        <v>1000000</v>
      </c>
    </row>
    <row r="561" spans="1:6" s="503" customFormat="1" ht="21" thickBot="1" x14ac:dyDescent="0.35">
      <c r="A561" s="340">
        <v>14</v>
      </c>
      <c r="B561" s="398">
        <v>12020456</v>
      </c>
      <c r="C561" s="446" t="s">
        <v>2284</v>
      </c>
      <c r="D561" s="556">
        <v>20000000</v>
      </c>
      <c r="E561" s="556">
        <v>0</v>
      </c>
      <c r="F561" s="315">
        <v>10000000</v>
      </c>
    </row>
    <row r="562" spans="1:6" s="503" customFormat="1" ht="21" thickBot="1" x14ac:dyDescent="0.35">
      <c r="B562" s="560" t="s">
        <v>243</v>
      </c>
      <c r="C562" s="758"/>
      <c r="D562" s="402">
        <f>SUM(D548:D561)</f>
        <v>90000000</v>
      </c>
      <c r="E562" s="519">
        <f t="shared" ref="E562" si="24">SUM(E548:E561)</f>
        <v>4095900</v>
      </c>
      <c r="F562" s="432">
        <f>SUM(F548:F561)</f>
        <v>80000000</v>
      </c>
    </row>
    <row r="563" spans="1:6" s="503" customFormat="1" x14ac:dyDescent="0.3">
      <c r="B563" s="505"/>
      <c r="C563" s="506"/>
      <c r="D563" s="762"/>
      <c r="E563" s="764"/>
      <c r="F563" s="763"/>
    </row>
    <row r="564" spans="1:6" s="174" customFormat="1" ht="21" thickBot="1" x14ac:dyDescent="0.35">
      <c r="A564" s="3424" t="s">
        <v>2285</v>
      </c>
      <c r="B564" s="3424"/>
      <c r="C564" s="3424"/>
      <c r="D564" s="3424"/>
      <c r="E564" s="3424"/>
      <c r="F564" s="3424"/>
    </row>
    <row r="565" spans="1:6" ht="61.5" thickBot="1" x14ac:dyDescent="0.35">
      <c r="A565" s="297" t="s">
        <v>94</v>
      </c>
      <c r="B565" s="297" t="s">
        <v>1</v>
      </c>
      <c r="C565" s="298" t="s">
        <v>991</v>
      </c>
      <c r="D565" s="212" t="s">
        <v>1174</v>
      </c>
      <c r="E565" s="300" t="s">
        <v>1145</v>
      </c>
      <c r="F565" s="173" t="s">
        <v>3098</v>
      </c>
    </row>
    <row r="566" spans="1:6" s="174" customFormat="1" x14ac:dyDescent="0.3">
      <c r="A566" s="317">
        <v>1</v>
      </c>
      <c r="B566" s="478">
        <v>12020616</v>
      </c>
      <c r="C566" s="479" t="s">
        <v>671</v>
      </c>
      <c r="D566" s="436">
        <v>30049000</v>
      </c>
      <c r="E566" s="436">
        <v>3544500</v>
      </c>
      <c r="F566" s="353">
        <v>30049000</v>
      </c>
    </row>
    <row r="567" spans="1:6" s="174" customFormat="1" x14ac:dyDescent="0.3">
      <c r="A567" s="317">
        <v>2</v>
      </c>
      <c r="B567" s="396">
        <v>12020452</v>
      </c>
      <c r="C567" s="335" t="s">
        <v>263</v>
      </c>
      <c r="D567" s="175">
        <v>87000000</v>
      </c>
      <c r="E567" s="175">
        <v>16072500</v>
      </c>
      <c r="F567" s="181">
        <v>87000000</v>
      </c>
    </row>
    <row r="568" spans="1:6" s="174" customFormat="1" x14ac:dyDescent="0.3">
      <c r="A568" s="317">
        <v>3</v>
      </c>
      <c r="B568" s="396">
        <v>12020456</v>
      </c>
      <c r="C568" s="335" t="s">
        <v>2279</v>
      </c>
      <c r="D568" s="175">
        <v>15000000</v>
      </c>
      <c r="E568" s="175">
        <v>8650000</v>
      </c>
      <c r="F568" s="181">
        <v>15000000</v>
      </c>
    </row>
    <row r="569" spans="1:6" s="174" customFormat="1" x14ac:dyDescent="0.3">
      <c r="A569" s="317">
        <v>4</v>
      </c>
      <c r="B569" s="396">
        <v>12020456</v>
      </c>
      <c r="C569" s="335" t="s">
        <v>262</v>
      </c>
      <c r="D569" s="175">
        <v>3500000</v>
      </c>
      <c r="E569" s="175">
        <v>1786500</v>
      </c>
      <c r="F569" s="181">
        <v>3500000</v>
      </c>
    </row>
    <row r="570" spans="1:6" s="174" customFormat="1" x14ac:dyDescent="0.3">
      <c r="A570" s="317">
        <v>5</v>
      </c>
      <c r="B570" s="396">
        <v>12020456</v>
      </c>
      <c r="C570" s="335" t="s">
        <v>264</v>
      </c>
      <c r="D570" s="175">
        <v>8500000</v>
      </c>
      <c r="E570" s="175">
        <v>9002800</v>
      </c>
      <c r="F570" s="181">
        <v>8500000</v>
      </c>
    </row>
    <row r="571" spans="1:6" s="174" customFormat="1" x14ac:dyDescent="0.3">
      <c r="A571" s="317">
        <v>6</v>
      </c>
      <c r="B571" s="396">
        <v>12020456</v>
      </c>
      <c r="C571" s="335" t="s">
        <v>2286</v>
      </c>
      <c r="D571" s="175">
        <v>8500000</v>
      </c>
      <c r="E571" s="175">
        <v>3215700</v>
      </c>
      <c r="F571" s="181">
        <v>8500000</v>
      </c>
    </row>
    <row r="572" spans="1:6" s="174" customFormat="1" x14ac:dyDescent="0.3">
      <c r="A572" s="317">
        <v>7</v>
      </c>
      <c r="B572" s="396">
        <v>12020456</v>
      </c>
      <c r="C572" s="191" t="s">
        <v>2287</v>
      </c>
      <c r="D572" s="175">
        <v>0</v>
      </c>
      <c r="E572" s="175">
        <v>731982</v>
      </c>
      <c r="F572" s="181">
        <v>9500000</v>
      </c>
    </row>
    <row r="573" spans="1:6" s="174" customFormat="1" x14ac:dyDescent="0.3">
      <c r="A573" s="317">
        <v>8</v>
      </c>
      <c r="B573" s="396">
        <v>12020603</v>
      </c>
      <c r="C573" s="335" t="s">
        <v>2288</v>
      </c>
      <c r="D573" s="497">
        <v>3500000</v>
      </c>
      <c r="E573" s="497">
        <v>0</v>
      </c>
      <c r="F573" s="448">
        <v>3500000</v>
      </c>
    </row>
    <row r="574" spans="1:6" s="174" customFormat="1" x14ac:dyDescent="0.3">
      <c r="A574" s="317">
        <v>9</v>
      </c>
      <c r="B574" s="396">
        <v>12020456</v>
      </c>
      <c r="C574" s="335" t="s">
        <v>2269</v>
      </c>
      <c r="D574" s="497">
        <v>0</v>
      </c>
      <c r="E574" s="497">
        <v>9889725</v>
      </c>
      <c r="F574" s="448">
        <v>10000000</v>
      </c>
    </row>
    <row r="575" spans="1:6" s="174" customFormat="1" x14ac:dyDescent="0.3">
      <c r="A575" s="317">
        <v>10</v>
      </c>
      <c r="B575" s="396">
        <v>12020456</v>
      </c>
      <c r="C575" s="335" t="s">
        <v>2289</v>
      </c>
      <c r="D575" s="497">
        <v>12000205</v>
      </c>
      <c r="E575" s="497">
        <v>5334500</v>
      </c>
      <c r="F575" s="448">
        <v>12000205</v>
      </c>
    </row>
    <row r="576" spans="1:6" s="174" customFormat="1" x14ac:dyDescent="0.3">
      <c r="A576" s="317">
        <v>11</v>
      </c>
      <c r="B576" s="396">
        <v>12020456</v>
      </c>
      <c r="C576" s="335" t="s">
        <v>2290</v>
      </c>
      <c r="D576" s="497">
        <v>3000000</v>
      </c>
      <c r="E576" s="497">
        <v>1071900</v>
      </c>
      <c r="F576" s="448">
        <v>3000000</v>
      </c>
    </row>
    <row r="577" spans="1:6" s="174" customFormat="1" x14ac:dyDescent="0.3">
      <c r="A577" s="317">
        <v>12</v>
      </c>
      <c r="B577" s="396">
        <v>12020713</v>
      </c>
      <c r="C577" s="335" t="s">
        <v>2282</v>
      </c>
      <c r="D577" s="497">
        <v>2500000</v>
      </c>
      <c r="E577" s="497">
        <v>952800</v>
      </c>
      <c r="F577" s="448">
        <v>2500000</v>
      </c>
    </row>
    <row r="578" spans="1:6" s="174" customFormat="1" x14ac:dyDescent="0.3">
      <c r="A578" s="317">
        <v>13</v>
      </c>
      <c r="B578" s="396">
        <v>12020456</v>
      </c>
      <c r="C578" s="507" t="s">
        <v>2291</v>
      </c>
      <c r="D578" s="497">
        <v>2500000</v>
      </c>
      <c r="E578" s="497">
        <v>952800</v>
      </c>
      <c r="F578" s="448">
        <v>2500000</v>
      </c>
    </row>
    <row r="579" spans="1:6" s="174" customFormat="1" x14ac:dyDescent="0.3">
      <c r="A579" s="317">
        <v>14</v>
      </c>
      <c r="B579" s="396">
        <v>12020456</v>
      </c>
      <c r="C579" s="507" t="s">
        <v>2292</v>
      </c>
      <c r="D579" s="497">
        <v>3000000</v>
      </c>
      <c r="E579" s="497">
        <v>714600</v>
      </c>
      <c r="F579" s="448">
        <v>3000000</v>
      </c>
    </row>
    <row r="580" spans="1:6" s="174" customFormat="1" x14ac:dyDescent="0.3">
      <c r="A580" s="317">
        <v>15</v>
      </c>
      <c r="B580" s="396">
        <v>12020456</v>
      </c>
      <c r="C580" s="507" t="s">
        <v>2293</v>
      </c>
      <c r="D580" s="497">
        <v>2700000</v>
      </c>
      <c r="E580" s="497">
        <v>536100</v>
      </c>
      <c r="F580" s="448">
        <v>2700000</v>
      </c>
    </row>
    <row r="581" spans="1:6" s="174" customFormat="1" x14ac:dyDescent="0.3">
      <c r="A581" s="317">
        <v>16</v>
      </c>
      <c r="B581" s="396">
        <v>12020714</v>
      </c>
      <c r="C581" s="507" t="s">
        <v>2294</v>
      </c>
      <c r="D581" s="497">
        <v>25000000</v>
      </c>
      <c r="E581" s="497">
        <v>10371675</v>
      </c>
      <c r="F581" s="448">
        <v>25000000</v>
      </c>
    </row>
    <row r="582" spans="1:6" s="174" customFormat="1" x14ac:dyDescent="0.3">
      <c r="A582" s="317">
        <v>17</v>
      </c>
      <c r="B582" s="396">
        <v>12020704</v>
      </c>
      <c r="C582" s="507" t="s">
        <v>2295</v>
      </c>
      <c r="D582" s="497">
        <v>1000000</v>
      </c>
      <c r="E582" s="497">
        <v>0</v>
      </c>
      <c r="F582" s="448">
        <v>1000000</v>
      </c>
    </row>
    <row r="583" spans="1:6" s="174" customFormat="1" x14ac:dyDescent="0.3">
      <c r="A583" s="317">
        <v>18</v>
      </c>
      <c r="B583" s="396">
        <v>12020714</v>
      </c>
      <c r="C583" s="507" t="s">
        <v>2296</v>
      </c>
      <c r="D583" s="497">
        <v>1000000</v>
      </c>
      <c r="E583" s="497">
        <v>2261650</v>
      </c>
      <c r="F583" s="448">
        <v>1000000</v>
      </c>
    </row>
    <row r="584" spans="1:6" s="174" customFormat="1" ht="21" thickBot="1" x14ac:dyDescent="0.35">
      <c r="A584" s="317">
        <v>19</v>
      </c>
      <c r="B584" s="396">
        <v>12020701</v>
      </c>
      <c r="C584" s="507" t="s">
        <v>2297</v>
      </c>
      <c r="D584" s="499">
        <v>1000000</v>
      </c>
      <c r="E584" s="499">
        <v>0</v>
      </c>
      <c r="F584" s="500">
        <v>5000000</v>
      </c>
    </row>
    <row r="585" spans="1:6" s="174" customFormat="1" ht="21" thickBot="1" x14ac:dyDescent="0.35">
      <c r="A585" s="197"/>
      <c r="B585" s="560" t="s">
        <v>243</v>
      </c>
      <c r="C585" s="561"/>
      <c r="D585" s="402">
        <f>SUM(D566:D584)</f>
        <v>209749205</v>
      </c>
      <c r="E585" s="402">
        <f t="shared" ref="E585" si="25">SUM(E566:E584)</f>
        <v>75089732</v>
      </c>
      <c r="F585" s="403">
        <f>SUM(F566:F584)</f>
        <v>233249205</v>
      </c>
    </row>
    <row r="586" spans="1:6" s="503" customFormat="1" x14ac:dyDescent="0.3">
      <c r="B586" s="505"/>
      <c r="C586" s="506"/>
      <c r="D586" s="449"/>
      <c r="E586" s="450"/>
      <c r="F586" s="447"/>
    </row>
    <row r="587" spans="1:6" s="174" customFormat="1" ht="21" thickBot="1" x14ac:dyDescent="0.35">
      <c r="A587" s="3424" t="s">
        <v>2298</v>
      </c>
      <c r="B587" s="3424"/>
      <c r="C587" s="3424"/>
      <c r="D587" s="3424"/>
      <c r="E587" s="3424"/>
      <c r="F587" s="3424"/>
    </row>
    <row r="588" spans="1:6" ht="61.5" thickBot="1" x14ac:dyDescent="0.35">
      <c r="A588" s="297" t="s">
        <v>94</v>
      </c>
      <c r="B588" s="297" t="s">
        <v>1</v>
      </c>
      <c r="C588" s="298" t="s">
        <v>991</v>
      </c>
      <c r="D588" s="212" t="s">
        <v>1174</v>
      </c>
      <c r="E588" s="300" t="s">
        <v>1145</v>
      </c>
      <c r="F588" s="173" t="s">
        <v>3098</v>
      </c>
    </row>
    <row r="589" spans="1:6" s="174" customFormat="1" x14ac:dyDescent="0.3">
      <c r="A589" s="317">
        <v>1</v>
      </c>
      <c r="B589" s="478">
        <v>12020452</v>
      </c>
      <c r="C589" s="508" t="s">
        <v>2299</v>
      </c>
      <c r="D589" s="509">
        <v>49500000</v>
      </c>
      <c r="E589" s="510">
        <v>41680000</v>
      </c>
      <c r="F589" s="509">
        <v>49500000</v>
      </c>
    </row>
    <row r="590" spans="1:6" s="174" customFormat="1" x14ac:dyDescent="0.3">
      <c r="A590" s="317">
        <v>2</v>
      </c>
      <c r="B590" s="396">
        <v>12020456</v>
      </c>
      <c r="C590" s="511" t="s">
        <v>2159</v>
      </c>
      <c r="D590" s="418">
        <v>68000000</v>
      </c>
      <c r="E590" s="512">
        <v>80277626.629999995</v>
      </c>
      <c r="F590" s="418">
        <v>82000000</v>
      </c>
    </row>
    <row r="591" spans="1:6" s="174" customFormat="1" x14ac:dyDescent="0.3">
      <c r="A591" s="317">
        <v>3</v>
      </c>
      <c r="B591" s="396">
        <v>12020456</v>
      </c>
      <c r="C591" s="511" t="s">
        <v>2300</v>
      </c>
      <c r="D591" s="418">
        <v>18000000</v>
      </c>
      <c r="E591" s="512">
        <v>6510500</v>
      </c>
      <c r="F591" s="418">
        <v>10000000</v>
      </c>
    </row>
    <row r="592" spans="1:6" s="174" customFormat="1" x14ac:dyDescent="0.3">
      <c r="A592" s="317">
        <v>4</v>
      </c>
      <c r="B592" s="396">
        <v>12020714</v>
      </c>
      <c r="C592" s="335" t="s">
        <v>2301</v>
      </c>
      <c r="D592" s="336">
        <v>29000000</v>
      </c>
      <c r="E592" s="512">
        <v>25400150</v>
      </c>
      <c r="F592" s="336">
        <v>29000000</v>
      </c>
    </row>
    <row r="593" spans="1:6" s="174" customFormat="1" x14ac:dyDescent="0.3">
      <c r="A593" s="317">
        <v>5</v>
      </c>
      <c r="B593" s="396">
        <v>12020713</v>
      </c>
      <c r="C593" s="511" t="s">
        <v>2302</v>
      </c>
      <c r="D593" s="418">
        <v>18000000</v>
      </c>
      <c r="E593" s="512">
        <v>16213000</v>
      </c>
      <c r="F593" s="418">
        <v>18000000</v>
      </c>
    </row>
    <row r="594" spans="1:6" s="174" customFormat="1" x14ac:dyDescent="0.3">
      <c r="A594" s="317">
        <v>6</v>
      </c>
      <c r="B594" s="396">
        <v>12020603</v>
      </c>
      <c r="C594" s="511" t="s">
        <v>2303</v>
      </c>
      <c r="D594" s="418">
        <v>6000000</v>
      </c>
      <c r="E594" s="512">
        <v>4965000</v>
      </c>
      <c r="F594" s="418">
        <v>6000000</v>
      </c>
    </row>
    <row r="595" spans="1:6" s="174" customFormat="1" x14ac:dyDescent="0.3">
      <c r="A595" s="317">
        <v>7</v>
      </c>
      <c r="B595" s="396">
        <v>12020441</v>
      </c>
      <c r="C595" s="511" t="s">
        <v>2304</v>
      </c>
      <c r="D595" s="418">
        <v>20000000</v>
      </c>
      <c r="E595" s="512">
        <v>16627100</v>
      </c>
      <c r="F595" s="418">
        <v>18000000</v>
      </c>
    </row>
    <row r="596" spans="1:6" s="174" customFormat="1" x14ac:dyDescent="0.3">
      <c r="A596" s="317">
        <v>8</v>
      </c>
      <c r="B596" s="396">
        <v>12020456</v>
      </c>
      <c r="C596" s="335" t="s">
        <v>2305</v>
      </c>
      <c r="D596" s="418">
        <v>2500000</v>
      </c>
      <c r="E596" s="512">
        <v>1851900</v>
      </c>
      <c r="F596" s="418">
        <v>2500000</v>
      </c>
    </row>
    <row r="597" spans="1:6" s="174" customFormat="1" x14ac:dyDescent="0.3">
      <c r="A597" s="317">
        <v>9</v>
      </c>
      <c r="B597" s="396">
        <v>12020456</v>
      </c>
      <c r="C597" s="335" t="s">
        <v>2306</v>
      </c>
      <c r="D597" s="418">
        <v>22000000</v>
      </c>
      <c r="E597" s="380">
        <v>10663400</v>
      </c>
      <c r="F597" s="418">
        <v>12000000</v>
      </c>
    </row>
    <row r="598" spans="1:6" s="174" customFormat="1" x14ac:dyDescent="0.3">
      <c r="A598" s="317">
        <v>10</v>
      </c>
      <c r="B598" s="396">
        <v>12020456</v>
      </c>
      <c r="C598" s="335" t="s">
        <v>2307</v>
      </c>
      <c r="D598" s="418">
        <v>18000000</v>
      </c>
      <c r="E598" s="512">
        <v>16344600</v>
      </c>
      <c r="F598" s="418">
        <v>18000000</v>
      </c>
    </row>
    <row r="599" spans="1:6" s="174" customFormat="1" x14ac:dyDescent="0.3">
      <c r="A599" s="317">
        <v>11</v>
      </c>
      <c r="B599" s="396">
        <v>12020616</v>
      </c>
      <c r="C599" s="191" t="s">
        <v>2308</v>
      </c>
      <c r="D599" s="418">
        <v>6000000</v>
      </c>
      <c r="E599" s="380">
        <v>281200</v>
      </c>
      <c r="F599" s="418">
        <v>1000000</v>
      </c>
    </row>
    <row r="600" spans="1:6" s="174" customFormat="1" x14ac:dyDescent="0.3">
      <c r="A600" s="317">
        <v>12</v>
      </c>
      <c r="B600" s="396">
        <v>12020456</v>
      </c>
      <c r="C600" s="191" t="s">
        <v>2309</v>
      </c>
      <c r="D600" s="418">
        <v>100000</v>
      </c>
      <c r="E600" s="512">
        <v>1442700</v>
      </c>
      <c r="F600" s="418">
        <v>2500000</v>
      </c>
    </row>
    <row r="601" spans="1:6" s="174" customFormat="1" x14ac:dyDescent="0.3">
      <c r="A601" s="317">
        <v>13</v>
      </c>
      <c r="B601" s="396">
        <v>12020456</v>
      </c>
      <c r="C601" s="191" t="s">
        <v>2310</v>
      </c>
      <c r="D601" s="336">
        <v>40000</v>
      </c>
      <c r="E601" s="513">
        <v>0</v>
      </c>
      <c r="F601" s="336">
        <v>40000</v>
      </c>
    </row>
    <row r="602" spans="1:6" s="174" customFormat="1" x14ac:dyDescent="0.3">
      <c r="A602" s="317">
        <v>14</v>
      </c>
      <c r="B602" s="396">
        <v>12020456</v>
      </c>
      <c r="C602" s="446" t="s">
        <v>2311</v>
      </c>
      <c r="D602" s="336">
        <v>150000</v>
      </c>
      <c r="E602" s="513">
        <v>0</v>
      </c>
      <c r="F602" s="336">
        <v>150000</v>
      </c>
    </row>
    <row r="603" spans="1:6" s="174" customFormat="1" x14ac:dyDescent="0.3">
      <c r="A603" s="317">
        <v>15</v>
      </c>
      <c r="B603" s="396">
        <v>12020456</v>
      </c>
      <c r="C603" s="511" t="s">
        <v>2312</v>
      </c>
      <c r="D603" s="418">
        <v>300000</v>
      </c>
      <c r="E603" s="513">
        <v>2731000</v>
      </c>
      <c r="F603" s="418">
        <v>4000000</v>
      </c>
    </row>
    <row r="604" spans="1:6" s="174" customFormat="1" x14ac:dyDescent="0.3">
      <c r="A604" s="317">
        <v>16</v>
      </c>
      <c r="B604" s="396">
        <v>12020456</v>
      </c>
      <c r="C604" s="511" t="s">
        <v>2313</v>
      </c>
      <c r="D604" s="418">
        <v>7500000</v>
      </c>
      <c r="E604" s="380">
        <v>21000</v>
      </c>
      <c r="F604" s="418">
        <v>50000</v>
      </c>
    </row>
    <row r="605" spans="1:6" s="174" customFormat="1" x14ac:dyDescent="0.3">
      <c r="A605" s="317">
        <v>17</v>
      </c>
      <c r="B605" s="396">
        <v>12020456</v>
      </c>
      <c r="C605" s="511" t="s">
        <v>262</v>
      </c>
      <c r="D605" s="418">
        <v>12000000</v>
      </c>
      <c r="E605" s="512">
        <v>10737000</v>
      </c>
      <c r="F605" s="418">
        <v>12500000</v>
      </c>
    </row>
    <row r="606" spans="1:6" s="174" customFormat="1" x14ac:dyDescent="0.3">
      <c r="A606" s="317">
        <v>18</v>
      </c>
      <c r="B606" s="396">
        <v>12020210</v>
      </c>
      <c r="C606" s="511" t="s">
        <v>2314</v>
      </c>
      <c r="D606" s="418">
        <v>35000000</v>
      </c>
      <c r="E606" s="512">
        <v>29423500</v>
      </c>
      <c r="F606" s="418">
        <v>35000000</v>
      </c>
    </row>
    <row r="607" spans="1:6" s="174" customFormat="1" x14ac:dyDescent="0.3">
      <c r="A607" s="317">
        <v>19</v>
      </c>
      <c r="B607" s="396">
        <v>12020210</v>
      </c>
      <c r="C607" s="511" t="s">
        <v>2315</v>
      </c>
      <c r="D607" s="418">
        <v>5250000</v>
      </c>
      <c r="E607" s="512">
        <v>3892000</v>
      </c>
      <c r="F607" s="418">
        <v>5250000</v>
      </c>
    </row>
    <row r="608" spans="1:6" s="174" customFormat="1" x14ac:dyDescent="0.3">
      <c r="A608" s="317">
        <v>20</v>
      </c>
      <c r="B608" s="396">
        <v>12020210</v>
      </c>
      <c r="C608" s="511" t="s">
        <v>2316</v>
      </c>
      <c r="D608" s="418">
        <v>3500000</v>
      </c>
      <c r="E608" s="512">
        <v>3172250</v>
      </c>
      <c r="F608" s="418">
        <v>3500000</v>
      </c>
    </row>
    <row r="609" spans="1:6" s="174" customFormat="1" x14ac:dyDescent="0.3">
      <c r="A609" s="317">
        <v>21</v>
      </c>
      <c r="B609" s="396">
        <v>12020210</v>
      </c>
      <c r="C609" s="511" t="s">
        <v>2317</v>
      </c>
      <c r="D609" s="418">
        <v>11000000</v>
      </c>
      <c r="E609" s="512">
        <v>10853125</v>
      </c>
      <c r="F609" s="418">
        <v>15000000</v>
      </c>
    </row>
    <row r="610" spans="1:6" s="174" customFormat="1" x14ac:dyDescent="0.3">
      <c r="A610" s="317">
        <v>22</v>
      </c>
      <c r="B610" s="396">
        <v>12020210</v>
      </c>
      <c r="C610" s="511" t="s">
        <v>2318</v>
      </c>
      <c r="D610" s="418">
        <v>25000000</v>
      </c>
      <c r="E610" s="512">
        <v>20495500</v>
      </c>
      <c r="F610" s="418">
        <v>25000000</v>
      </c>
    </row>
    <row r="611" spans="1:6" s="174" customFormat="1" x14ac:dyDescent="0.3">
      <c r="A611" s="317">
        <v>23</v>
      </c>
      <c r="B611" s="396">
        <v>12020210</v>
      </c>
      <c r="C611" s="511" t="s">
        <v>2319</v>
      </c>
      <c r="D611" s="418">
        <v>28000000</v>
      </c>
      <c r="E611" s="512">
        <v>24555000</v>
      </c>
      <c r="F611" s="418">
        <v>28000000</v>
      </c>
    </row>
    <row r="612" spans="1:6" s="174" customFormat="1" x14ac:dyDescent="0.3">
      <c r="A612" s="317">
        <v>24</v>
      </c>
      <c r="B612" s="396">
        <v>12020210</v>
      </c>
      <c r="C612" s="511" t="s">
        <v>2320</v>
      </c>
      <c r="D612" s="765">
        <v>0</v>
      </c>
      <c r="E612" s="514">
        <v>2380000</v>
      </c>
      <c r="F612" s="418">
        <v>3000000</v>
      </c>
    </row>
    <row r="613" spans="1:6" s="174" customFormat="1" x14ac:dyDescent="0.3">
      <c r="A613" s="317">
        <v>25</v>
      </c>
      <c r="B613" s="396">
        <v>12020210</v>
      </c>
      <c r="C613" s="511" t="s">
        <v>2321</v>
      </c>
      <c r="D613" s="418">
        <v>1500000</v>
      </c>
      <c r="E613" s="513">
        <v>695950</v>
      </c>
      <c r="F613" s="418">
        <v>1500000</v>
      </c>
    </row>
    <row r="614" spans="1:6" s="174" customFormat="1" x14ac:dyDescent="0.3">
      <c r="A614" s="317">
        <v>26</v>
      </c>
      <c r="B614" s="396">
        <v>12020210</v>
      </c>
      <c r="C614" s="511" t="s">
        <v>2322</v>
      </c>
      <c r="D614" s="418">
        <v>4500000</v>
      </c>
      <c r="E614" s="514">
        <v>4014000</v>
      </c>
      <c r="F614" s="418">
        <v>6000000</v>
      </c>
    </row>
    <row r="615" spans="1:6" s="174" customFormat="1" x14ac:dyDescent="0.3">
      <c r="A615" s="317">
        <v>27</v>
      </c>
      <c r="B615" s="396">
        <v>12020210</v>
      </c>
      <c r="C615" s="511" t="s">
        <v>2323</v>
      </c>
      <c r="D615" s="418">
        <v>3000000</v>
      </c>
      <c r="E615" s="514">
        <v>4717000</v>
      </c>
      <c r="F615" s="418">
        <v>6000000</v>
      </c>
    </row>
    <row r="616" spans="1:6" s="174" customFormat="1" x14ac:dyDescent="0.3">
      <c r="A616" s="317">
        <v>28</v>
      </c>
      <c r="B616" s="396">
        <v>12020210</v>
      </c>
      <c r="C616" s="511" t="s">
        <v>2324</v>
      </c>
      <c r="D616" s="418">
        <v>15000</v>
      </c>
      <c r="E616" s="513">
        <v>0</v>
      </c>
      <c r="F616" s="418">
        <v>15000</v>
      </c>
    </row>
    <row r="617" spans="1:6" s="174" customFormat="1" x14ac:dyDescent="0.3">
      <c r="A617" s="317">
        <v>29</v>
      </c>
      <c r="B617" s="396">
        <v>12020210</v>
      </c>
      <c r="C617" s="511" t="s">
        <v>2325</v>
      </c>
      <c r="D617" s="418">
        <v>500000</v>
      </c>
      <c r="E617" s="383">
        <v>136000</v>
      </c>
      <c r="F617" s="418">
        <v>500000</v>
      </c>
    </row>
    <row r="618" spans="1:6" s="174" customFormat="1" x14ac:dyDescent="0.3">
      <c r="A618" s="317">
        <v>30</v>
      </c>
      <c r="B618" s="396">
        <v>12020210</v>
      </c>
      <c r="C618" s="511" t="s">
        <v>2326</v>
      </c>
      <c r="D618" s="418">
        <v>5000000</v>
      </c>
      <c r="E618" s="512">
        <v>3072000</v>
      </c>
      <c r="F618" s="418">
        <v>5000000</v>
      </c>
    </row>
    <row r="619" spans="1:6" s="174" customFormat="1" x14ac:dyDescent="0.3">
      <c r="A619" s="317">
        <v>31</v>
      </c>
      <c r="B619" s="396">
        <v>12020210</v>
      </c>
      <c r="C619" s="511" t="s">
        <v>2327</v>
      </c>
      <c r="D619" s="418">
        <v>14000000</v>
      </c>
      <c r="E619" s="380">
        <v>10788675</v>
      </c>
      <c r="F619" s="418">
        <v>14000000</v>
      </c>
    </row>
    <row r="620" spans="1:6" s="174" customFormat="1" x14ac:dyDescent="0.3">
      <c r="A620" s="317">
        <v>32</v>
      </c>
      <c r="B620" s="396">
        <v>12020210</v>
      </c>
      <c r="C620" s="511" t="s">
        <v>2328</v>
      </c>
      <c r="D620" s="418">
        <v>10000</v>
      </c>
      <c r="E620" s="513">
        <v>0</v>
      </c>
      <c r="F620" s="418">
        <v>10000</v>
      </c>
    </row>
    <row r="621" spans="1:6" s="174" customFormat="1" x14ac:dyDescent="0.3">
      <c r="A621" s="317">
        <v>33</v>
      </c>
      <c r="B621" s="396">
        <v>12020210</v>
      </c>
      <c r="C621" s="511" t="s">
        <v>2329</v>
      </c>
      <c r="D621" s="418">
        <v>20000</v>
      </c>
      <c r="E621" s="513">
        <v>0</v>
      </c>
      <c r="F621" s="418">
        <v>20000</v>
      </c>
    </row>
    <row r="622" spans="1:6" s="174" customFormat="1" x14ac:dyDescent="0.3">
      <c r="A622" s="317">
        <v>34</v>
      </c>
      <c r="B622" s="396">
        <v>12020210</v>
      </c>
      <c r="C622" s="511" t="s">
        <v>2330</v>
      </c>
      <c r="D622" s="418">
        <v>20000</v>
      </c>
      <c r="E622" s="513">
        <v>0</v>
      </c>
      <c r="F622" s="418">
        <v>20000</v>
      </c>
    </row>
    <row r="623" spans="1:6" s="174" customFormat="1" x14ac:dyDescent="0.3">
      <c r="A623" s="317">
        <v>35</v>
      </c>
      <c r="B623" s="396">
        <v>12020210</v>
      </c>
      <c r="C623" s="511" t="s">
        <v>2331</v>
      </c>
      <c r="D623" s="418">
        <v>200000</v>
      </c>
      <c r="E623" s="512">
        <v>75000</v>
      </c>
      <c r="F623" s="418">
        <v>200000</v>
      </c>
    </row>
    <row r="624" spans="1:6" s="174" customFormat="1" x14ac:dyDescent="0.3">
      <c r="A624" s="317">
        <v>36</v>
      </c>
      <c r="B624" s="396">
        <v>12020456</v>
      </c>
      <c r="C624" s="511" t="s">
        <v>2332</v>
      </c>
      <c r="D624" s="418">
        <v>6000000</v>
      </c>
      <c r="E624" s="512">
        <v>4930000</v>
      </c>
      <c r="F624" s="418">
        <v>6000000</v>
      </c>
    </row>
    <row r="625" spans="1:6" s="174" customFormat="1" x14ac:dyDescent="0.3">
      <c r="A625" s="317">
        <v>37</v>
      </c>
      <c r="B625" s="396">
        <v>12020456</v>
      </c>
      <c r="C625" s="511" t="s">
        <v>2219</v>
      </c>
      <c r="D625" s="418">
        <v>2500000</v>
      </c>
      <c r="E625" s="512">
        <v>2079750</v>
      </c>
      <c r="F625" s="418">
        <v>2500000</v>
      </c>
    </row>
    <row r="626" spans="1:6" s="174" customFormat="1" x14ac:dyDescent="0.3">
      <c r="A626" s="317">
        <v>38</v>
      </c>
      <c r="B626" s="396">
        <v>12020456</v>
      </c>
      <c r="C626" s="511" t="s">
        <v>2333</v>
      </c>
      <c r="D626" s="418">
        <v>5500000</v>
      </c>
      <c r="E626" s="513">
        <v>4962000</v>
      </c>
      <c r="F626" s="418">
        <v>7000000</v>
      </c>
    </row>
    <row r="627" spans="1:6" s="174" customFormat="1" x14ac:dyDescent="0.3">
      <c r="A627" s="317">
        <v>39</v>
      </c>
      <c r="B627" s="396">
        <v>12010106</v>
      </c>
      <c r="C627" s="511" t="s">
        <v>2334</v>
      </c>
      <c r="D627" s="418">
        <v>24000000</v>
      </c>
      <c r="E627" s="513">
        <v>20377000</v>
      </c>
      <c r="F627" s="418">
        <v>24000000</v>
      </c>
    </row>
    <row r="628" spans="1:6" s="174" customFormat="1" x14ac:dyDescent="0.3">
      <c r="A628" s="317">
        <v>40</v>
      </c>
      <c r="B628" s="396">
        <v>12020502</v>
      </c>
      <c r="C628" s="511" t="s">
        <v>2335</v>
      </c>
      <c r="D628" s="418">
        <v>500000</v>
      </c>
      <c r="E628" s="514">
        <v>351000</v>
      </c>
      <c r="F628" s="418">
        <v>500000</v>
      </c>
    </row>
    <row r="629" spans="1:6" s="174" customFormat="1" x14ac:dyDescent="0.3">
      <c r="A629" s="317">
        <v>41</v>
      </c>
      <c r="B629" s="396">
        <v>12020456</v>
      </c>
      <c r="C629" s="511" t="s">
        <v>2336</v>
      </c>
      <c r="D629" s="418">
        <v>1500000</v>
      </c>
      <c r="E629" s="380">
        <v>319000</v>
      </c>
      <c r="F629" s="418">
        <v>1500000</v>
      </c>
    </row>
    <row r="630" spans="1:6" s="174" customFormat="1" x14ac:dyDescent="0.3">
      <c r="A630" s="317">
        <v>42</v>
      </c>
      <c r="B630" s="396">
        <v>12020456</v>
      </c>
      <c r="C630" s="511" t="s">
        <v>2337</v>
      </c>
      <c r="D630" s="418">
        <v>600000</v>
      </c>
      <c r="E630" s="514">
        <v>7410000</v>
      </c>
      <c r="F630" s="418">
        <v>9000000</v>
      </c>
    </row>
    <row r="631" spans="1:6" s="174" customFormat="1" x14ac:dyDescent="0.3">
      <c r="A631" s="317">
        <v>43</v>
      </c>
      <c r="B631" s="396">
        <v>12020456</v>
      </c>
      <c r="C631" s="511" t="s">
        <v>2338</v>
      </c>
      <c r="D631" s="418">
        <v>1500000</v>
      </c>
      <c r="E631" s="514">
        <v>2014000</v>
      </c>
      <c r="F631" s="418">
        <v>3000000</v>
      </c>
    </row>
    <row r="632" spans="1:6" s="174" customFormat="1" x14ac:dyDescent="0.3">
      <c r="A632" s="317">
        <v>44</v>
      </c>
      <c r="B632" s="396">
        <v>12020456</v>
      </c>
      <c r="C632" s="511" t="s">
        <v>2339</v>
      </c>
      <c r="D632" s="418" t="s">
        <v>130</v>
      </c>
      <c r="E632" s="514">
        <v>9615000</v>
      </c>
      <c r="F632" s="418">
        <v>12000000</v>
      </c>
    </row>
    <row r="633" spans="1:6" s="174" customFormat="1" x14ac:dyDescent="0.3">
      <c r="A633" s="317">
        <v>45</v>
      </c>
      <c r="B633" s="396">
        <v>12020456</v>
      </c>
      <c r="C633" s="511" t="s">
        <v>2340</v>
      </c>
      <c r="D633" s="418">
        <v>6000000</v>
      </c>
      <c r="E633" s="514">
        <v>5560000</v>
      </c>
      <c r="F633" s="418">
        <v>7000000</v>
      </c>
    </row>
    <row r="634" spans="1:6" s="174" customFormat="1" x14ac:dyDescent="0.3">
      <c r="A634" s="317">
        <v>46</v>
      </c>
      <c r="B634" s="396">
        <v>12020456</v>
      </c>
      <c r="C634" s="511" t="s">
        <v>2341</v>
      </c>
      <c r="D634" s="418">
        <v>5000000</v>
      </c>
      <c r="E634" s="512">
        <v>173850</v>
      </c>
      <c r="F634" s="418">
        <v>1000000</v>
      </c>
    </row>
    <row r="635" spans="1:6" s="174" customFormat="1" x14ac:dyDescent="0.3">
      <c r="A635" s="317">
        <v>47</v>
      </c>
      <c r="B635" s="396">
        <v>12020456</v>
      </c>
      <c r="C635" s="178" t="s">
        <v>2342</v>
      </c>
      <c r="D635" s="418" t="s">
        <v>130</v>
      </c>
      <c r="E635" s="514">
        <v>13724600</v>
      </c>
      <c r="F635" s="418">
        <v>16000000</v>
      </c>
    </row>
    <row r="636" spans="1:6" s="174" customFormat="1" x14ac:dyDescent="0.3">
      <c r="A636" s="317">
        <v>48</v>
      </c>
      <c r="B636" s="396">
        <v>12020456</v>
      </c>
      <c r="C636" s="178" t="s">
        <v>2343</v>
      </c>
      <c r="D636" s="418" t="s">
        <v>130</v>
      </c>
      <c r="E636" s="380">
        <v>161500</v>
      </c>
      <c r="F636" s="418">
        <v>300000</v>
      </c>
    </row>
    <row r="637" spans="1:6" s="174" customFormat="1" x14ac:dyDescent="0.3">
      <c r="A637" s="317">
        <v>49</v>
      </c>
      <c r="B637" s="396">
        <v>12020456</v>
      </c>
      <c r="C637" s="178" t="s">
        <v>2344</v>
      </c>
      <c r="D637" s="418" t="s">
        <v>130</v>
      </c>
      <c r="E637" s="514">
        <v>20000</v>
      </c>
      <c r="F637" s="418">
        <v>1000000</v>
      </c>
    </row>
    <row r="638" spans="1:6" s="174" customFormat="1" x14ac:dyDescent="0.3">
      <c r="A638" s="317">
        <v>50</v>
      </c>
      <c r="B638" s="396">
        <v>12020456</v>
      </c>
      <c r="C638" s="178" t="s">
        <v>2345</v>
      </c>
      <c r="D638" s="418" t="s">
        <v>130</v>
      </c>
      <c r="E638" s="513">
        <v>0</v>
      </c>
      <c r="F638" s="418">
        <v>1000000</v>
      </c>
    </row>
    <row r="639" spans="1:6" s="174" customFormat="1" x14ac:dyDescent="0.3">
      <c r="A639" s="317">
        <v>51</v>
      </c>
      <c r="B639" s="396">
        <v>12020456</v>
      </c>
      <c r="C639" s="184" t="s">
        <v>2346</v>
      </c>
      <c r="D639" s="418" t="s">
        <v>130</v>
      </c>
      <c r="E639" s="514">
        <v>1690000</v>
      </c>
      <c r="F639" s="418">
        <v>1690000</v>
      </c>
    </row>
    <row r="640" spans="1:6" s="174" customFormat="1" x14ac:dyDescent="0.3">
      <c r="A640" s="317">
        <v>52</v>
      </c>
      <c r="B640" s="396">
        <v>12020456</v>
      </c>
      <c r="C640" s="511" t="s">
        <v>2347</v>
      </c>
      <c r="D640" s="418">
        <v>850000</v>
      </c>
      <c r="E640" s="383">
        <v>2526350</v>
      </c>
      <c r="F640" s="418">
        <v>4000000</v>
      </c>
    </row>
    <row r="641" spans="1:6" s="174" customFormat="1" x14ac:dyDescent="0.3">
      <c r="A641" s="317">
        <v>53</v>
      </c>
      <c r="B641" s="396">
        <v>12020456</v>
      </c>
      <c r="C641" s="511" t="s">
        <v>2348</v>
      </c>
      <c r="D641" s="418">
        <v>150000</v>
      </c>
      <c r="E641" s="380">
        <v>258000</v>
      </c>
      <c r="F641" s="418">
        <v>500000</v>
      </c>
    </row>
    <row r="642" spans="1:6" s="174" customFormat="1" x14ac:dyDescent="0.3">
      <c r="A642" s="317">
        <v>54</v>
      </c>
      <c r="B642" s="396">
        <v>12020456</v>
      </c>
      <c r="C642" s="511" t="s">
        <v>2349</v>
      </c>
      <c r="D642" s="418">
        <v>8000000</v>
      </c>
      <c r="E642" s="512">
        <v>17400</v>
      </c>
      <c r="F642" s="418">
        <v>100000</v>
      </c>
    </row>
    <row r="643" spans="1:6" s="174" customFormat="1" x14ac:dyDescent="0.3">
      <c r="A643" s="317">
        <v>55</v>
      </c>
      <c r="B643" s="396">
        <v>12020456</v>
      </c>
      <c r="C643" s="511" t="s">
        <v>2350</v>
      </c>
      <c r="D643" s="418">
        <v>4500000</v>
      </c>
      <c r="E643" s="380">
        <v>2781166.64</v>
      </c>
      <c r="F643" s="418">
        <v>4500000</v>
      </c>
    </row>
    <row r="644" spans="1:6" s="174" customFormat="1" x14ac:dyDescent="0.3">
      <c r="A644" s="317">
        <v>56</v>
      </c>
      <c r="B644" s="396">
        <v>12020456</v>
      </c>
      <c r="C644" s="178" t="s">
        <v>2351</v>
      </c>
      <c r="D644" s="418">
        <v>100000</v>
      </c>
      <c r="E644" s="513">
        <v>0</v>
      </c>
      <c r="F644" s="418">
        <v>100000</v>
      </c>
    </row>
    <row r="645" spans="1:6" s="174" customFormat="1" x14ac:dyDescent="0.3">
      <c r="A645" s="317">
        <v>57</v>
      </c>
      <c r="B645" s="396">
        <v>12020456</v>
      </c>
      <c r="C645" s="178" t="s">
        <v>2352</v>
      </c>
      <c r="D645" s="418">
        <v>100000</v>
      </c>
      <c r="E645" s="512">
        <v>69000</v>
      </c>
      <c r="F645" s="418">
        <v>100000</v>
      </c>
    </row>
    <row r="646" spans="1:6" s="174" customFormat="1" x14ac:dyDescent="0.3">
      <c r="A646" s="317">
        <v>58</v>
      </c>
      <c r="B646" s="396">
        <v>12020456</v>
      </c>
      <c r="C646" s="178" t="s">
        <v>2353</v>
      </c>
      <c r="D646" s="418" t="s">
        <v>130</v>
      </c>
      <c r="E646" s="380">
        <v>151273.26</v>
      </c>
      <c r="F646" s="418">
        <v>200000</v>
      </c>
    </row>
    <row r="647" spans="1:6" s="174" customFormat="1" x14ac:dyDescent="0.3">
      <c r="A647" s="317">
        <v>59</v>
      </c>
      <c r="B647" s="396">
        <v>12020456</v>
      </c>
      <c r="C647" s="178" t="s">
        <v>2354</v>
      </c>
      <c r="D647" s="418">
        <v>500000</v>
      </c>
      <c r="E647" s="380">
        <v>1531008.33</v>
      </c>
      <c r="F647" s="418">
        <v>2000000</v>
      </c>
    </row>
    <row r="648" spans="1:6" s="174" customFormat="1" x14ac:dyDescent="0.3">
      <c r="A648" s="317">
        <v>60</v>
      </c>
      <c r="B648" s="396">
        <v>12020456</v>
      </c>
      <c r="C648" s="178" t="s">
        <v>2355</v>
      </c>
      <c r="D648" s="418">
        <v>20000</v>
      </c>
      <c r="E648" s="512">
        <v>790000</v>
      </c>
      <c r="F648" s="418">
        <v>1000000</v>
      </c>
    </row>
    <row r="649" spans="1:6" s="174" customFormat="1" x14ac:dyDescent="0.3">
      <c r="A649" s="317">
        <v>61</v>
      </c>
      <c r="B649" s="396">
        <v>12020456</v>
      </c>
      <c r="C649" s="178" t="s">
        <v>2356</v>
      </c>
      <c r="D649" s="418">
        <v>4200000</v>
      </c>
      <c r="E649" s="380">
        <v>4918050</v>
      </c>
      <c r="F649" s="418">
        <v>6000000</v>
      </c>
    </row>
    <row r="650" spans="1:6" s="174" customFormat="1" x14ac:dyDescent="0.3">
      <c r="A650" s="317">
        <v>62</v>
      </c>
      <c r="B650" s="396">
        <v>12020456</v>
      </c>
      <c r="C650" s="511" t="s">
        <v>2357</v>
      </c>
      <c r="D650" s="418">
        <v>2500000</v>
      </c>
      <c r="E650" s="512">
        <v>1470860.66</v>
      </c>
      <c r="F650" s="418">
        <v>2500000</v>
      </c>
    </row>
    <row r="651" spans="1:6" s="174" customFormat="1" x14ac:dyDescent="0.3">
      <c r="A651" s="317">
        <v>63</v>
      </c>
      <c r="B651" s="396">
        <v>12020456</v>
      </c>
      <c r="C651" s="178" t="s">
        <v>2358</v>
      </c>
      <c r="D651" s="418" t="s">
        <v>130</v>
      </c>
      <c r="E651" s="513">
        <v>0</v>
      </c>
      <c r="F651" s="418">
        <v>1000000</v>
      </c>
    </row>
    <row r="652" spans="1:6" s="174" customFormat="1" x14ac:dyDescent="0.3">
      <c r="A652" s="317">
        <v>64</v>
      </c>
      <c r="B652" s="396">
        <v>12020456</v>
      </c>
      <c r="C652" s="178" t="s">
        <v>2359</v>
      </c>
      <c r="D652" s="418" t="s">
        <v>130</v>
      </c>
      <c r="E652" s="512">
        <v>748200</v>
      </c>
      <c r="F652" s="418">
        <v>1000000</v>
      </c>
    </row>
    <row r="653" spans="1:6" s="174" customFormat="1" x14ac:dyDescent="0.3">
      <c r="A653" s="317">
        <v>65</v>
      </c>
      <c r="B653" s="396">
        <v>12021102</v>
      </c>
      <c r="C653" s="178" t="s">
        <v>2360</v>
      </c>
      <c r="D653" s="418">
        <v>16000000</v>
      </c>
      <c r="E653" s="514">
        <v>5083992.5200000005</v>
      </c>
      <c r="F653" s="418">
        <v>10000000</v>
      </c>
    </row>
    <row r="654" spans="1:6" s="174" customFormat="1" ht="21" thickBot="1" x14ac:dyDescent="0.35">
      <c r="A654" s="317">
        <v>66</v>
      </c>
      <c r="B654" s="396">
        <v>12021212</v>
      </c>
      <c r="C654" s="178" t="s">
        <v>2361</v>
      </c>
      <c r="D654" s="183">
        <v>154000000</v>
      </c>
      <c r="E654" s="516">
        <v>48176595.43</v>
      </c>
      <c r="F654" s="183">
        <v>50000000</v>
      </c>
    </row>
    <row r="655" spans="1:6" s="174" customFormat="1" ht="21" thickBot="1" x14ac:dyDescent="0.35">
      <c r="A655" s="517"/>
      <c r="B655" s="560" t="s">
        <v>243</v>
      </c>
      <c r="C655" s="399"/>
      <c r="D655" s="538">
        <f>SUM(D589:D654)</f>
        <v>657625000</v>
      </c>
      <c r="E655" s="457">
        <f t="shared" ref="E655" si="26">SUM(E589:E654)</f>
        <v>495925773.46999997</v>
      </c>
      <c r="F655" s="457">
        <f>SUM(F589:F654)</f>
        <v>589745000</v>
      </c>
    </row>
    <row r="656" spans="1:6" x14ac:dyDescent="0.3">
      <c r="A656" s="293"/>
      <c r="B656" s="301"/>
      <c r="C656" s="545"/>
      <c r="D656" s="394"/>
      <c r="E656" s="453"/>
      <c r="F656" s="394"/>
    </row>
    <row r="657" spans="1:6" s="174" customFormat="1" ht="21" thickBot="1" x14ac:dyDescent="0.35">
      <c r="A657" s="3432" t="s">
        <v>2362</v>
      </c>
      <c r="B657" s="3433"/>
      <c r="C657" s="3433"/>
      <c r="D657" s="3433"/>
      <c r="E657" s="3433"/>
      <c r="F657" s="3433"/>
    </row>
    <row r="658" spans="1:6" ht="61.5" thickBot="1" x14ac:dyDescent="0.35">
      <c r="A658" s="297" t="s">
        <v>94</v>
      </c>
      <c r="B658" s="297" t="s">
        <v>1</v>
      </c>
      <c r="C658" s="298" t="s">
        <v>991</v>
      </c>
      <c r="D658" s="212" t="s">
        <v>1174</v>
      </c>
      <c r="E658" s="300" t="s">
        <v>1145</v>
      </c>
      <c r="F658" s="173" t="s">
        <v>3098</v>
      </c>
    </row>
    <row r="659" spans="1:6" s="174" customFormat="1" x14ac:dyDescent="0.3">
      <c r="A659" s="317">
        <v>1</v>
      </c>
      <c r="B659" s="317">
        <v>12020616</v>
      </c>
      <c r="C659" s="479" t="s">
        <v>2363</v>
      </c>
      <c r="D659" s="518">
        <v>21699000</v>
      </c>
      <c r="E659" s="518">
        <v>3181000</v>
      </c>
      <c r="F659" s="437">
        <v>21699000</v>
      </c>
    </row>
    <row r="660" spans="1:6" s="174" customFormat="1" x14ac:dyDescent="0.3">
      <c r="A660" s="293">
        <v>2</v>
      </c>
      <c r="B660" s="317">
        <v>12020616</v>
      </c>
      <c r="C660" s="335" t="s">
        <v>2364</v>
      </c>
      <c r="D660" s="175">
        <v>0</v>
      </c>
      <c r="E660" s="175">
        <v>0</v>
      </c>
      <c r="F660" s="336">
        <v>946000</v>
      </c>
    </row>
    <row r="661" spans="1:6" s="174" customFormat="1" ht="21" thickBot="1" x14ac:dyDescent="0.35">
      <c r="A661" s="293">
        <v>3</v>
      </c>
      <c r="B661" s="317">
        <v>12020616</v>
      </c>
      <c r="C661" s="335" t="s">
        <v>2365</v>
      </c>
      <c r="D661" s="172">
        <v>0</v>
      </c>
      <c r="E661" s="172">
        <v>0</v>
      </c>
      <c r="F661" s="339">
        <v>50000</v>
      </c>
    </row>
    <row r="662" spans="1:6" s="174" customFormat="1" ht="21" thickBot="1" x14ac:dyDescent="0.35">
      <c r="B662" s="3430" t="s">
        <v>1503</v>
      </c>
      <c r="C662" s="3425"/>
      <c r="D662" s="402">
        <f>SUM(D659:D661)</f>
        <v>21699000</v>
      </c>
      <c r="E662" s="519">
        <f t="shared" ref="E662" si="27">SUM(E659:E661)</f>
        <v>3181000</v>
      </c>
      <c r="F662" s="432">
        <f>SUM(F659:F661)</f>
        <v>22695000</v>
      </c>
    </row>
    <row r="663" spans="1:6" x14ac:dyDescent="0.3">
      <c r="A663" s="293"/>
      <c r="B663" s="301"/>
      <c r="C663" s="196"/>
      <c r="D663" s="392"/>
      <c r="E663" s="393"/>
      <c r="F663" s="392"/>
    </row>
    <row r="664" spans="1:6" x14ac:dyDescent="0.3">
      <c r="A664" s="184"/>
      <c r="B664" s="293"/>
      <c r="C664" s="178"/>
      <c r="D664" s="295"/>
      <c r="E664" s="296"/>
      <c r="F664" s="295"/>
    </row>
    <row r="665" spans="1:6" ht="21" thickBot="1" x14ac:dyDescent="0.35">
      <c r="A665" s="193"/>
      <c r="B665" s="318"/>
      <c r="C665" s="520" t="s">
        <v>1078</v>
      </c>
      <c r="D665" s="306"/>
      <c r="E665" s="296"/>
      <c r="F665" s="295"/>
    </row>
    <row r="666" spans="1:6" ht="61.5" thickBot="1" x14ac:dyDescent="0.35">
      <c r="A666" s="297" t="s">
        <v>94</v>
      </c>
      <c r="B666" s="297" t="s">
        <v>1</v>
      </c>
      <c r="C666" s="298" t="s">
        <v>991</v>
      </c>
      <c r="D666" s="212" t="s">
        <v>1174</v>
      </c>
      <c r="E666" s="300" t="s">
        <v>1145</v>
      </c>
      <c r="F666" s="173" t="s">
        <v>3098</v>
      </c>
    </row>
    <row r="667" spans="1:6" x14ac:dyDescent="0.3">
      <c r="A667" s="317">
        <v>1</v>
      </c>
      <c r="B667" s="317">
        <v>12020442</v>
      </c>
      <c r="C667" s="362" t="s">
        <v>3003</v>
      </c>
      <c r="D667" s="458">
        <v>500000</v>
      </c>
      <c r="E667" s="175">
        <v>0</v>
      </c>
      <c r="F667" s="458">
        <v>500000</v>
      </c>
    </row>
    <row r="668" spans="1:6" ht="21" thickBot="1" x14ac:dyDescent="0.35">
      <c r="A668" s="293">
        <v>2</v>
      </c>
      <c r="B668" s="317">
        <v>12020442</v>
      </c>
      <c r="C668" s="454" t="s">
        <v>3028</v>
      </c>
      <c r="D668" s="306"/>
      <c r="E668" s="172">
        <v>0</v>
      </c>
      <c r="F668" s="306">
        <v>4000000</v>
      </c>
    </row>
    <row r="669" spans="1:6" ht="21" thickBot="1" x14ac:dyDescent="0.35">
      <c r="A669" s="293"/>
      <c r="B669" s="301" t="s">
        <v>243</v>
      </c>
      <c r="C669" s="195"/>
      <c r="D669" s="388">
        <f>SUM(D667:D668)</f>
        <v>500000</v>
      </c>
      <c r="E669" s="310">
        <f>SUM(E667:E668)</f>
        <v>0</v>
      </c>
      <c r="F669" s="311">
        <f>SUM(F667:F668)</f>
        <v>4500000</v>
      </c>
    </row>
    <row r="670" spans="1:6" x14ac:dyDescent="0.3">
      <c r="A670" s="373"/>
      <c r="B670" s="374"/>
      <c r="C670" s="375"/>
      <c r="D670" s="376"/>
      <c r="E670" s="377"/>
      <c r="F670" s="376"/>
    </row>
    <row r="671" spans="1:6" ht="21" thickBot="1" x14ac:dyDescent="0.35">
      <c r="A671" s="193"/>
      <c r="B671" s="318"/>
      <c r="C671" s="520" t="s">
        <v>2366</v>
      </c>
      <c r="D671" s="306"/>
      <c r="E671" s="296"/>
      <c r="F671" s="295"/>
    </row>
    <row r="672" spans="1:6" ht="61.5" thickBot="1" x14ac:dyDescent="0.35">
      <c r="A672" s="297" t="s">
        <v>94</v>
      </c>
      <c r="B672" s="298" t="s">
        <v>1</v>
      </c>
      <c r="C672" s="298" t="s">
        <v>991</v>
      </c>
      <c r="D672" s="212" t="s">
        <v>1174</v>
      </c>
      <c r="E672" s="300" t="s">
        <v>1145</v>
      </c>
      <c r="F672" s="173" t="s">
        <v>3098</v>
      </c>
    </row>
    <row r="673" spans="1:6" x14ac:dyDescent="0.3">
      <c r="A673" s="317">
        <v>1</v>
      </c>
      <c r="B673" s="317">
        <v>12020711</v>
      </c>
      <c r="C673" s="477" t="s">
        <v>2718</v>
      </c>
      <c r="D673" s="458">
        <v>5000000</v>
      </c>
      <c r="E673" s="175">
        <v>892000</v>
      </c>
      <c r="F673" s="295">
        <v>10000000</v>
      </c>
    </row>
    <row r="674" spans="1:6" ht="21" thickBot="1" x14ac:dyDescent="0.35">
      <c r="A674" s="293">
        <v>2</v>
      </c>
      <c r="B674" s="293">
        <v>12020711</v>
      </c>
      <c r="C674" s="454" t="s">
        <v>2719</v>
      </c>
      <c r="D674" s="306">
        <v>200000</v>
      </c>
      <c r="E674" s="172">
        <v>35000</v>
      </c>
      <c r="F674" s="306">
        <v>2000000</v>
      </c>
    </row>
    <row r="675" spans="1:6" ht="21" thickBot="1" x14ac:dyDescent="0.35">
      <c r="A675" s="293"/>
      <c r="B675" s="301" t="s">
        <v>243</v>
      </c>
      <c r="C675" s="195"/>
      <c r="D675" s="388">
        <f>SUM(D673:D674)</f>
        <v>5200000</v>
      </c>
      <c r="E675" s="309">
        <f t="shared" ref="E675" si="28">SUM(E673:E674)</f>
        <v>927000</v>
      </c>
      <c r="F675" s="311">
        <f>SUM(F673:F674)</f>
        <v>12000000</v>
      </c>
    </row>
    <row r="676" spans="1:6" s="378" customFormat="1" x14ac:dyDescent="0.3">
      <c r="B676" s="373"/>
      <c r="C676" s="389"/>
      <c r="D676" s="390"/>
      <c r="E676" s="391"/>
      <c r="F676" s="390"/>
    </row>
    <row r="677" spans="1:6" ht="21" thickBot="1" x14ac:dyDescent="0.35">
      <c r="A677" s="193"/>
      <c r="B677" s="318"/>
      <c r="C677" s="379" t="s">
        <v>1079</v>
      </c>
      <c r="D677" s="306"/>
      <c r="E677" s="296"/>
      <c r="F677" s="295"/>
    </row>
    <row r="678" spans="1:6" ht="61.5" thickBot="1" x14ac:dyDescent="0.35">
      <c r="A678" s="297" t="s">
        <v>94</v>
      </c>
      <c r="B678" s="298" t="s">
        <v>1</v>
      </c>
      <c r="C678" s="299" t="s">
        <v>991</v>
      </c>
      <c r="D678" s="213" t="s">
        <v>1174</v>
      </c>
      <c r="E678" s="300" t="s">
        <v>1145</v>
      </c>
      <c r="F678" s="173" t="s">
        <v>3098</v>
      </c>
    </row>
    <row r="679" spans="1:6" x14ac:dyDescent="0.3">
      <c r="A679" s="317">
        <v>1</v>
      </c>
      <c r="B679" s="478">
        <v>12020456</v>
      </c>
      <c r="C679" s="479" t="s">
        <v>693</v>
      </c>
      <c r="D679" s="521">
        <v>10000000</v>
      </c>
      <c r="E679" s="380">
        <v>2950000</v>
      </c>
      <c r="F679" s="522">
        <v>10000000</v>
      </c>
    </row>
    <row r="680" spans="1:6" x14ac:dyDescent="0.3">
      <c r="A680" s="293">
        <v>2</v>
      </c>
      <c r="B680" s="396">
        <v>12020453</v>
      </c>
      <c r="C680" s="335" t="s">
        <v>2148</v>
      </c>
      <c r="D680" s="523">
        <v>100000</v>
      </c>
      <c r="E680" s="380">
        <v>0</v>
      </c>
      <c r="F680" s="522">
        <v>500000</v>
      </c>
    </row>
    <row r="681" spans="1:6" x14ac:dyDescent="0.3">
      <c r="A681" s="293">
        <v>3</v>
      </c>
      <c r="B681" s="396">
        <v>12020442</v>
      </c>
      <c r="C681" s="335" t="s">
        <v>258</v>
      </c>
      <c r="D681" s="523">
        <v>500000</v>
      </c>
      <c r="E681" s="380">
        <v>0</v>
      </c>
      <c r="F681" s="522">
        <v>0</v>
      </c>
    </row>
    <row r="682" spans="1:6" x14ac:dyDescent="0.3">
      <c r="A682" s="293">
        <v>4</v>
      </c>
      <c r="B682" s="396">
        <v>12020705</v>
      </c>
      <c r="C682" s="335" t="s">
        <v>694</v>
      </c>
      <c r="D682" s="523">
        <v>1000000</v>
      </c>
      <c r="E682" s="380">
        <v>160000</v>
      </c>
      <c r="F682" s="522">
        <v>1000000</v>
      </c>
    </row>
    <row r="683" spans="1:6" x14ac:dyDescent="0.3">
      <c r="A683" s="293">
        <v>5</v>
      </c>
      <c r="B683" s="396">
        <v>12020803</v>
      </c>
      <c r="C683" s="335" t="s">
        <v>660</v>
      </c>
      <c r="D683" s="523">
        <v>250000</v>
      </c>
      <c r="E683" s="380">
        <v>180000</v>
      </c>
      <c r="F683" s="522">
        <v>250000</v>
      </c>
    </row>
    <row r="684" spans="1:6" x14ac:dyDescent="0.3">
      <c r="A684" s="293">
        <v>6</v>
      </c>
      <c r="B684" s="396">
        <v>12020803</v>
      </c>
      <c r="C684" s="335" t="s">
        <v>661</v>
      </c>
      <c r="D684" s="523">
        <v>250000</v>
      </c>
      <c r="E684" s="380">
        <v>0</v>
      </c>
      <c r="F684" s="522">
        <v>500000</v>
      </c>
    </row>
    <row r="685" spans="1:6" ht="21" thickBot="1" x14ac:dyDescent="0.35">
      <c r="A685" s="293">
        <v>7</v>
      </c>
      <c r="B685" s="419">
        <v>12020803</v>
      </c>
      <c r="C685" s="395" t="s">
        <v>662</v>
      </c>
      <c r="D685" s="499">
        <v>250000</v>
      </c>
      <c r="E685" s="411">
        <v>234360</v>
      </c>
      <c r="F685" s="500">
        <v>250000</v>
      </c>
    </row>
    <row r="686" spans="1:6" ht="21" thickBot="1" x14ac:dyDescent="0.35">
      <c r="A686" s="293"/>
      <c r="B686" s="301" t="s">
        <v>243</v>
      </c>
      <c r="C686" s="195"/>
      <c r="D686" s="388">
        <f>SUM(D679:D685)</f>
        <v>12350000</v>
      </c>
      <c r="E686" s="309">
        <f t="shared" ref="E686" si="29">SUM(E679:E685)</f>
        <v>3524360</v>
      </c>
      <c r="F686" s="311">
        <f>SUM(F679:F685)</f>
        <v>12500000</v>
      </c>
    </row>
    <row r="687" spans="1:6" x14ac:dyDescent="0.3">
      <c r="A687" s="184"/>
      <c r="B687" s="293"/>
      <c r="C687" s="178"/>
      <c r="D687" s="458"/>
      <c r="E687" s="490"/>
      <c r="F687" s="458"/>
    </row>
    <row r="688" spans="1:6" ht="21" thickBot="1" x14ac:dyDescent="0.35">
      <c r="A688" s="193"/>
      <c r="B688" s="318"/>
      <c r="C688" s="379" t="s">
        <v>2445</v>
      </c>
      <c r="D688" s="306"/>
      <c r="E688" s="296"/>
      <c r="F688" s="295"/>
    </row>
    <row r="689" spans="1:6" ht="61.5" thickBot="1" x14ac:dyDescent="0.35">
      <c r="A689" s="297" t="s">
        <v>94</v>
      </c>
      <c r="B689" s="298" t="s">
        <v>1</v>
      </c>
      <c r="C689" s="299" t="s">
        <v>991</v>
      </c>
      <c r="D689" s="213" t="s">
        <v>1174</v>
      </c>
      <c r="E689" s="300" t="s">
        <v>1145</v>
      </c>
      <c r="F689" s="173" t="s">
        <v>3098</v>
      </c>
    </row>
    <row r="690" spans="1:6" x14ac:dyDescent="0.3">
      <c r="A690" s="317">
        <v>1</v>
      </c>
      <c r="B690" s="317">
        <v>12020453</v>
      </c>
      <c r="C690" s="362" t="s">
        <v>266</v>
      </c>
      <c r="D690" s="353">
        <v>1000000</v>
      </c>
      <c r="E690" s="175" t="s">
        <v>179</v>
      </c>
      <c r="F690" s="295">
        <v>1000000</v>
      </c>
    </row>
    <row r="691" spans="1:6" x14ac:dyDescent="0.3">
      <c r="A691" s="293">
        <v>2</v>
      </c>
      <c r="B691" s="293">
        <v>12020804</v>
      </c>
      <c r="C691" s="189" t="s">
        <v>3243</v>
      </c>
      <c r="D691" s="181">
        <v>4500000</v>
      </c>
      <c r="E691" s="175">
        <v>2400000</v>
      </c>
      <c r="F691" s="295">
        <v>4500000</v>
      </c>
    </row>
    <row r="692" spans="1:6" x14ac:dyDescent="0.3">
      <c r="A692" s="293">
        <v>3</v>
      </c>
      <c r="B692" s="293">
        <v>12020802</v>
      </c>
      <c r="C692" s="189" t="s">
        <v>2176</v>
      </c>
      <c r="D692" s="181">
        <v>150000</v>
      </c>
      <c r="E692" s="175">
        <v>150000</v>
      </c>
      <c r="F692" s="295">
        <v>150000</v>
      </c>
    </row>
    <row r="693" spans="1:6" ht="21" thickBot="1" x14ac:dyDescent="0.35">
      <c r="A693" s="293">
        <v>5</v>
      </c>
      <c r="B693" s="293">
        <v>12021212</v>
      </c>
      <c r="C693" s="178" t="s">
        <v>1544</v>
      </c>
      <c r="D693" s="364"/>
      <c r="E693" s="172"/>
      <c r="F693" s="1836">
        <v>0</v>
      </c>
    </row>
    <row r="694" spans="1:6" ht="21" thickBot="1" x14ac:dyDescent="0.35">
      <c r="A694" s="293"/>
      <c r="B694" s="301" t="s">
        <v>243</v>
      </c>
      <c r="C694" s="195"/>
      <c r="D694" s="388">
        <f>SUM(D690:D693)</f>
        <v>5650000</v>
      </c>
      <c r="E694" s="309">
        <f t="shared" ref="E694:F694" si="30">SUM(E690:E693)</f>
        <v>2550000</v>
      </c>
      <c r="F694" s="311">
        <f t="shared" si="30"/>
        <v>5650000</v>
      </c>
    </row>
    <row r="695" spans="1:6" x14ac:dyDescent="0.3">
      <c r="A695" s="184"/>
      <c r="B695" s="293"/>
      <c r="C695" s="178"/>
      <c r="D695" s="458"/>
      <c r="E695" s="490"/>
      <c r="F695" s="458"/>
    </row>
    <row r="696" spans="1:6" x14ac:dyDescent="0.3">
      <c r="A696" s="184"/>
      <c r="B696" s="293"/>
      <c r="C696" s="178"/>
      <c r="D696" s="295"/>
      <c r="E696" s="296"/>
      <c r="F696" s="295"/>
    </row>
    <row r="697" spans="1:6" ht="21" thickBot="1" x14ac:dyDescent="0.35">
      <c r="A697" s="193"/>
      <c r="B697" s="318"/>
      <c r="C697" s="379" t="s">
        <v>1080</v>
      </c>
      <c r="D697" s="306"/>
      <c r="E697" s="307"/>
      <c r="F697" s="306"/>
    </row>
    <row r="698" spans="1:6" ht="61.5" thickBot="1" x14ac:dyDescent="0.35">
      <c r="A698" s="297" t="s">
        <v>94</v>
      </c>
      <c r="B698" s="298" t="s">
        <v>1</v>
      </c>
      <c r="C698" s="299" t="s">
        <v>991</v>
      </c>
      <c r="D698" s="213" t="s">
        <v>1174</v>
      </c>
      <c r="E698" s="300" t="s">
        <v>1145</v>
      </c>
      <c r="F698" s="173" t="s">
        <v>3098</v>
      </c>
    </row>
    <row r="699" spans="1:6" ht="21" thickBot="1" x14ac:dyDescent="0.35">
      <c r="A699" s="317">
        <v>1</v>
      </c>
      <c r="B699" s="478">
        <v>12020453</v>
      </c>
      <c r="C699" s="479" t="s">
        <v>2149</v>
      </c>
      <c r="D699" s="1837">
        <v>250000</v>
      </c>
      <c r="E699" s="750">
        <v>54400</v>
      </c>
      <c r="F699" s="1838">
        <v>1000000</v>
      </c>
    </row>
    <row r="700" spans="1:6" ht="21" thickBot="1" x14ac:dyDescent="0.35">
      <c r="A700" s="293"/>
      <c r="B700" s="301" t="s">
        <v>243</v>
      </c>
      <c r="C700" s="195"/>
      <c r="D700" s="388">
        <f>SUM(D699:D699)</f>
        <v>250000</v>
      </c>
      <c r="E700" s="310">
        <f>SUM(E699:E699)</f>
        <v>54400</v>
      </c>
      <c r="F700" s="311">
        <f>SUM(F699:F699)</f>
        <v>1000000</v>
      </c>
    </row>
    <row r="701" spans="1:6" x14ac:dyDescent="0.3">
      <c r="A701" s="184"/>
      <c r="B701" s="293"/>
      <c r="C701" s="178"/>
      <c r="D701" s="458"/>
      <c r="E701" s="490"/>
      <c r="F701" s="458"/>
    </row>
    <row r="702" spans="1:6" ht="21" thickBot="1" x14ac:dyDescent="0.35">
      <c r="A702" s="193"/>
      <c r="B702" s="318"/>
      <c r="C702" s="520" t="s">
        <v>1081</v>
      </c>
      <c r="D702" s="306"/>
      <c r="E702" s="296"/>
      <c r="F702" s="295"/>
    </row>
    <row r="703" spans="1:6" ht="61.5" thickBot="1" x14ac:dyDescent="0.35">
      <c r="A703" s="527" t="s">
        <v>94</v>
      </c>
      <c r="B703" s="540" t="s">
        <v>1</v>
      </c>
      <c r="C703" s="884" t="s">
        <v>991</v>
      </c>
      <c r="D703" s="213" t="s">
        <v>1174</v>
      </c>
      <c r="E703" s="300" t="s">
        <v>1145</v>
      </c>
      <c r="F703" s="173" t="s">
        <v>3098</v>
      </c>
    </row>
    <row r="704" spans="1:6" x14ac:dyDescent="0.3">
      <c r="A704" s="317">
        <v>1</v>
      </c>
      <c r="B704" s="478">
        <v>12020442</v>
      </c>
      <c r="C704" s="479" t="s">
        <v>2150</v>
      </c>
      <c r="D704" s="521">
        <v>500000</v>
      </c>
      <c r="E704" s="175">
        <v>78000</v>
      </c>
      <c r="F704" s="522">
        <v>1000000</v>
      </c>
    </row>
    <row r="705" spans="1:6" x14ac:dyDescent="0.3">
      <c r="A705" s="293">
        <v>2</v>
      </c>
      <c r="B705" s="396">
        <v>12020442</v>
      </c>
      <c r="C705" s="408" t="s">
        <v>2151</v>
      </c>
      <c r="D705" s="523">
        <v>300000</v>
      </c>
      <c r="E705" s="175">
        <v>0</v>
      </c>
      <c r="F705" s="522">
        <v>14400000</v>
      </c>
    </row>
    <row r="706" spans="1:6" ht="21" thickBot="1" x14ac:dyDescent="0.35">
      <c r="A706" s="293">
        <v>3</v>
      </c>
      <c r="B706" s="396">
        <v>12020802</v>
      </c>
      <c r="C706" s="335" t="s">
        <v>698</v>
      </c>
      <c r="D706" s="1839">
        <v>2000000</v>
      </c>
      <c r="E706" s="172">
        <v>120000</v>
      </c>
      <c r="F706" s="1840">
        <v>1000000</v>
      </c>
    </row>
    <row r="707" spans="1:6" ht="21" thickBot="1" x14ac:dyDescent="0.35">
      <c r="A707" s="293"/>
      <c r="B707" s="301" t="s">
        <v>243</v>
      </c>
      <c r="C707" s="195"/>
      <c r="D707" s="388">
        <f>SUM(D704:D706)</f>
        <v>2800000</v>
      </c>
      <c r="E707" s="309">
        <f t="shared" ref="E707" si="31">SUM(E704:E706)</f>
        <v>198000</v>
      </c>
      <c r="F707" s="311">
        <f>SUM(F704:F706)</f>
        <v>16400000</v>
      </c>
    </row>
    <row r="708" spans="1:6" x14ac:dyDescent="0.3">
      <c r="A708" s="184"/>
      <c r="B708" s="293"/>
      <c r="C708" s="178"/>
      <c r="D708" s="458"/>
      <c r="E708" s="490"/>
      <c r="F708" s="458"/>
    </row>
    <row r="709" spans="1:6" ht="21" thickBot="1" x14ac:dyDescent="0.35">
      <c r="A709" s="193"/>
      <c r="B709" s="318"/>
      <c r="C709" s="379" t="s">
        <v>1082</v>
      </c>
      <c r="D709" s="306"/>
      <c r="E709" s="296"/>
      <c r="F709" s="295"/>
    </row>
    <row r="710" spans="1:6" ht="61.5" thickBot="1" x14ac:dyDescent="0.35">
      <c r="A710" s="297" t="s">
        <v>94</v>
      </c>
      <c r="B710" s="298" t="s">
        <v>1</v>
      </c>
      <c r="C710" s="299" t="s">
        <v>991</v>
      </c>
      <c r="D710" s="213" t="s">
        <v>1174</v>
      </c>
      <c r="E710" s="300" t="s">
        <v>1145</v>
      </c>
      <c r="F710" s="173" t="s">
        <v>3098</v>
      </c>
    </row>
    <row r="711" spans="1:6" x14ac:dyDescent="0.3">
      <c r="A711" s="317">
        <v>1</v>
      </c>
      <c r="B711" s="317">
        <v>12020452</v>
      </c>
      <c r="C711" s="362" t="s">
        <v>2367</v>
      </c>
      <c r="D711" s="524">
        <v>20750000</v>
      </c>
      <c r="E711" s="407">
        <v>841000</v>
      </c>
      <c r="F711" s="295">
        <v>1980000</v>
      </c>
    </row>
    <row r="712" spans="1:6" x14ac:dyDescent="0.3">
      <c r="A712" s="293">
        <v>2</v>
      </c>
      <c r="B712" s="293">
        <v>12020452</v>
      </c>
      <c r="C712" s="189" t="s">
        <v>670</v>
      </c>
      <c r="D712" s="343">
        <v>40500000</v>
      </c>
      <c r="E712" s="407">
        <v>2625000</v>
      </c>
      <c r="F712" s="295">
        <v>10000000</v>
      </c>
    </row>
    <row r="713" spans="1:6" x14ac:dyDescent="0.3">
      <c r="A713" s="293">
        <v>3</v>
      </c>
      <c r="B713" s="293">
        <v>12020453</v>
      </c>
      <c r="C713" s="189" t="s">
        <v>2368</v>
      </c>
      <c r="D713" s="343">
        <v>2000000</v>
      </c>
      <c r="E713" s="407"/>
      <c r="F713" s="295">
        <v>1000000</v>
      </c>
    </row>
    <row r="714" spans="1:6" ht="21" thickBot="1" x14ac:dyDescent="0.35">
      <c r="A714" s="293">
        <v>4</v>
      </c>
      <c r="B714" s="293">
        <v>12020427</v>
      </c>
      <c r="C714" s="189" t="s">
        <v>2369</v>
      </c>
      <c r="D714" s="1841">
        <v>2371540</v>
      </c>
      <c r="E714" s="1842">
        <v>1070000</v>
      </c>
      <c r="F714" s="306">
        <v>2500000</v>
      </c>
    </row>
    <row r="715" spans="1:6" ht="21" thickBot="1" x14ac:dyDescent="0.35">
      <c r="A715" s="293"/>
      <c r="B715" s="301" t="s">
        <v>243</v>
      </c>
      <c r="C715" s="195"/>
      <c r="D715" s="388">
        <f>SUM(D711:D714)</f>
        <v>65621540</v>
      </c>
      <c r="E715" s="1843">
        <f>SUM(E711:E714)</f>
        <v>4536000</v>
      </c>
      <c r="F715" s="311">
        <f>SUM(F711:F714)</f>
        <v>15480000</v>
      </c>
    </row>
    <row r="716" spans="1:6" s="378" customFormat="1" x14ac:dyDescent="0.3">
      <c r="A716" s="373"/>
      <c r="B716" s="374"/>
      <c r="C716" s="375"/>
      <c r="D716" s="376"/>
      <c r="E716" s="377"/>
      <c r="F716" s="376"/>
    </row>
    <row r="717" spans="1:6" ht="21" thickBot="1" x14ac:dyDescent="0.35">
      <c r="A717" s="193"/>
      <c r="B717" s="318"/>
      <c r="C717" s="379" t="s">
        <v>2370</v>
      </c>
      <c r="D717" s="306"/>
      <c r="E717" s="296"/>
      <c r="F717" s="295"/>
    </row>
    <row r="718" spans="1:6" ht="61.5" thickBot="1" x14ac:dyDescent="0.35">
      <c r="A718" s="297" t="s">
        <v>94</v>
      </c>
      <c r="B718" s="298" t="s">
        <v>1</v>
      </c>
      <c r="C718" s="298" t="s">
        <v>991</v>
      </c>
      <c r="D718" s="212" t="s">
        <v>1174</v>
      </c>
      <c r="E718" s="300" t="s">
        <v>1145</v>
      </c>
      <c r="F718" s="173" t="s">
        <v>3098</v>
      </c>
    </row>
    <row r="719" spans="1:6" x14ac:dyDescent="0.3">
      <c r="A719" s="317">
        <v>1</v>
      </c>
      <c r="B719" s="478">
        <v>12020438</v>
      </c>
      <c r="C719" s="479" t="s">
        <v>254</v>
      </c>
      <c r="D719" s="521">
        <v>2000000</v>
      </c>
      <c r="E719" s="380">
        <v>535000</v>
      </c>
      <c r="F719" s="522">
        <v>4000000</v>
      </c>
    </row>
    <row r="720" spans="1:6" x14ac:dyDescent="0.3">
      <c r="A720" s="293">
        <v>2</v>
      </c>
      <c r="B720" s="396">
        <v>12020438</v>
      </c>
      <c r="C720" s="335" t="s">
        <v>255</v>
      </c>
      <c r="D720" s="523">
        <v>3000000</v>
      </c>
      <c r="E720" s="380">
        <v>210000</v>
      </c>
      <c r="F720" s="522">
        <v>3000000</v>
      </c>
    </row>
    <row r="721" spans="1:6" x14ac:dyDescent="0.3">
      <c r="A721" s="293">
        <v>3</v>
      </c>
      <c r="B721" s="396">
        <v>12020438</v>
      </c>
      <c r="C721" s="335" t="s">
        <v>256</v>
      </c>
      <c r="D721" s="523">
        <v>3000000</v>
      </c>
      <c r="E721" s="380">
        <v>868500</v>
      </c>
      <c r="F721" s="522">
        <v>3000000</v>
      </c>
    </row>
    <row r="722" spans="1:6" x14ac:dyDescent="0.3">
      <c r="A722" s="293">
        <v>4</v>
      </c>
      <c r="B722" s="396">
        <v>12020438</v>
      </c>
      <c r="C722" s="178" t="s">
        <v>257</v>
      </c>
      <c r="D722" s="185">
        <v>200000</v>
      </c>
      <c r="E722" s="407">
        <v>15000</v>
      </c>
      <c r="F722" s="179">
        <v>500000</v>
      </c>
    </row>
    <row r="723" spans="1:6" x14ac:dyDescent="0.3">
      <c r="A723" s="293">
        <v>5</v>
      </c>
      <c r="B723" s="419">
        <v>12020501</v>
      </c>
      <c r="C723" s="408" t="s">
        <v>271</v>
      </c>
      <c r="D723" s="185">
        <v>500000</v>
      </c>
      <c r="E723" s="525">
        <v>0</v>
      </c>
      <c r="F723" s="179">
        <v>200000</v>
      </c>
    </row>
    <row r="724" spans="1:6" x14ac:dyDescent="0.3">
      <c r="A724" s="293">
        <v>6</v>
      </c>
      <c r="B724" s="419">
        <v>12020621</v>
      </c>
      <c r="C724" s="395" t="s">
        <v>275</v>
      </c>
      <c r="D724" s="357">
        <v>500000</v>
      </c>
      <c r="E724" s="525">
        <v>0</v>
      </c>
      <c r="F724" s="313">
        <v>500000</v>
      </c>
    </row>
    <row r="725" spans="1:6" ht="21" thickBot="1" x14ac:dyDescent="0.35">
      <c r="A725" s="293">
        <v>7</v>
      </c>
      <c r="B725" s="396">
        <v>12020438</v>
      </c>
      <c r="C725" s="395" t="s">
        <v>2152</v>
      </c>
      <c r="D725" s="386"/>
      <c r="E725" s="1844"/>
      <c r="F725" s="1845">
        <v>0</v>
      </c>
    </row>
    <row r="726" spans="1:6" ht="21" thickBot="1" x14ac:dyDescent="0.35">
      <c r="A726" s="293"/>
      <c r="B726" s="301" t="s">
        <v>243</v>
      </c>
      <c r="C726" s="195"/>
      <c r="D726" s="388">
        <f>SUM(D719:D725)</f>
        <v>9200000</v>
      </c>
      <c r="E726" s="309">
        <f t="shared" ref="E726" si="32">SUM(E719:E725)</f>
        <v>1628500</v>
      </c>
      <c r="F726" s="311">
        <f>SUM(F719:F725)</f>
        <v>11200000</v>
      </c>
    </row>
    <row r="727" spans="1:6" ht="21" thickBot="1" x14ac:dyDescent="0.35">
      <c r="A727" s="193"/>
      <c r="B727" s="318"/>
      <c r="C727" s="379" t="s">
        <v>1083</v>
      </c>
      <c r="D727" s="1846"/>
      <c r="E727" s="1847"/>
      <c r="F727" s="458"/>
    </row>
    <row r="728" spans="1:6" ht="61.5" thickBot="1" x14ac:dyDescent="0.35">
      <c r="A728" s="297" t="s">
        <v>94</v>
      </c>
      <c r="B728" s="298" t="s">
        <v>1</v>
      </c>
      <c r="C728" s="298" t="s">
        <v>991</v>
      </c>
      <c r="D728" s="526" t="s">
        <v>1174</v>
      </c>
      <c r="E728" s="300" t="s">
        <v>1145</v>
      </c>
      <c r="F728" s="173" t="s">
        <v>3098</v>
      </c>
    </row>
    <row r="729" spans="1:6" ht="21" thickBot="1" x14ac:dyDescent="0.35">
      <c r="A729" s="317">
        <v>1</v>
      </c>
      <c r="B729" s="317">
        <v>12020453</v>
      </c>
      <c r="C729" s="362" t="s">
        <v>672</v>
      </c>
      <c r="D729" s="1846">
        <v>49700000</v>
      </c>
      <c r="E729" s="1847"/>
      <c r="F729" s="306">
        <v>74550000</v>
      </c>
    </row>
    <row r="730" spans="1:6" ht="21" thickBot="1" x14ac:dyDescent="0.35">
      <c r="A730" s="293"/>
      <c r="B730" s="301" t="s">
        <v>243</v>
      </c>
      <c r="C730" s="195"/>
      <c r="D730" s="388">
        <f>SUM(D729:D729)</f>
        <v>49700000</v>
      </c>
      <c r="E730" s="310">
        <f>SUM(E729:E729)</f>
        <v>0</v>
      </c>
      <c r="F730" s="311">
        <f>SUM(F729:F729)</f>
        <v>74550000</v>
      </c>
    </row>
    <row r="731" spans="1:6" ht="21" thickBot="1" x14ac:dyDescent="0.35">
      <c r="A731" s="193"/>
      <c r="B731" s="318"/>
      <c r="C731" s="379" t="s">
        <v>1084</v>
      </c>
      <c r="D731" s="1846"/>
      <c r="E731" s="1847"/>
      <c r="F731" s="1846"/>
    </row>
    <row r="732" spans="1:6" ht="61.5" thickBot="1" x14ac:dyDescent="0.35">
      <c r="A732" s="527" t="s">
        <v>94</v>
      </c>
      <c r="B732" s="528" t="s">
        <v>1</v>
      </c>
      <c r="C732" s="298" t="s">
        <v>991</v>
      </c>
      <c r="D732" s="526" t="s">
        <v>1174</v>
      </c>
      <c r="E732" s="300" t="s">
        <v>1145</v>
      </c>
      <c r="F732" s="173" t="s">
        <v>3098</v>
      </c>
    </row>
    <row r="733" spans="1:6" x14ac:dyDescent="0.3">
      <c r="A733" s="529">
        <v>1</v>
      </c>
      <c r="B733" s="477">
        <v>12020453</v>
      </c>
      <c r="C733" s="477" t="s">
        <v>1602</v>
      </c>
      <c r="D733" s="353">
        <v>450000</v>
      </c>
      <c r="E733" s="530">
        <v>0</v>
      </c>
      <c r="F733" s="531">
        <v>1000000</v>
      </c>
    </row>
    <row r="734" spans="1:6" x14ac:dyDescent="0.3">
      <c r="A734" s="301">
        <v>2</v>
      </c>
      <c r="B734" s="454">
        <v>12020604</v>
      </c>
      <c r="C734" s="454" t="s">
        <v>3120</v>
      </c>
      <c r="D734" s="181">
        <v>1200000</v>
      </c>
      <c r="E734" s="532">
        <v>159400</v>
      </c>
      <c r="F734" s="533">
        <v>12000000</v>
      </c>
    </row>
    <row r="735" spans="1:6" x14ac:dyDescent="0.3">
      <c r="A735" s="293">
        <v>3</v>
      </c>
      <c r="B735" s="454">
        <v>12020453</v>
      </c>
      <c r="C735" s="454" t="s">
        <v>3101</v>
      </c>
      <c r="D735" s="181">
        <v>250000</v>
      </c>
      <c r="E735" s="175">
        <v>30000</v>
      </c>
      <c r="F735" s="534">
        <v>1000000</v>
      </c>
    </row>
    <row r="736" spans="1:6" ht="21" thickBot="1" x14ac:dyDescent="0.35">
      <c r="A736" s="293">
        <v>4</v>
      </c>
      <c r="B736" s="454">
        <v>12021210</v>
      </c>
      <c r="C736" s="454" t="s">
        <v>3102</v>
      </c>
      <c r="D736" s="364">
        <v>0</v>
      </c>
      <c r="E736" s="172">
        <v>0</v>
      </c>
      <c r="F736" s="1848">
        <v>1000000</v>
      </c>
    </row>
    <row r="737" spans="1:6" ht="21" thickBot="1" x14ac:dyDescent="0.35">
      <c r="A737" s="293"/>
      <c r="B737" s="301" t="s">
        <v>243</v>
      </c>
      <c r="C737" s="195"/>
      <c r="D737" s="388">
        <f>SUM(D733:D736)</f>
        <v>1900000</v>
      </c>
      <c r="E737" s="309">
        <f t="shared" ref="E737" si="33">SUM(E733:E736)</f>
        <v>189400</v>
      </c>
      <c r="F737" s="311">
        <f>SUM(F733:F736)</f>
        <v>15000000</v>
      </c>
    </row>
    <row r="738" spans="1:6" s="174" customFormat="1" ht="21" thickBot="1" x14ac:dyDescent="0.35">
      <c r="A738" s="3432" t="s">
        <v>2371</v>
      </c>
      <c r="B738" s="3433"/>
      <c r="C738" s="3433"/>
      <c r="D738" s="3444"/>
      <c r="E738" s="3444"/>
      <c r="F738" s="3444"/>
    </row>
    <row r="739" spans="1:6" ht="61.5" thickBot="1" x14ac:dyDescent="0.35">
      <c r="A739" s="297" t="s">
        <v>94</v>
      </c>
      <c r="B739" s="297" t="s">
        <v>1</v>
      </c>
      <c r="C739" s="298" t="s">
        <v>991</v>
      </c>
      <c r="D739" s="212" t="s">
        <v>1174</v>
      </c>
      <c r="E739" s="300" t="s">
        <v>1145</v>
      </c>
      <c r="F739" s="173" t="s">
        <v>3098</v>
      </c>
    </row>
    <row r="740" spans="1:6" s="174" customFormat="1" x14ac:dyDescent="0.3">
      <c r="A740" s="478">
        <v>1</v>
      </c>
      <c r="B740" s="317">
        <v>12020453</v>
      </c>
      <c r="C740" s="535" t="s">
        <v>2372</v>
      </c>
      <c r="D740" s="437">
        <v>500000</v>
      </c>
      <c r="E740" s="536">
        <v>37000</v>
      </c>
      <c r="F740" s="437">
        <v>1500000</v>
      </c>
    </row>
    <row r="741" spans="1:6" s="174" customFormat="1" ht="21" thickBot="1" x14ac:dyDescent="0.35">
      <c r="A741" s="293">
        <v>2</v>
      </c>
      <c r="B741" s="317">
        <v>12020453</v>
      </c>
      <c r="C741" s="335" t="s">
        <v>2373</v>
      </c>
      <c r="D741" s="364">
        <v>5000000</v>
      </c>
      <c r="E741" s="411"/>
      <c r="F741" s="339">
        <v>5000000</v>
      </c>
    </row>
    <row r="742" spans="1:6" s="174" customFormat="1" ht="21" thickBot="1" x14ac:dyDescent="0.35">
      <c r="B742" s="399" t="s">
        <v>243</v>
      </c>
      <c r="C742" s="559"/>
      <c r="D742" s="403">
        <f>SUM(D740:D741)</f>
        <v>5500000</v>
      </c>
      <c r="E742" s="544">
        <f t="shared" ref="E742" si="34">SUM(E740:E741)</f>
        <v>37000</v>
      </c>
      <c r="F742" s="432">
        <f>SUM(F740:F741)</f>
        <v>6500000</v>
      </c>
    </row>
    <row r="743" spans="1:6" x14ac:dyDescent="0.3">
      <c r="A743" s="439"/>
      <c r="B743" s="440"/>
      <c r="C743" s="441"/>
      <c r="D743" s="442"/>
      <c r="E743" s="501"/>
      <c r="F743" s="442"/>
    </row>
    <row r="744" spans="1:6" s="174" customFormat="1" ht="21" thickBot="1" x14ac:dyDescent="0.35">
      <c r="A744" s="3424" t="s">
        <v>2374</v>
      </c>
      <c r="B744" s="3424"/>
      <c r="C744" s="3424"/>
      <c r="D744" s="3424"/>
      <c r="E744" s="3424"/>
      <c r="F744" s="3424"/>
    </row>
    <row r="745" spans="1:6" ht="61.5" thickBot="1" x14ac:dyDescent="0.35">
      <c r="A745" s="297" t="s">
        <v>94</v>
      </c>
      <c r="B745" s="297" t="s">
        <v>1</v>
      </c>
      <c r="C745" s="298" t="s">
        <v>991</v>
      </c>
      <c r="D745" s="212" t="s">
        <v>1174</v>
      </c>
      <c r="E745" s="300" t="s">
        <v>1145</v>
      </c>
      <c r="F745" s="173" t="s">
        <v>3098</v>
      </c>
    </row>
    <row r="746" spans="1:6" s="174" customFormat="1" ht="21" thickBot="1" x14ac:dyDescent="0.35">
      <c r="A746" s="317">
        <v>1</v>
      </c>
      <c r="B746" s="317">
        <v>12020453</v>
      </c>
      <c r="C746" s="479" t="s">
        <v>2168</v>
      </c>
      <c r="D746" s="436">
        <v>0</v>
      </c>
      <c r="E746" s="518">
        <v>12500</v>
      </c>
      <c r="F746" s="437">
        <v>500000</v>
      </c>
    </row>
    <row r="747" spans="1:6" s="174" customFormat="1" ht="21" thickBot="1" x14ac:dyDescent="0.35">
      <c r="B747" s="3430" t="s">
        <v>1503</v>
      </c>
      <c r="C747" s="3425"/>
      <c r="D747" s="456">
        <f>SUM(D746:D746)</f>
        <v>0</v>
      </c>
      <c r="E747" s="537">
        <f>SUM(E746:E746)</f>
        <v>12500</v>
      </c>
      <c r="F747" s="538">
        <f>SUM(F746:F746)</f>
        <v>500000</v>
      </c>
    </row>
    <row r="748" spans="1:6" s="174" customFormat="1" ht="21" thickBot="1" x14ac:dyDescent="0.35">
      <c r="A748" s="3424" t="s">
        <v>2375</v>
      </c>
      <c r="B748" s="3424"/>
      <c r="C748" s="3424"/>
      <c r="D748" s="3424"/>
      <c r="E748" s="3424"/>
      <c r="F748" s="3424"/>
    </row>
    <row r="749" spans="1:6" ht="61.5" thickBot="1" x14ac:dyDescent="0.35">
      <c r="A749" s="297" t="s">
        <v>94</v>
      </c>
      <c r="B749" s="297" t="s">
        <v>1</v>
      </c>
      <c r="C749" s="298" t="s">
        <v>991</v>
      </c>
      <c r="D749" s="212" t="s">
        <v>1174</v>
      </c>
      <c r="E749" s="300" t="s">
        <v>1145</v>
      </c>
      <c r="F749" s="173" t="s">
        <v>3098</v>
      </c>
    </row>
    <row r="750" spans="1:6" s="174" customFormat="1" x14ac:dyDescent="0.3">
      <c r="A750" s="317">
        <v>1</v>
      </c>
      <c r="B750" s="478">
        <v>12020417</v>
      </c>
      <c r="C750" s="479" t="s">
        <v>1638</v>
      </c>
      <c r="D750" s="436">
        <v>104644</v>
      </c>
      <c r="E750" s="436"/>
      <c r="F750" s="353">
        <v>104644</v>
      </c>
    </row>
    <row r="751" spans="1:6" s="174" customFormat="1" x14ac:dyDescent="0.3">
      <c r="A751" s="317">
        <v>2</v>
      </c>
      <c r="B751" s="396">
        <v>12020452</v>
      </c>
      <c r="C751" s="335" t="s">
        <v>1639</v>
      </c>
      <c r="D751" s="175">
        <v>575544.63</v>
      </c>
      <c r="E751" s="175">
        <v>139884.27930410139</v>
      </c>
      <c r="F751" s="336">
        <v>973785</v>
      </c>
    </row>
    <row r="752" spans="1:6" s="174" customFormat="1" x14ac:dyDescent="0.3">
      <c r="A752" s="317">
        <v>3</v>
      </c>
      <c r="B752" s="396">
        <v>12020452</v>
      </c>
      <c r="C752" s="335" t="s">
        <v>1640</v>
      </c>
      <c r="D752" s="175">
        <v>283437.03999999998</v>
      </c>
      <c r="E752" s="175">
        <v>295524.61623238603</v>
      </c>
      <c r="F752" s="336">
        <v>479557</v>
      </c>
    </row>
    <row r="753" spans="1:6" s="174" customFormat="1" x14ac:dyDescent="0.3">
      <c r="A753" s="317">
        <v>4</v>
      </c>
      <c r="B753" s="396">
        <v>12020452</v>
      </c>
      <c r="C753" s="335" t="s">
        <v>1641</v>
      </c>
      <c r="D753" s="175">
        <v>708592.61</v>
      </c>
      <c r="E753" s="175">
        <v>738811.54058096511</v>
      </c>
      <c r="F753" s="336">
        <v>1198893</v>
      </c>
    </row>
    <row r="754" spans="1:6" s="174" customFormat="1" x14ac:dyDescent="0.3">
      <c r="A754" s="317">
        <v>5</v>
      </c>
      <c r="B754" s="396">
        <v>12020452</v>
      </c>
      <c r="C754" s="335" t="s">
        <v>1642</v>
      </c>
      <c r="D754" s="175">
        <v>708592.61</v>
      </c>
      <c r="E754" s="175">
        <v>738811.54058096511</v>
      </c>
      <c r="F754" s="336">
        <v>1198893</v>
      </c>
    </row>
    <row r="755" spans="1:6" s="174" customFormat="1" x14ac:dyDescent="0.3">
      <c r="A755" s="317">
        <v>6</v>
      </c>
      <c r="B755" s="396">
        <v>12020452</v>
      </c>
      <c r="C755" s="335" t="s">
        <v>1643</v>
      </c>
      <c r="D755" s="175">
        <v>2469609.67</v>
      </c>
      <c r="E755" s="175">
        <v>2699318.9010469969</v>
      </c>
      <c r="F755" s="336">
        <v>2178422</v>
      </c>
    </row>
    <row r="756" spans="1:6" s="174" customFormat="1" x14ac:dyDescent="0.3">
      <c r="A756" s="317">
        <v>7</v>
      </c>
      <c r="B756" s="396">
        <v>12020452</v>
      </c>
      <c r="C756" s="335" t="s">
        <v>1644</v>
      </c>
      <c r="D756" s="175">
        <v>1417185.21</v>
      </c>
      <c r="E756" s="175">
        <v>1477623.0811619302</v>
      </c>
      <c r="F756" s="336">
        <v>2397787</v>
      </c>
    </row>
    <row r="757" spans="1:6" s="174" customFormat="1" x14ac:dyDescent="0.3">
      <c r="A757" s="317">
        <v>8</v>
      </c>
      <c r="B757" s="396">
        <v>12020452</v>
      </c>
      <c r="C757" s="335" t="s">
        <v>1645</v>
      </c>
      <c r="D757" s="175">
        <v>283437.03999999998</v>
      </c>
      <c r="E757" s="175">
        <v>295524.61623238603</v>
      </c>
      <c r="F757" s="336">
        <v>479557</v>
      </c>
    </row>
    <row r="758" spans="1:6" s="174" customFormat="1" x14ac:dyDescent="0.3">
      <c r="A758" s="317">
        <v>9</v>
      </c>
      <c r="B758" s="396">
        <v>12020452</v>
      </c>
      <c r="C758" s="335" t="s">
        <v>1646</v>
      </c>
      <c r="D758" s="175">
        <v>500858.36</v>
      </c>
      <c r="E758" s="175">
        <v>295524.61623238603</v>
      </c>
      <c r="F758" s="336">
        <v>847420</v>
      </c>
    </row>
    <row r="759" spans="1:6" s="174" customFormat="1" x14ac:dyDescent="0.3">
      <c r="A759" s="317">
        <v>10</v>
      </c>
      <c r="B759" s="396">
        <v>12020452</v>
      </c>
      <c r="C759" s="335" t="s">
        <v>1647</v>
      </c>
      <c r="D759" s="175">
        <v>283437.03999999998</v>
      </c>
      <c r="E759" s="175">
        <v>307132.55136581912</v>
      </c>
      <c r="F759" s="336">
        <v>479557</v>
      </c>
    </row>
    <row r="760" spans="1:6" s="174" customFormat="1" x14ac:dyDescent="0.3">
      <c r="A760" s="317">
        <v>11</v>
      </c>
      <c r="B760" s="396">
        <v>12020452</v>
      </c>
      <c r="C760" s="335" t="s">
        <v>1648</v>
      </c>
      <c r="D760" s="175">
        <v>1417185.21</v>
      </c>
      <c r="E760" s="175">
        <v>1477623.0811619302</v>
      </c>
      <c r="F760" s="336">
        <v>2397787</v>
      </c>
    </row>
    <row r="761" spans="1:6" s="174" customFormat="1" x14ac:dyDescent="0.3">
      <c r="A761" s="317">
        <v>12</v>
      </c>
      <c r="B761" s="396">
        <v>12020452</v>
      </c>
      <c r="C761" s="335" t="s">
        <v>1649</v>
      </c>
      <c r="D761" s="175">
        <v>1004586.99</v>
      </c>
      <c r="E761" s="175">
        <v>1221695.8198850665</v>
      </c>
      <c r="F761" s="336">
        <v>1699697</v>
      </c>
    </row>
    <row r="762" spans="1:6" s="174" customFormat="1" x14ac:dyDescent="0.3">
      <c r="A762" s="317">
        <v>13</v>
      </c>
      <c r="B762" s="396">
        <v>12020452</v>
      </c>
      <c r="C762" s="335" t="s">
        <v>1650</v>
      </c>
      <c r="D762" s="175">
        <v>1417185.21</v>
      </c>
      <c r="E762" s="175">
        <v>1477623.0811619302</v>
      </c>
      <c r="F762" s="336">
        <v>1897787</v>
      </c>
    </row>
    <row r="763" spans="1:6" s="174" customFormat="1" x14ac:dyDescent="0.3">
      <c r="A763" s="317">
        <v>14</v>
      </c>
      <c r="B763" s="396">
        <v>12020452</v>
      </c>
      <c r="C763" s="335" t="s">
        <v>1651</v>
      </c>
      <c r="D763" s="175">
        <v>1417185.21</v>
      </c>
      <c r="E763" s="175">
        <v>1477623.0811619302</v>
      </c>
      <c r="F763" s="336">
        <v>1897787</v>
      </c>
    </row>
    <row r="764" spans="1:6" s="174" customFormat="1" x14ac:dyDescent="0.3">
      <c r="A764" s="317">
        <v>15</v>
      </c>
      <c r="B764" s="396">
        <v>12020452</v>
      </c>
      <c r="C764" s="335" t="s">
        <v>1652</v>
      </c>
      <c r="D764" s="175">
        <v>236197.54</v>
      </c>
      <c r="E764" s="175">
        <v>255943.79280484925</v>
      </c>
      <c r="F764" s="336">
        <v>399631</v>
      </c>
    </row>
    <row r="765" spans="1:6" s="174" customFormat="1" x14ac:dyDescent="0.3">
      <c r="A765" s="317">
        <v>16</v>
      </c>
      <c r="B765" s="396">
        <v>12020452</v>
      </c>
      <c r="C765" s="335" t="s">
        <v>1653</v>
      </c>
      <c r="D765" s="175">
        <v>354296.3</v>
      </c>
      <c r="E765" s="175">
        <v>369405.77029048256</v>
      </c>
      <c r="F765" s="336">
        <v>599447</v>
      </c>
    </row>
    <row r="766" spans="1:6" s="174" customFormat="1" x14ac:dyDescent="0.3">
      <c r="A766" s="317">
        <v>17</v>
      </c>
      <c r="B766" s="396">
        <v>12020452</v>
      </c>
      <c r="C766" s="335" t="s">
        <v>1654</v>
      </c>
      <c r="D766" s="175">
        <v>708592.61</v>
      </c>
      <c r="E766" s="175">
        <v>767831.37841454777</v>
      </c>
      <c r="F766" s="336">
        <v>698893</v>
      </c>
    </row>
    <row r="767" spans="1:6" s="174" customFormat="1" x14ac:dyDescent="0.3">
      <c r="A767" s="317">
        <v>18</v>
      </c>
      <c r="B767" s="396">
        <v>12020452</v>
      </c>
      <c r="C767" s="335" t="s">
        <v>1655</v>
      </c>
      <c r="D767" s="175">
        <v>236197.54</v>
      </c>
      <c r="E767" s="175">
        <v>255943.79280484925</v>
      </c>
      <c r="F767" s="336">
        <v>399631</v>
      </c>
    </row>
    <row r="768" spans="1:6" s="174" customFormat="1" x14ac:dyDescent="0.3">
      <c r="A768" s="317">
        <v>19</v>
      </c>
      <c r="B768" s="396">
        <v>12020452</v>
      </c>
      <c r="C768" s="335" t="s">
        <v>1656</v>
      </c>
      <c r="D768" s="175">
        <v>236197.54</v>
      </c>
      <c r="E768" s="175">
        <v>255943.79280484925</v>
      </c>
      <c r="F768" s="336">
        <v>399633</v>
      </c>
    </row>
    <row r="769" spans="1:6" s="174" customFormat="1" x14ac:dyDescent="0.3">
      <c r="A769" s="317">
        <v>20</v>
      </c>
      <c r="B769" s="396">
        <v>12020452</v>
      </c>
      <c r="C769" s="335" t="s">
        <v>1657</v>
      </c>
      <c r="D769" s="175">
        <v>1417185.21</v>
      </c>
      <c r="E769" s="175">
        <v>1477623.0811619302</v>
      </c>
      <c r="F769" s="336">
        <v>1897787</v>
      </c>
    </row>
    <row r="770" spans="1:6" s="174" customFormat="1" x14ac:dyDescent="0.3">
      <c r="A770" s="317">
        <v>21</v>
      </c>
      <c r="B770" s="396">
        <v>12020501</v>
      </c>
      <c r="C770" s="335" t="s">
        <v>1658</v>
      </c>
      <c r="D770" s="175">
        <v>282474</v>
      </c>
      <c r="E770" s="175">
        <v>78000</v>
      </c>
      <c r="F770" s="336" t="s">
        <v>179</v>
      </c>
    </row>
    <row r="771" spans="1:6" s="174" customFormat="1" x14ac:dyDescent="0.3">
      <c r="A771" s="317">
        <v>22</v>
      </c>
      <c r="B771" s="396">
        <v>12020501</v>
      </c>
      <c r="C771" s="335" t="s">
        <v>1659</v>
      </c>
      <c r="D771" s="175">
        <v>200000</v>
      </c>
      <c r="E771" s="175">
        <v>44350</v>
      </c>
      <c r="F771" s="336" t="s">
        <v>179</v>
      </c>
    </row>
    <row r="772" spans="1:6" s="174" customFormat="1" x14ac:dyDescent="0.3">
      <c r="A772" s="317">
        <v>23</v>
      </c>
      <c r="B772" s="396">
        <v>12020603</v>
      </c>
      <c r="C772" s="335" t="s">
        <v>1660</v>
      </c>
      <c r="D772" s="175">
        <v>472395.07</v>
      </c>
      <c r="E772" s="175">
        <v>511887.58560969849</v>
      </c>
      <c r="F772" s="336">
        <v>799262</v>
      </c>
    </row>
    <row r="773" spans="1:6" s="174" customFormat="1" x14ac:dyDescent="0.3">
      <c r="A773" s="317">
        <v>24</v>
      </c>
      <c r="B773" s="396">
        <v>12020603</v>
      </c>
      <c r="C773" s="398" t="s">
        <v>1661</v>
      </c>
      <c r="D773" s="175"/>
      <c r="E773" s="175"/>
      <c r="F773" s="336">
        <v>500000</v>
      </c>
    </row>
    <row r="774" spans="1:6" s="174" customFormat="1" x14ac:dyDescent="0.3">
      <c r="A774" s="317">
        <v>25</v>
      </c>
      <c r="B774" s="396">
        <v>12020616</v>
      </c>
      <c r="C774" s="335" t="s">
        <v>1662</v>
      </c>
      <c r="D774" s="175">
        <v>1417185</v>
      </c>
      <c r="E774" s="175">
        <v>108100</v>
      </c>
      <c r="F774" s="336">
        <v>2097786</v>
      </c>
    </row>
    <row r="775" spans="1:6" s="174" customFormat="1" x14ac:dyDescent="0.3">
      <c r="A775" s="317">
        <v>26</v>
      </c>
      <c r="B775" s="396">
        <v>12020701</v>
      </c>
      <c r="C775" s="335" t="s">
        <v>1663</v>
      </c>
      <c r="D775" s="175">
        <v>11809877</v>
      </c>
      <c r="E775" s="175">
        <v>2035000</v>
      </c>
      <c r="F775" s="181">
        <v>11809876</v>
      </c>
    </row>
    <row r="776" spans="1:6" s="174" customFormat="1" x14ac:dyDescent="0.3">
      <c r="A776" s="317">
        <v>27</v>
      </c>
      <c r="B776" s="396">
        <v>12020801</v>
      </c>
      <c r="C776" s="335" t="s">
        <v>1664</v>
      </c>
      <c r="D776" s="175">
        <v>1000000</v>
      </c>
      <c r="E776" s="175">
        <v>1757613</v>
      </c>
      <c r="F776" s="181">
        <v>1000000</v>
      </c>
    </row>
    <row r="777" spans="1:6" s="174" customFormat="1" ht="21" thickBot="1" x14ac:dyDescent="0.35">
      <c r="A777" s="317">
        <v>28</v>
      </c>
      <c r="B777" s="396">
        <v>12021212</v>
      </c>
      <c r="C777" s="335" t="s">
        <v>1665</v>
      </c>
      <c r="D777" s="499">
        <v>37921</v>
      </c>
      <c r="E777" s="499">
        <v>96</v>
      </c>
      <c r="F777" s="339">
        <v>2000</v>
      </c>
    </row>
    <row r="778" spans="1:6" s="174" customFormat="1" ht="21" thickBot="1" x14ac:dyDescent="0.35">
      <c r="A778" s="293"/>
      <c r="B778" s="400" t="s">
        <v>243</v>
      </c>
      <c r="C778" s="409"/>
      <c r="D778" s="402">
        <f>SUM(D750:D777)</f>
        <v>30999999.640000001</v>
      </c>
      <c r="E778" s="402">
        <f t="shared" ref="E778" si="35">SUM(E750:E777)</f>
        <v>20560458.999999993</v>
      </c>
      <c r="F778" s="403">
        <f>SUM(F750:F777)</f>
        <v>38835519</v>
      </c>
    </row>
    <row r="779" spans="1:6" x14ac:dyDescent="0.3">
      <c r="A779" s="184"/>
      <c r="B779" s="293"/>
      <c r="C779" s="178"/>
      <c r="D779" s="295"/>
      <c r="E779" s="296"/>
      <c r="F779" s="295"/>
    </row>
    <row r="780" spans="1:6" ht="21" thickBot="1" x14ac:dyDescent="0.35">
      <c r="A780" s="193"/>
      <c r="B780" s="318"/>
      <c r="C780" s="539" t="s">
        <v>1085</v>
      </c>
      <c r="D780" s="306"/>
      <c r="E780" s="296"/>
      <c r="F780" s="295"/>
    </row>
    <row r="781" spans="1:6" ht="61.5" thickBot="1" x14ac:dyDescent="0.35">
      <c r="A781" s="527" t="s">
        <v>94</v>
      </c>
      <c r="B781" s="528" t="s">
        <v>1</v>
      </c>
      <c r="C781" s="298" t="s">
        <v>991</v>
      </c>
      <c r="D781" s="212" t="s">
        <v>1174</v>
      </c>
      <c r="E781" s="300" t="s">
        <v>1145</v>
      </c>
      <c r="F781" s="173" t="s">
        <v>3098</v>
      </c>
    </row>
    <row r="782" spans="1:6" x14ac:dyDescent="0.3">
      <c r="A782" s="317">
        <v>1</v>
      </c>
      <c r="B782" s="317">
        <v>12020802</v>
      </c>
      <c r="C782" s="477" t="s">
        <v>2173</v>
      </c>
      <c r="D782" s="458">
        <v>41200000</v>
      </c>
      <c r="E782" s="296">
        <v>5750000</v>
      </c>
      <c r="F782" s="295">
        <v>60200000</v>
      </c>
    </row>
    <row r="783" spans="1:6" x14ac:dyDescent="0.3">
      <c r="A783" s="293">
        <v>2</v>
      </c>
      <c r="B783" s="317">
        <v>12020802</v>
      </c>
      <c r="C783" s="454" t="s">
        <v>2174</v>
      </c>
      <c r="D783" s="295"/>
      <c r="E783" s="296"/>
      <c r="F783" s="295">
        <v>32000000</v>
      </c>
    </row>
    <row r="784" spans="1:6" ht="21" thickBot="1" x14ac:dyDescent="0.35">
      <c r="A784" s="293">
        <v>3</v>
      </c>
      <c r="B784" s="317">
        <v>12020801</v>
      </c>
      <c r="C784" s="454" t="s">
        <v>2175</v>
      </c>
      <c r="D784" s="306"/>
      <c r="E784" s="307"/>
      <c r="F784" s="306">
        <v>5000000</v>
      </c>
    </row>
    <row r="785" spans="1:6" ht="21" thickBot="1" x14ac:dyDescent="0.35">
      <c r="A785" s="293"/>
      <c r="B785" s="301" t="s">
        <v>243</v>
      </c>
      <c r="C785" s="195"/>
      <c r="D785" s="388">
        <f>SUM(D782:D784)</f>
        <v>41200000</v>
      </c>
      <c r="E785" s="309">
        <f t="shared" ref="E785" si="36">SUM(E782:E784)</f>
        <v>5750000</v>
      </c>
      <c r="F785" s="311">
        <f>SUM(F782:F784)</f>
        <v>97200000</v>
      </c>
    </row>
    <row r="786" spans="1:6" x14ac:dyDescent="0.3">
      <c r="A786" s="184"/>
      <c r="B786" s="293"/>
      <c r="C786" s="178"/>
      <c r="D786" s="458"/>
      <c r="E786" s="490"/>
      <c r="F786" s="458"/>
    </row>
    <row r="787" spans="1:6" ht="21" thickBot="1" x14ac:dyDescent="0.35">
      <c r="A787" s="193"/>
      <c r="B787" s="318"/>
      <c r="C787" s="539" t="s">
        <v>1086</v>
      </c>
      <c r="D787" s="306"/>
      <c r="E787" s="296"/>
      <c r="F787" s="295"/>
    </row>
    <row r="788" spans="1:6" ht="61.5" thickBot="1" x14ac:dyDescent="0.35">
      <c r="A788" s="527" t="s">
        <v>94</v>
      </c>
      <c r="B788" s="528" t="s">
        <v>1</v>
      </c>
      <c r="C788" s="298" t="s">
        <v>991</v>
      </c>
      <c r="D788" s="212" t="s">
        <v>1174</v>
      </c>
      <c r="E788" s="300" t="s">
        <v>1145</v>
      </c>
      <c r="F788" s="173" t="s">
        <v>3098</v>
      </c>
    </row>
    <row r="789" spans="1:6" x14ac:dyDescent="0.3">
      <c r="A789" s="317">
        <v>1</v>
      </c>
      <c r="B789" s="317">
        <v>12020201</v>
      </c>
      <c r="C789" s="362" t="s">
        <v>2153</v>
      </c>
      <c r="D789" s="458">
        <v>5000000</v>
      </c>
      <c r="E789" s="296">
        <v>0</v>
      </c>
      <c r="F789" s="295">
        <v>300000000</v>
      </c>
    </row>
    <row r="790" spans="1:6" ht="21" thickBot="1" x14ac:dyDescent="0.35">
      <c r="A790" s="293">
        <v>2</v>
      </c>
      <c r="B790" s="317">
        <v>12020201</v>
      </c>
      <c r="C790" s="189" t="s">
        <v>673</v>
      </c>
      <c r="D790" s="306">
        <v>5000000</v>
      </c>
      <c r="E790" s="307">
        <v>0</v>
      </c>
      <c r="F790" s="306">
        <v>5000000</v>
      </c>
    </row>
    <row r="791" spans="1:6" ht="21" thickBot="1" x14ac:dyDescent="0.35">
      <c r="A791" s="293"/>
      <c r="B791" s="301" t="s">
        <v>243</v>
      </c>
      <c r="C791" s="195"/>
      <c r="D791" s="388">
        <f>SUM(D789:D790)</f>
        <v>10000000</v>
      </c>
      <c r="E791" s="309">
        <f t="shared" ref="E791" si="37">SUM(E789:E790)</f>
        <v>0</v>
      </c>
      <c r="F791" s="311">
        <f>SUM(F789:F790)</f>
        <v>305000000</v>
      </c>
    </row>
    <row r="792" spans="1:6" x14ac:dyDescent="0.3">
      <c r="A792" s="184"/>
      <c r="B792" s="293"/>
      <c r="C792" s="178"/>
      <c r="D792" s="458"/>
      <c r="E792" s="490"/>
      <c r="F792" s="458"/>
    </row>
    <row r="793" spans="1:6" ht="21" thickBot="1" x14ac:dyDescent="0.35">
      <c r="A793" s="193"/>
      <c r="B793" s="318"/>
      <c r="C793" s="539" t="s">
        <v>1087</v>
      </c>
      <c r="D793" s="306"/>
      <c r="E793" s="296"/>
      <c r="F793" s="295"/>
    </row>
    <row r="794" spans="1:6" ht="61.5" thickBot="1" x14ac:dyDescent="0.35">
      <c r="A794" s="527" t="s">
        <v>94</v>
      </c>
      <c r="B794" s="540" t="s">
        <v>1</v>
      </c>
      <c r="C794" s="540" t="s">
        <v>991</v>
      </c>
      <c r="D794" s="466" t="s">
        <v>1174</v>
      </c>
      <c r="E794" s="300" t="s">
        <v>1145</v>
      </c>
      <c r="F794" s="173" t="s">
        <v>3098</v>
      </c>
    </row>
    <row r="795" spans="1:6" ht="21" thickBot="1" x14ac:dyDescent="0.35">
      <c r="A795" s="317">
        <v>1</v>
      </c>
      <c r="B795" s="293">
        <v>12020466</v>
      </c>
      <c r="C795" s="479" t="s">
        <v>677</v>
      </c>
      <c r="D795" s="1876">
        <v>1500000</v>
      </c>
      <c r="E795" s="1877">
        <v>303000</v>
      </c>
      <c r="F795" s="1878">
        <v>1500000</v>
      </c>
    </row>
    <row r="796" spans="1:6" ht="21" thickBot="1" x14ac:dyDescent="0.35">
      <c r="A796" s="293"/>
      <c r="B796" s="301" t="s">
        <v>243</v>
      </c>
      <c r="C796" s="195"/>
      <c r="D796" s="388">
        <f>SUM(D795)</f>
        <v>1500000</v>
      </c>
      <c r="E796" s="310">
        <f>SUM(E795)</f>
        <v>303000</v>
      </c>
      <c r="F796" s="1879">
        <f>SUM(F795)</f>
        <v>1500000</v>
      </c>
    </row>
    <row r="797" spans="1:6" x14ac:dyDescent="0.3">
      <c r="A797" s="184"/>
      <c r="B797" s="293"/>
      <c r="C797" s="178"/>
      <c r="D797" s="458"/>
      <c r="E797" s="490"/>
      <c r="F797" s="458"/>
    </row>
    <row r="798" spans="1:6" ht="21" thickBot="1" x14ac:dyDescent="0.35">
      <c r="A798" s="193"/>
      <c r="B798" s="318"/>
      <c r="C798" s="492" t="s">
        <v>1088</v>
      </c>
      <c r="D798" s="306"/>
      <c r="E798" s="296"/>
      <c r="F798" s="295"/>
    </row>
    <row r="799" spans="1:6" ht="61.5" thickBot="1" x14ac:dyDescent="0.35">
      <c r="A799" s="527" t="s">
        <v>94</v>
      </c>
      <c r="B799" s="528" t="s">
        <v>1</v>
      </c>
      <c r="C799" s="298" t="s">
        <v>991</v>
      </c>
      <c r="D799" s="212" t="s">
        <v>1174</v>
      </c>
      <c r="E799" s="300" t="s">
        <v>1145</v>
      </c>
      <c r="F799" s="173" t="s">
        <v>3098</v>
      </c>
    </row>
    <row r="800" spans="1:6" x14ac:dyDescent="0.3">
      <c r="A800" s="317">
        <v>1</v>
      </c>
      <c r="B800" s="478">
        <v>12020703</v>
      </c>
      <c r="C800" s="479" t="s">
        <v>2376</v>
      </c>
      <c r="D800" s="541">
        <v>15000000</v>
      </c>
      <c r="E800" s="296">
        <v>7082000</v>
      </c>
      <c r="F800" s="515">
        <v>15000000</v>
      </c>
    </row>
    <row r="801" spans="1:6" x14ac:dyDescent="0.3">
      <c r="A801" s="293">
        <v>2</v>
      </c>
      <c r="B801" s="396">
        <v>12020453</v>
      </c>
      <c r="C801" s="335" t="s">
        <v>2377</v>
      </c>
      <c r="D801" s="185">
        <v>2000000</v>
      </c>
      <c r="E801" s="296">
        <v>310000</v>
      </c>
      <c r="F801" s="515">
        <v>2000000</v>
      </c>
    </row>
    <row r="802" spans="1:6" x14ac:dyDescent="0.3">
      <c r="A802" s="293">
        <v>3</v>
      </c>
      <c r="B802" s="419">
        <v>12020501</v>
      </c>
      <c r="C802" s="408" t="s">
        <v>2378</v>
      </c>
      <c r="D802" s="497">
        <v>2000000</v>
      </c>
      <c r="E802" s="497">
        <v>0</v>
      </c>
      <c r="F802" s="336">
        <v>0</v>
      </c>
    </row>
    <row r="803" spans="1:6" ht="21" thickBot="1" x14ac:dyDescent="0.35">
      <c r="A803" s="293">
        <v>4</v>
      </c>
      <c r="B803" s="396">
        <v>12020703</v>
      </c>
      <c r="C803" s="335" t="s">
        <v>2379</v>
      </c>
      <c r="D803" s="172">
        <v>16000000</v>
      </c>
      <c r="E803" s="172">
        <v>0</v>
      </c>
      <c r="F803" s="339">
        <v>40000000</v>
      </c>
    </row>
    <row r="804" spans="1:6" ht="21" thickBot="1" x14ac:dyDescent="0.35">
      <c r="A804" s="293"/>
      <c r="B804" s="301" t="s">
        <v>243</v>
      </c>
      <c r="C804" s="195"/>
      <c r="D804" s="388">
        <f>SUM(D800:D803)</f>
        <v>35000000</v>
      </c>
      <c r="E804" s="309">
        <f t="shared" ref="E804" si="38">SUM(E800:E803)</f>
        <v>7392000</v>
      </c>
      <c r="F804" s="368">
        <f>SUM(F800:F803)</f>
        <v>57000000</v>
      </c>
    </row>
    <row r="805" spans="1:6" x14ac:dyDescent="0.3">
      <c r="A805" s="184"/>
      <c r="B805" s="293"/>
      <c r="C805" s="178"/>
      <c r="D805" s="458"/>
      <c r="E805" s="490"/>
      <c r="F805" s="458"/>
    </row>
    <row r="806" spans="1:6" ht="21" thickBot="1" x14ac:dyDescent="0.35">
      <c r="A806" s="3447" t="s">
        <v>1557</v>
      </c>
      <c r="B806" s="3447"/>
      <c r="C806" s="3447"/>
      <c r="D806" s="3447"/>
      <c r="E806" s="3447"/>
      <c r="F806" s="3448"/>
    </row>
    <row r="807" spans="1:6" ht="61.5" thickBot="1" x14ac:dyDescent="0.35">
      <c r="A807" s="297" t="s">
        <v>94</v>
      </c>
      <c r="B807" s="297" t="s">
        <v>1</v>
      </c>
      <c r="C807" s="298" t="s">
        <v>991</v>
      </c>
      <c r="D807" s="212" t="s">
        <v>1174</v>
      </c>
      <c r="E807" s="300" t="s">
        <v>1145</v>
      </c>
      <c r="F807" s="173" t="s">
        <v>3098</v>
      </c>
    </row>
    <row r="808" spans="1:6" x14ac:dyDescent="0.3">
      <c r="A808" s="317">
        <v>1</v>
      </c>
      <c r="B808" s="317">
        <v>12020711</v>
      </c>
      <c r="C808" s="479" t="s">
        <v>1559</v>
      </c>
      <c r="D808" s="436">
        <v>3800000</v>
      </c>
      <c r="E808" s="436">
        <v>892000</v>
      </c>
      <c r="F808" s="353">
        <v>3800000</v>
      </c>
    </row>
    <row r="809" spans="1:6" x14ac:dyDescent="0.3">
      <c r="A809" s="293">
        <v>2</v>
      </c>
      <c r="B809" s="317">
        <v>12020711</v>
      </c>
      <c r="C809" s="335" t="s">
        <v>1560</v>
      </c>
      <c r="D809" s="175">
        <v>4000000</v>
      </c>
      <c r="E809" s="175">
        <v>1078000</v>
      </c>
      <c r="F809" s="181">
        <v>4000000</v>
      </c>
    </row>
    <row r="810" spans="1:6" x14ac:dyDescent="0.3">
      <c r="A810" s="293">
        <v>3</v>
      </c>
      <c r="B810" s="317">
        <v>12020711</v>
      </c>
      <c r="C810" s="335" t="s">
        <v>1561</v>
      </c>
      <c r="D810" s="175">
        <v>1100000</v>
      </c>
      <c r="E810" s="175">
        <v>116000</v>
      </c>
      <c r="F810" s="181">
        <v>1100000</v>
      </c>
    </row>
    <row r="811" spans="1:6" x14ac:dyDescent="0.3">
      <c r="A811" s="293">
        <v>4</v>
      </c>
      <c r="B811" s="317">
        <v>12020711</v>
      </c>
      <c r="C811" s="335" t="s">
        <v>1562</v>
      </c>
      <c r="D811" s="175">
        <v>200000</v>
      </c>
      <c r="E811" s="175">
        <v>197225</v>
      </c>
      <c r="F811" s="181">
        <v>200000</v>
      </c>
    </row>
    <row r="812" spans="1:6" x14ac:dyDescent="0.3">
      <c r="A812" s="293">
        <v>5</v>
      </c>
      <c r="B812" s="317">
        <v>12020711</v>
      </c>
      <c r="C812" s="335" t="s">
        <v>1563</v>
      </c>
      <c r="D812" s="175">
        <v>600000</v>
      </c>
      <c r="E812" s="175">
        <v>34000</v>
      </c>
      <c r="F812" s="181">
        <v>600000</v>
      </c>
    </row>
    <row r="813" spans="1:6" x14ac:dyDescent="0.3">
      <c r="A813" s="293">
        <v>6</v>
      </c>
      <c r="B813" s="317">
        <v>12020711</v>
      </c>
      <c r="C813" s="335" t="s">
        <v>3004</v>
      </c>
      <c r="D813" s="175">
        <v>800000</v>
      </c>
      <c r="E813" s="175">
        <v>142550</v>
      </c>
      <c r="F813" s="181">
        <v>2000000</v>
      </c>
    </row>
    <row r="814" spans="1:6" x14ac:dyDescent="0.3">
      <c r="A814" s="293">
        <v>7</v>
      </c>
      <c r="B814" s="317">
        <v>12020802</v>
      </c>
      <c r="C814" s="335" t="s">
        <v>1564</v>
      </c>
      <c r="D814" s="542">
        <v>50000000</v>
      </c>
      <c r="E814" s="175">
        <v>4805000</v>
      </c>
      <c r="F814" s="181">
        <v>17000000</v>
      </c>
    </row>
    <row r="815" spans="1:6" x14ac:dyDescent="0.3">
      <c r="A815" s="293">
        <v>8</v>
      </c>
      <c r="B815" s="317">
        <v>12020802</v>
      </c>
      <c r="C815" s="335" t="s">
        <v>1565</v>
      </c>
      <c r="D815" s="175">
        <v>200000</v>
      </c>
      <c r="E815" s="175">
        <v>0</v>
      </c>
      <c r="F815" s="181">
        <v>200000</v>
      </c>
    </row>
    <row r="816" spans="1:6" ht="21" thickBot="1" x14ac:dyDescent="0.35">
      <c r="A816" s="293">
        <v>9</v>
      </c>
      <c r="B816" s="317">
        <v>12020704</v>
      </c>
      <c r="C816" s="543" t="s">
        <v>1566</v>
      </c>
      <c r="D816" s="175">
        <v>300000</v>
      </c>
      <c r="E816" s="175">
        <v>0</v>
      </c>
      <c r="F816" s="181">
        <v>300000</v>
      </c>
    </row>
    <row r="817" spans="1:6" ht="21" thickBot="1" x14ac:dyDescent="0.35">
      <c r="A817" s="174"/>
      <c r="B817" s="301" t="s">
        <v>243</v>
      </c>
      <c r="C817" s="559"/>
      <c r="D817" s="402">
        <f>SUM(D808:D816)</f>
        <v>61000000</v>
      </c>
      <c r="E817" s="519">
        <f>SUM(E808:E816)</f>
        <v>7264775</v>
      </c>
      <c r="F817" s="432">
        <f>SUM(F808:F816)</f>
        <v>29200000</v>
      </c>
    </row>
    <row r="818" spans="1:6" x14ac:dyDescent="0.3">
      <c r="A818" s="293"/>
      <c r="B818" s="529"/>
      <c r="C818" s="545"/>
      <c r="D818" s="394"/>
      <c r="E818" s="453"/>
      <c r="F818" s="394"/>
    </row>
    <row r="819" spans="1:6" x14ac:dyDescent="0.3">
      <c r="A819" s="184"/>
      <c r="B819" s="293"/>
      <c r="C819" s="178"/>
      <c r="D819" s="295"/>
      <c r="E819" s="296"/>
      <c r="F819" s="295"/>
    </row>
    <row r="820" spans="1:6" ht="21" thickBot="1" x14ac:dyDescent="0.35">
      <c r="A820" s="193"/>
      <c r="B820" s="318"/>
      <c r="C820" s="379" t="s">
        <v>1089</v>
      </c>
      <c r="D820" s="306"/>
      <c r="E820" s="307"/>
      <c r="F820" s="295"/>
    </row>
    <row r="821" spans="1:6" ht="61.5" thickBot="1" x14ac:dyDescent="0.35">
      <c r="A821" s="297" t="s">
        <v>94</v>
      </c>
      <c r="B821" s="297" t="s">
        <v>1</v>
      </c>
      <c r="C821" s="298" t="s">
        <v>991</v>
      </c>
      <c r="D821" s="212" t="s">
        <v>1174</v>
      </c>
      <c r="E821" s="300" t="s">
        <v>1145</v>
      </c>
      <c r="F821" s="173" t="s">
        <v>3098</v>
      </c>
    </row>
    <row r="822" spans="1:6" x14ac:dyDescent="0.3">
      <c r="A822" s="317">
        <v>1</v>
      </c>
      <c r="B822" s="317">
        <v>12020711</v>
      </c>
      <c r="C822" s="754" t="s">
        <v>689</v>
      </c>
      <c r="D822" s="458">
        <v>50000000</v>
      </c>
      <c r="E822" s="490">
        <v>0</v>
      </c>
      <c r="F822" s="295">
        <v>278610000</v>
      </c>
    </row>
    <row r="823" spans="1:6" x14ac:dyDescent="0.3">
      <c r="A823" s="293">
        <v>2</v>
      </c>
      <c r="B823" s="293">
        <v>12020711</v>
      </c>
      <c r="C823" s="178" t="s">
        <v>2188</v>
      </c>
      <c r="D823" s="295"/>
      <c r="E823" s="296"/>
      <c r="F823" s="295">
        <v>224000000</v>
      </c>
    </row>
    <row r="824" spans="1:6" ht="21" thickBot="1" x14ac:dyDescent="0.35">
      <c r="A824" s="293">
        <v>3</v>
      </c>
      <c r="B824" s="293">
        <v>12020711</v>
      </c>
      <c r="C824" s="178" t="s">
        <v>2189</v>
      </c>
      <c r="D824" s="306"/>
      <c r="E824" s="307"/>
      <c r="F824" s="306">
        <v>36155000</v>
      </c>
    </row>
    <row r="825" spans="1:6" ht="21" thickBot="1" x14ac:dyDescent="0.35">
      <c r="A825" s="293"/>
      <c r="B825" s="301" t="s">
        <v>243</v>
      </c>
      <c r="C825" s="195"/>
      <c r="D825" s="388">
        <f>SUM(D822:D824)</f>
        <v>50000000</v>
      </c>
      <c r="E825" s="309">
        <f t="shared" ref="E825" si="39">SUM(E822:E824)</f>
        <v>0</v>
      </c>
      <c r="F825" s="311">
        <f>SUM(F822:F824)</f>
        <v>538765000</v>
      </c>
    </row>
    <row r="826" spans="1:6" x14ac:dyDescent="0.3">
      <c r="A826" s="184"/>
      <c r="B826" s="293"/>
      <c r="C826" s="178"/>
      <c r="D826" s="458"/>
      <c r="E826" s="490"/>
      <c r="F826" s="458"/>
    </row>
    <row r="827" spans="1:6" ht="21" thickBot="1" x14ac:dyDescent="0.35">
      <c r="A827" s="193"/>
      <c r="B827" s="318"/>
      <c r="C827" s="520" t="s">
        <v>1320</v>
      </c>
      <c r="D827" s="306"/>
      <c r="E827" s="307"/>
      <c r="F827" s="306"/>
    </row>
    <row r="828" spans="1:6" ht="61.5" thickBot="1" x14ac:dyDescent="0.35">
      <c r="A828" s="527" t="s">
        <v>94</v>
      </c>
      <c r="B828" s="540" t="s">
        <v>1</v>
      </c>
      <c r="C828" s="540" t="s">
        <v>991</v>
      </c>
      <c r="D828" s="546" t="s">
        <v>1174</v>
      </c>
      <c r="E828" s="300" t="s">
        <v>1145</v>
      </c>
      <c r="F828" s="173" t="s">
        <v>3098</v>
      </c>
    </row>
    <row r="829" spans="1:6" x14ac:dyDescent="0.3">
      <c r="A829" s="317">
        <v>1</v>
      </c>
      <c r="B829" s="547">
        <v>12020616</v>
      </c>
      <c r="C829" s="548" t="s">
        <v>268</v>
      </c>
      <c r="D829" s="549">
        <v>1000000</v>
      </c>
      <c r="E829" s="194">
        <v>386300</v>
      </c>
      <c r="F829" s="353">
        <v>1000000</v>
      </c>
    </row>
    <row r="830" spans="1:6" ht="21" thickBot="1" x14ac:dyDescent="0.35">
      <c r="A830" s="293">
        <v>2</v>
      </c>
      <c r="B830" s="547">
        <v>12020616</v>
      </c>
      <c r="C830" s="189" t="s">
        <v>1581</v>
      </c>
      <c r="D830" s="172">
        <v>500000</v>
      </c>
      <c r="E830" s="172">
        <v>187000</v>
      </c>
      <c r="F830" s="364">
        <v>500000</v>
      </c>
    </row>
    <row r="831" spans="1:6" ht="21" thickBot="1" x14ac:dyDescent="0.35">
      <c r="A831" s="293"/>
      <c r="B831" s="301" t="s">
        <v>243</v>
      </c>
      <c r="C831" s="195"/>
      <c r="D831" s="366">
        <f>SUM(D829:D830)</f>
        <v>1500000</v>
      </c>
      <c r="E831" s="367">
        <f t="shared" ref="E831" si="40">SUM(E829:E830)</f>
        <v>573300</v>
      </c>
      <c r="F831" s="368">
        <f>SUM(F829:F830)</f>
        <v>1500000</v>
      </c>
    </row>
    <row r="832" spans="1:6" x14ac:dyDescent="0.3">
      <c r="A832" s="293"/>
      <c r="B832" s="301"/>
      <c r="C832" s="196"/>
      <c r="D832" s="333"/>
      <c r="E832" s="1880"/>
      <c r="F832" s="333"/>
    </row>
    <row r="833" spans="1:6" s="174" customFormat="1" ht="21" thickBot="1" x14ac:dyDescent="0.35">
      <c r="A833" s="3424" t="s">
        <v>2380</v>
      </c>
      <c r="B833" s="3424"/>
      <c r="C833" s="3424"/>
      <c r="D833" s="3424"/>
      <c r="E833" s="3424"/>
      <c r="F833" s="3424"/>
    </row>
    <row r="834" spans="1:6" ht="61.5" thickBot="1" x14ac:dyDescent="0.35">
      <c r="A834" s="297" t="s">
        <v>94</v>
      </c>
      <c r="B834" s="297" t="s">
        <v>1</v>
      </c>
      <c r="C834" s="298" t="s">
        <v>991</v>
      </c>
      <c r="D834" s="212" t="s">
        <v>1174</v>
      </c>
      <c r="E834" s="300" t="s">
        <v>1145</v>
      </c>
      <c r="F834" s="173" t="s">
        <v>3098</v>
      </c>
    </row>
    <row r="835" spans="1:6" s="174" customFormat="1" x14ac:dyDescent="0.3">
      <c r="A835" s="550">
        <v>1</v>
      </c>
      <c r="B835" s="551">
        <v>12020453</v>
      </c>
      <c r="C835" s="552" t="s">
        <v>2162</v>
      </c>
      <c r="D835" s="553">
        <v>200000</v>
      </c>
      <c r="E835" s="436"/>
      <c r="F835" s="553">
        <v>150000</v>
      </c>
    </row>
    <row r="836" spans="1:6" s="174" customFormat="1" x14ac:dyDescent="0.3">
      <c r="A836" s="197">
        <v>2</v>
      </c>
      <c r="B836" s="419">
        <v>12020452</v>
      </c>
      <c r="C836" s="446" t="s">
        <v>2163</v>
      </c>
      <c r="D836" s="448">
        <v>150000</v>
      </c>
      <c r="E836" s="175"/>
      <c r="F836" s="448">
        <v>665000</v>
      </c>
    </row>
    <row r="837" spans="1:6" s="174" customFormat="1" ht="21" thickBot="1" x14ac:dyDescent="0.35">
      <c r="A837" s="197">
        <v>3</v>
      </c>
      <c r="B837" s="419">
        <v>12020442</v>
      </c>
      <c r="C837" s="398" t="s">
        <v>2164</v>
      </c>
      <c r="D837" s="500">
        <v>100000</v>
      </c>
      <c r="E837" s="172"/>
      <c r="F837" s="500">
        <v>100000</v>
      </c>
    </row>
    <row r="838" spans="1:6" s="174" customFormat="1" ht="21" thickBot="1" x14ac:dyDescent="0.35">
      <c r="A838" s="197"/>
      <c r="B838" s="399" t="s">
        <v>243</v>
      </c>
      <c r="C838" s="559"/>
      <c r="D838" s="403">
        <f>SUM(D835:D837)</f>
        <v>450000</v>
      </c>
      <c r="E838" s="544">
        <f t="shared" ref="E838" si="41">SUM(E835:E837)</f>
        <v>0</v>
      </c>
      <c r="F838" s="432">
        <f>SUM(F835:F837)</f>
        <v>915000</v>
      </c>
    </row>
    <row r="839" spans="1:6" x14ac:dyDescent="0.3">
      <c r="A839" s="293"/>
      <c r="B839" s="301"/>
      <c r="C839" s="196"/>
      <c r="D839" s="333"/>
      <c r="E839" s="1880"/>
      <c r="F839" s="333"/>
    </row>
    <row r="840" spans="1:6" x14ac:dyDescent="0.3">
      <c r="A840" s="184"/>
      <c r="B840" s="293"/>
      <c r="C840" s="178"/>
      <c r="D840" s="295"/>
      <c r="E840" s="296"/>
      <c r="F840" s="295"/>
    </row>
    <row r="841" spans="1:6" ht="21" thickBot="1" x14ac:dyDescent="0.35">
      <c r="A841" s="193"/>
      <c r="B841" s="318"/>
      <c r="C841" s="492" t="s">
        <v>1090</v>
      </c>
      <c r="D841" s="306"/>
      <c r="E841" s="307"/>
      <c r="F841" s="295"/>
    </row>
    <row r="842" spans="1:6" ht="61.5" thickBot="1" x14ac:dyDescent="0.35">
      <c r="A842" s="297" t="s">
        <v>94</v>
      </c>
      <c r="B842" s="297" t="s">
        <v>1</v>
      </c>
      <c r="C842" s="298" t="s">
        <v>991</v>
      </c>
      <c r="D842" s="212" t="s">
        <v>1174</v>
      </c>
      <c r="E842" s="300" t="s">
        <v>1145</v>
      </c>
      <c r="F842" s="173" t="s">
        <v>3098</v>
      </c>
    </row>
    <row r="843" spans="1:6" x14ac:dyDescent="0.3">
      <c r="A843" s="317">
        <v>1</v>
      </c>
      <c r="B843" s="551">
        <v>12020601</v>
      </c>
      <c r="C843" s="535" t="s">
        <v>273</v>
      </c>
      <c r="D843" s="554">
        <v>0</v>
      </c>
      <c r="E843" s="555">
        <v>0</v>
      </c>
      <c r="F843" s="448">
        <v>100000</v>
      </c>
    </row>
    <row r="844" spans="1:6" x14ac:dyDescent="0.3">
      <c r="A844" s="293">
        <v>2</v>
      </c>
      <c r="B844" s="419">
        <v>12020453</v>
      </c>
      <c r="C844" s="446" t="s">
        <v>2133</v>
      </c>
      <c r="D844" s="504">
        <v>200000</v>
      </c>
      <c r="E844" s="383">
        <v>68250</v>
      </c>
      <c r="F844" s="421">
        <v>2000000</v>
      </c>
    </row>
    <row r="845" spans="1:6" ht="21" thickBot="1" x14ac:dyDescent="0.35">
      <c r="A845" s="293">
        <v>3</v>
      </c>
      <c r="B845" s="419">
        <v>12020417</v>
      </c>
      <c r="C845" s="446" t="s">
        <v>668</v>
      </c>
      <c r="D845" s="556">
        <v>50000000</v>
      </c>
      <c r="E845" s="411">
        <v>27685500</v>
      </c>
      <c r="F845" s="315">
        <v>70000000</v>
      </c>
    </row>
    <row r="846" spans="1:6" ht="21" thickBot="1" x14ac:dyDescent="0.35">
      <c r="A846" s="293"/>
      <c r="B846" s="301" t="s">
        <v>243</v>
      </c>
      <c r="C846" s="195"/>
      <c r="D846" s="388">
        <f>SUM(D843:D845)</f>
        <v>50200000</v>
      </c>
      <c r="E846" s="309">
        <f t="shared" ref="E846" si="42">SUM(E843:E845)</f>
        <v>27753750</v>
      </c>
      <c r="F846" s="311">
        <f>SUM(F843:F845)</f>
        <v>72100000</v>
      </c>
    </row>
    <row r="847" spans="1:6" ht="21" thickBot="1" x14ac:dyDescent="0.35">
      <c r="A847" s="184"/>
      <c r="B847" s="293"/>
      <c r="F847" s="1846"/>
    </row>
    <row r="848" spans="1:6" ht="21" thickBot="1" x14ac:dyDescent="0.35">
      <c r="A848" s="184"/>
      <c r="B848" s="293"/>
      <c r="C848" s="493" t="s">
        <v>999</v>
      </c>
      <c r="D848" s="388">
        <f>SUM(D185,D191,D199,D212,D241,D271,D292,D312,D319,D324,D334,D340,D351,D361,D367,D375,D381,D387,D393,D406,D415,D420,D426,D433,D442,D457,D464,D471,D488,D500,D506,D520,D544,D562,D585,D655,D662,D669,D675,D686,D694,D700,D707,D715,D726,D730,D737,D742,D747,D778,D785,D791,D796,D804,D817,D825,D831,D838,D846,D162,D477)</f>
        <v>4512541669.6399994</v>
      </c>
      <c r="E848" s="1849">
        <f>SUM(E185,E191,E199,E212,E241,E271,E292,E312,E319,E324,E334,E340,E351,E361,E367,E375,E381,E387,E393,E406,E415,E420,E426,E433,E442,E457,E464,E471,E488,E500,E506,E520,E544,E562,E585,E655,E662,E669,E675,E686,E694,E700,E707,E715,E726,E730,E737,E742,E747,E778,E785,E791,E796,E804,E817,E825,E831,E838,E846,E162,E477)</f>
        <v>1387122962.4099998</v>
      </c>
      <c r="F848" s="311">
        <f>SUM(F185,F191,F199,F212,F241,F265,F271,F292,F312,F319,F324,F334,F340,F351,F361,F367,F375,F381,F387,F393,F406,F415,F420,F426,F433,F442,F457,F464,F471,F488,F494,F500,F506,F520,F527,F544,F562,F585,F655,F662,F669,F675,F686,F694,F700,F707,F715,F726,F730,F737,F742,F747,F778,F785,F791,F796,F804,F817,F825,F831,F838,F846,F162,F477)</f>
        <v>10390320648.841499</v>
      </c>
    </row>
    <row r="849" spans="1:6" ht="21" thickBot="1" x14ac:dyDescent="0.35">
      <c r="A849" s="184"/>
      <c r="B849" s="293"/>
      <c r="E849" s="542"/>
      <c r="F849" s="1846"/>
    </row>
    <row r="850" spans="1:6" ht="21" thickBot="1" x14ac:dyDescent="0.35">
      <c r="A850" s="184"/>
      <c r="B850" s="293"/>
      <c r="C850" s="493" t="s">
        <v>2442</v>
      </c>
      <c r="D850" s="489">
        <f>SUM(D14,D30,D68,D103,D111,D120,D122,D153,D848)</f>
        <v>181529743176.64001</v>
      </c>
      <c r="E850" s="706">
        <f>SUM(E14,E30,E68,E103,E111,E120,E122,E153,E848)</f>
        <v>70519392437.990021</v>
      </c>
      <c r="F850" s="705">
        <f>SUM(F14,F30,F68,F103,F111,F120,F122,F153,F848)</f>
        <v>286637781342.84149</v>
      </c>
    </row>
  </sheetData>
  <mergeCells count="40">
    <mergeCell ref="A738:F738"/>
    <mergeCell ref="A833:F833"/>
    <mergeCell ref="A587:F587"/>
    <mergeCell ref="A428:F428"/>
    <mergeCell ref="A436:F436"/>
    <mergeCell ref="A497:F497"/>
    <mergeCell ref="A502:F502"/>
    <mergeCell ref="A529:F529"/>
    <mergeCell ref="A546:F546"/>
    <mergeCell ref="A564:F564"/>
    <mergeCell ref="A473:F473"/>
    <mergeCell ref="A744:F744"/>
    <mergeCell ref="B747:C747"/>
    <mergeCell ref="A748:F748"/>
    <mergeCell ref="A806:F806"/>
    <mergeCell ref="A657:F657"/>
    <mergeCell ref="B662:C662"/>
    <mergeCell ref="A421:F421"/>
    <mergeCell ref="A342:F342"/>
    <mergeCell ref="C353:E353"/>
    <mergeCell ref="A377:F377"/>
    <mergeCell ref="A383:F383"/>
    <mergeCell ref="A389:F389"/>
    <mergeCell ref="A395:F395"/>
    <mergeCell ref="A407:F407"/>
    <mergeCell ref="A417:F417"/>
    <mergeCell ref="A490:F490"/>
    <mergeCell ref="A1:F1"/>
    <mergeCell ref="A2:F2"/>
    <mergeCell ref="A3:F3"/>
    <mergeCell ref="A4:F4"/>
    <mergeCell ref="A321:F321"/>
    <mergeCell ref="A186:F186"/>
    <mergeCell ref="A193:F193"/>
    <mergeCell ref="A215:F215"/>
    <mergeCell ref="A267:F267"/>
    <mergeCell ref="B271:C271"/>
    <mergeCell ref="A294:F294"/>
    <mergeCell ref="A314:F314"/>
    <mergeCell ref="A243:F243"/>
  </mergeCells>
  <printOptions horizontalCentered="1" verticalCentered="1"/>
  <pageMargins left="0.53437500000000004" right="0.43541666666666701" top="0.75" bottom="0.75" header="0.3" footer="0.3"/>
  <pageSetup paperSize="9" scale="63" firstPageNumber="5" fitToHeight="0" orientation="landscape" useFirstPageNumber="1" r:id="rId1"/>
  <headerFooter>
    <oddHeader>&amp;L&amp;G&amp;R&amp;12&amp;K339966KATSINA STATE GOVERNMENT 2021 APPROVED APPROPRIATION LAW</oddHeader>
    <oddFooter>&amp;L&amp;12&amp;K339966KATSINA STATE GOVERNMENT 2021 APPROVED APPROPRIATION LAW&amp;C&amp;16&amp;P&amp;R&amp;G</oddFooter>
  </headerFooter>
  <rowBreaks count="34" manualBreakCount="34">
    <brk id="31" max="5" man="1"/>
    <brk id="54" max="5" man="1"/>
    <brk id="69" max="5" man="1"/>
    <brk id="103" max="16383" man="1"/>
    <brk id="123" max="16383" man="1"/>
    <brk id="154" max="5" man="1"/>
    <brk id="163" max="16383" man="1"/>
    <brk id="185" max="16383" man="1"/>
    <brk id="213" max="5" man="1"/>
    <brk id="242" max="5" man="1"/>
    <brk id="266" max="5" man="1"/>
    <brk id="292" max="5" man="1"/>
    <brk id="312" max="5" man="1"/>
    <brk id="334" max="16383" man="1"/>
    <brk id="362" max="5" man="1"/>
    <brk id="382" max="5" man="1"/>
    <brk id="406" max="5" man="1"/>
    <brk id="434" max="5" man="1"/>
    <brk id="458" max="5" man="1"/>
    <brk id="478" max="5" man="1"/>
    <brk id="501" max="5" man="1"/>
    <brk id="520" max="5" man="1"/>
    <brk id="544" max="5" man="1"/>
    <brk id="562" max="5" man="1"/>
    <brk id="586" max="5" man="1"/>
    <brk id="624" max="5" man="1"/>
    <brk id="655" max="16383" man="1"/>
    <brk id="676" max="5" man="1"/>
    <brk id="701" max="5" man="1"/>
    <brk id="716" max="5" man="1"/>
    <brk id="743" max="5" man="1"/>
    <brk id="778" max="5" man="1"/>
    <brk id="805" max="5" man="1"/>
    <brk id="832" max="5" man="1"/>
  </rowBreaks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6"/>
  <sheetViews>
    <sheetView topLeftCell="A111" zoomScale="55" zoomScaleNormal="55" zoomScaleSheetLayoutView="55" zoomScalePageLayoutView="60" workbookViewId="0">
      <selection activeCell="A111" sqref="A1:B1048576"/>
    </sheetView>
  </sheetViews>
  <sheetFormatPr defaultRowHeight="23.25" x14ac:dyDescent="0.35"/>
  <cols>
    <col min="1" max="1" width="28" style="129" customWidth="1"/>
    <col min="2" max="2" width="81.7109375" style="5" customWidth="1"/>
    <col min="3" max="3" width="32.140625" style="202" customWidth="1"/>
    <col min="4" max="4" width="31.85546875" style="202" customWidth="1"/>
    <col min="5" max="5" width="29.85546875" style="202" customWidth="1"/>
    <col min="6" max="6" width="32.7109375" style="202" customWidth="1"/>
    <col min="7" max="7" width="33.85546875" style="202" customWidth="1"/>
    <col min="8" max="8" width="33.42578125" style="202" customWidth="1"/>
    <col min="9" max="16384" width="9.140625" style="5"/>
  </cols>
  <sheetData>
    <row r="1" spans="1:8" s="651" customFormat="1" ht="27.75" x14ac:dyDescent="0.4">
      <c r="A1" s="3449" t="s">
        <v>454</v>
      </c>
      <c r="B1" s="3449"/>
      <c r="C1" s="3449"/>
      <c r="D1" s="3449"/>
      <c r="E1" s="3449"/>
      <c r="F1" s="3449"/>
      <c r="G1" s="3449"/>
      <c r="H1" s="3449"/>
    </row>
    <row r="2" spans="1:8" s="651" customFormat="1" ht="28.5" thickBot="1" x14ac:dyDescent="0.45">
      <c r="A2" s="3450" t="s">
        <v>1127</v>
      </c>
      <c r="B2" s="3450"/>
      <c r="C2" s="3450"/>
      <c r="D2" s="3450"/>
      <c r="E2" s="3450"/>
      <c r="F2" s="3450"/>
      <c r="G2" s="3450"/>
      <c r="H2" s="3450"/>
    </row>
    <row r="3" spans="1:8" s="8" customFormat="1" thickBot="1" x14ac:dyDescent="0.35">
      <c r="A3" s="130" t="s">
        <v>394</v>
      </c>
      <c r="B3" s="9" t="s">
        <v>520</v>
      </c>
      <c r="C3" s="3451" t="s">
        <v>460</v>
      </c>
      <c r="D3" s="3452"/>
      <c r="E3" s="3452"/>
      <c r="F3" s="3453"/>
      <c r="G3" s="3454" t="s">
        <v>397</v>
      </c>
      <c r="H3" s="3454" t="s">
        <v>461</v>
      </c>
    </row>
    <row r="4" spans="1:8" s="8" customFormat="1" thickBot="1" x14ac:dyDescent="0.35">
      <c r="A4" s="131" t="s">
        <v>1</v>
      </c>
      <c r="B4" s="15"/>
      <c r="C4" s="200" t="s">
        <v>395</v>
      </c>
      <c r="D4" s="203" t="s">
        <v>453</v>
      </c>
      <c r="E4" s="204" t="s">
        <v>396</v>
      </c>
      <c r="F4" s="205" t="s">
        <v>561</v>
      </c>
      <c r="G4" s="3455"/>
      <c r="H4" s="3455"/>
    </row>
    <row r="5" spans="1:8" s="10" customFormat="1" ht="24" thickBot="1" x14ac:dyDescent="0.4">
      <c r="A5" s="98" t="s">
        <v>83</v>
      </c>
      <c r="B5" s="25" t="s">
        <v>641</v>
      </c>
      <c r="C5" s="201"/>
      <c r="D5" s="206"/>
      <c r="E5" s="206"/>
      <c r="F5" s="206"/>
      <c r="G5" s="207"/>
      <c r="H5" s="655"/>
    </row>
    <row r="6" spans="1:8" s="10" customFormat="1" x14ac:dyDescent="0.35">
      <c r="A6" s="730" t="s">
        <v>398</v>
      </c>
      <c r="B6" s="731" t="s">
        <v>1375</v>
      </c>
      <c r="C6" s="668">
        <f>'APPENDIX PERS COSTS DETAILS'!F22</f>
        <v>92988022</v>
      </c>
      <c r="D6" s="668">
        <f>'APPENDIX PERS COSTS DETAILS'!F29</f>
        <v>19028155</v>
      </c>
      <c r="E6" s="668">
        <f>'8 OVERHEAD COSTS'!E28</f>
        <v>2601075000</v>
      </c>
      <c r="F6" s="668">
        <f>SUM(C6:E6)</f>
        <v>2713091177</v>
      </c>
      <c r="G6" s="668"/>
      <c r="H6" s="656">
        <f>SUM(F6:G6)</f>
        <v>2713091177</v>
      </c>
    </row>
    <row r="7" spans="1:8" s="10" customFormat="1" x14ac:dyDescent="0.35">
      <c r="A7" s="730" t="s">
        <v>429</v>
      </c>
      <c r="B7" s="731" t="s">
        <v>1376</v>
      </c>
      <c r="C7" s="668">
        <f>'APPENDIX PERS COSTS DETAILS'!F52</f>
        <v>39870909</v>
      </c>
      <c r="D7" s="668">
        <f>'APPENDIX PERS COSTS DETAILS'!F59</f>
        <v>14432148</v>
      </c>
      <c r="E7" s="668">
        <f>'8 OVERHEAD COSTS'!E52</f>
        <v>328745176</v>
      </c>
      <c r="F7" s="668">
        <f>SUM(C7:E7)</f>
        <v>383048233</v>
      </c>
      <c r="G7" s="668"/>
      <c r="H7" s="656">
        <f t="shared" ref="H7:H36" si="0">SUM(F7:G7)</f>
        <v>383048233</v>
      </c>
    </row>
    <row r="8" spans="1:8" s="10" customFormat="1" ht="46.5" x14ac:dyDescent="0.35">
      <c r="A8" s="730" t="s">
        <v>410</v>
      </c>
      <c r="B8" s="731" t="s">
        <v>1377</v>
      </c>
      <c r="C8" s="668">
        <f>'APPENDIX PERS COSTS DETAILS'!F85</f>
        <v>3240000</v>
      </c>
      <c r="D8" s="668">
        <f>'APPENDIX PERS COSTS DETAILS'!F90</f>
        <v>11158050</v>
      </c>
      <c r="E8" s="668">
        <f>'8 OVERHEAD COSTS'!E74</f>
        <v>164847159</v>
      </c>
      <c r="F8" s="668">
        <f>SUM(C8:E8)</f>
        <v>179245209</v>
      </c>
      <c r="G8" s="668">
        <f>'10 SUMMARY OF CAP EXP'!E6</f>
        <v>2170000000</v>
      </c>
      <c r="H8" s="656">
        <f>SUM(F8:G8)</f>
        <v>2349245209</v>
      </c>
    </row>
    <row r="9" spans="1:8" s="10" customFormat="1" ht="46.5" x14ac:dyDescent="0.35">
      <c r="A9" s="730" t="s">
        <v>407</v>
      </c>
      <c r="B9" s="731" t="s">
        <v>1378</v>
      </c>
      <c r="C9" s="668">
        <f>'APPENDIX PERS COSTS DETAILS'!F114</f>
        <v>12564816</v>
      </c>
      <c r="D9" s="668">
        <f>'APPENDIX PERS COSTS DETAILS'!F117</f>
        <v>5729815</v>
      </c>
      <c r="E9" s="668">
        <f>'8 OVERHEAD COSTS'!E99</f>
        <v>11935323</v>
      </c>
      <c r="F9" s="668">
        <f>SUM(C9:E9)</f>
        <v>30229954</v>
      </c>
      <c r="G9" s="668">
        <f>'10 SUMMARY OF CAP EXP'!E7</f>
        <v>2031635900</v>
      </c>
      <c r="H9" s="656">
        <f t="shared" si="0"/>
        <v>2061865854</v>
      </c>
    </row>
    <row r="10" spans="1:8" s="10" customFormat="1" x14ac:dyDescent="0.35">
      <c r="A10" s="730" t="s">
        <v>2404</v>
      </c>
      <c r="B10" s="731" t="s">
        <v>1447</v>
      </c>
      <c r="C10" s="669"/>
      <c r="D10" s="668">
        <f>'APPENDIX PERS COSTS DETAILS'!F144</f>
        <v>5428235</v>
      </c>
      <c r="E10" s="668">
        <f>'8 OVERHEAD COSTS'!E123</f>
        <v>4798000</v>
      </c>
      <c r="F10" s="668">
        <f t="shared" ref="F10:F31" si="1">SUM(C10:E10)</f>
        <v>10226235</v>
      </c>
      <c r="G10" s="668">
        <f>'10 SUMMARY OF CAP EXP'!E8</f>
        <v>600000000</v>
      </c>
      <c r="H10" s="656">
        <f t="shared" si="0"/>
        <v>610226235</v>
      </c>
    </row>
    <row r="11" spans="1:8" s="10" customFormat="1" x14ac:dyDescent="0.35">
      <c r="A11" s="730" t="s">
        <v>1281</v>
      </c>
      <c r="B11" s="731" t="s">
        <v>2406</v>
      </c>
      <c r="C11" s="669"/>
      <c r="D11" s="669"/>
      <c r="E11" s="669"/>
      <c r="F11" s="668"/>
      <c r="G11" s="668">
        <f>'11 CAPITAL EXPENDITURE'!F73</f>
        <v>100000000</v>
      </c>
      <c r="H11" s="656">
        <f t="shared" si="0"/>
        <v>100000000</v>
      </c>
    </row>
    <row r="12" spans="1:8" s="10" customFormat="1" ht="46.5" x14ac:dyDescent="0.35">
      <c r="A12" s="730" t="s">
        <v>399</v>
      </c>
      <c r="B12" s="731" t="s">
        <v>1446</v>
      </c>
      <c r="C12" s="668">
        <f>'APPENDIX PERS COSTS DETAILS'!F169</f>
        <v>1727172682</v>
      </c>
      <c r="D12" s="668">
        <f>'APPENDIX PERS COSTS DETAILS'!F177</f>
        <v>124367432</v>
      </c>
      <c r="E12" s="668">
        <f>'8 OVERHEAD COSTS'!E157</f>
        <v>663158220</v>
      </c>
      <c r="F12" s="668">
        <f t="shared" ref="F12:F30" si="2">SUM(C12:E12)</f>
        <v>2514698334</v>
      </c>
      <c r="G12" s="668">
        <f>'10 SUMMARY OF CAP EXP'!E10</f>
        <v>2300000000</v>
      </c>
      <c r="H12" s="656">
        <f t="shared" si="0"/>
        <v>4814698334</v>
      </c>
    </row>
    <row r="13" spans="1:8" s="10" customFormat="1" x14ac:dyDescent="0.35">
      <c r="A13" s="730" t="s">
        <v>3022</v>
      </c>
      <c r="B13" s="731" t="s">
        <v>3023</v>
      </c>
      <c r="C13" s="668"/>
      <c r="D13" s="668"/>
      <c r="E13" s="668">
        <f>'8 OVERHEAD COSTS'!E179</f>
        <v>36000000</v>
      </c>
      <c r="F13" s="668">
        <f t="shared" si="2"/>
        <v>36000000</v>
      </c>
      <c r="G13" s="668"/>
      <c r="H13" s="656">
        <f>SUM(F13:G13)</f>
        <v>36000000</v>
      </c>
    </row>
    <row r="14" spans="1:8" s="10" customFormat="1" x14ac:dyDescent="0.35">
      <c r="A14" s="730" t="s">
        <v>1278</v>
      </c>
      <c r="B14" s="731" t="s">
        <v>153</v>
      </c>
      <c r="C14" s="668">
        <f>'APPENDIX PERS COSTS DETAILS'!F204-'APPENDIX PERS COSTS DETAILS'!F203</f>
        <v>48445010</v>
      </c>
      <c r="D14" s="668">
        <f>'APPENDIX PERS COSTS DETAILS'!F209</f>
        <v>11245165</v>
      </c>
      <c r="E14" s="668">
        <f>'8 OVERHEAD COSTS'!E202</f>
        <v>16194833</v>
      </c>
      <c r="F14" s="668">
        <f t="shared" si="2"/>
        <v>75885008</v>
      </c>
      <c r="G14" s="668">
        <f>'10 SUMMARY OF CAP EXP'!E11</f>
        <v>205000000</v>
      </c>
      <c r="H14" s="656">
        <f t="shared" si="0"/>
        <v>280885008</v>
      </c>
    </row>
    <row r="15" spans="1:8" s="10" customFormat="1" x14ac:dyDescent="0.35">
      <c r="A15" s="730" t="s">
        <v>409</v>
      </c>
      <c r="B15" s="731" t="s">
        <v>588</v>
      </c>
      <c r="C15" s="668">
        <f>'APPENDIX PERS COSTS DETAILS'!F236</f>
        <v>58540198</v>
      </c>
      <c r="D15" s="669"/>
      <c r="E15" s="668">
        <f>'8 OVERHEAD COSTS'!E248</f>
        <v>17460354</v>
      </c>
      <c r="F15" s="668">
        <f t="shared" si="2"/>
        <v>76000552</v>
      </c>
      <c r="G15" s="668">
        <f>'11 CAPITAL EXPENDITURE'!F126</f>
        <v>65000000</v>
      </c>
      <c r="H15" s="656">
        <f t="shared" si="0"/>
        <v>141000552</v>
      </c>
    </row>
    <row r="16" spans="1:8" s="10" customFormat="1" x14ac:dyDescent="0.35">
      <c r="A16" s="730" t="s">
        <v>1279</v>
      </c>
      <c r="B16" s="731" t="s">
        <v>1381</v>
      </c>
      <c r="C16" s="668">
        <f>'APPENDIX PERS COSTS DETAILS'!F262</f>
        <v>53345246</v>
      </c>
      <c r="D16" s="669"/>
      <c r="E16" s="668">
        <f>'8 OVERHEAD COSTS'!E222</f>
        <v>1522191720</v>
      </c>
      <c r="F16" s="668">
        <f t="shared" si="2"/>
        <v>1575536966</v>
      </c>
      <c r="G16" s="668"/>
      <c r="H16" s="656">
        <f t="shared" si="0"/>
        <v>1575536966</v>
      </c>
    </row>
    <row r="17" spans="1:8" s="10" customFormat="1" x14ac:dyDescent="0.35">
      <c r="A17" s="730" t="s">
        <v>432</v>
      </c>
      <c r="B17" s="731" t="s">
        <v>1382</v>
      </c>
      <c r="C17" s="669"/>
      <c r="D17" s="668">
        <f>'APPENDIX PERS COSTS DETAILS'!F288</f>
        <v>5816930</v>
      </c>
      <c r="E17" s="668">
        <f>'8 OVERHEAD COSTS'!E270</f>
        <v>23000000</v>
      </c>
      <c r="F17" s="668">
        <f t="shared" si="2"/>
        <v>28816930</v>
      </c>
      <c r="G17" s="668"/>
      <c r="H17" s="656">
        <f t="shared" si="0"/>
        <v>28816930</v>
      </c>
    </row>
    <row r="18" spans="1:8" s="10" customFormat="1" x14ac:dyDescent="0.35">
      <c r="A18" s="730" t="s">
        <v>408</v>
      </c>
      <c r="B18" s="731" t="s">
        <v>1383</v>
      </c>
      <c r="C18" s="668">
        <f>'APPENDIX PERS COSTS DETAILS'!F313</f>
        <v>7746278.6399999997</v>
      </c>
      <c r="D18" s="668">
        <f>'APPENDIX PERS COSTS DETAILS'!F316</f>
        <v>5729815</v>
      </c>
      <c r="E18" s="668">
        <f>'8 OVERHEAD COSTS'!E293</f>
        <v>9791411</v>
      </c>
      <c r="F18" s="668">
        <f t="shared" si="2"/>
        <v>23267504.640000001</v>
      </c>
      <c r="G18" s="668">
        <f>'10 SUMMARY OF CAP EXP'!E13</f>
        <v>400000000</v>
      </c>
      <c r="H18" s="656">
        <f t="shared" si="0"/>
        <v>423267504.63999999</v>
      </c>
    </row>
    <row r="19" spans="1:8" s="10" customFormat="1" x14ac:dyDescent="0.35">
      <c r="A19" s="730" t="s">
        <v>411</v>
      </c>
      <c r="B19" s="731" t="s">
        <v>1384</v>
      </c>
      <c r="C19" s="668">
        <f>'APPENDIX PERS COSTS DETAILS'!F360</f>
        <v>475587170</v>
      </c>
      <c r="D19" s="669"/>
      <c r="E19" s="668">
        <f>'8 OVERHEAD COSTS'!E361</f>
        <v>2497832176</v>
      </c>
      <c r="F19" s="668">
        <f t="shared" si="2"/>
        <v>2973419346</v>
      </c>
      <c r="G19" s="668">
        <f>'10 SUMMARY OF CAP EXP'!E14</f>
        <v>1887000000</v>
      </c>
      <c r="H19" s="656">
        <f t="shared" si="0"/>
        <v>4860419346</v>
      </c>
    </row>
    <row r="20" spans="1:8" s="10" customFormat="1" x14ac:dyDescent="0.35">
      <c r="A20" s="730" t="s">
        <v>1280</v>
      </c>
      <c r="B20" s="731" t="s">
        <v>1385</v>
      </c>
      <c r="C20" s="668">
        <f>'APPENDIX PERS COSTS DETAILS'!F383</f>
        <v>0</v>
      </c>
      <c r="D20" s="668">
        <f>'APPENDIX PERS COSTS DETAILS'!F386</f>
        <v>5729815</v>
      </c>
      <c r="E20" s="668">
        <f>'8 OVERHEAD COSTS'!E377</f>
        <v>7840000</v>
      </c>
      <c r="F20" s="668">
        <f t="shared" si="2"/>
        <v>13569815</v>
      </c>
      <c r="G20" s="668"/>
      <c r="H20" s="656">
        <f t="shared" si="0"/>
        <v>13569815</v>
      </c>
    </row>
    <row r="21" spans="1:8" s="10" customFormat="1" ht="46.5" x14ac:dyDescent="0.35">
      <c r="A21" s="730" t="s">
        <v>412</v>
      </c>
      <c r="B21" s="731" t="s">
        <v>1386</v>
      </c>
      <c r="C21" s="208">
        <f>'APPENDIX PERS COSTS DETAILS'!F409</f>
        <v>245597105.40000004</v>
      </c>
      <c r="D21" s="208">
        <f>'APPENDIX PERS COSTS DETAILS'!F420</f>
        <v>11245165</v>
      </c>
      <c r="E21" s="208">
        <f>'8 OVERHEAD COSTS'!E403</f>
        <v>535826191</v>
      </c>
      <c r="F21" s="668">
        <f t="shared" si="2"/>
        <v>792668461.4000001</v>
      </c>
      <c r="G21" s="208">
        <f>'10 SUMMARY OF CAP EXP'!E15</f>
        <v>169000000</v>
      </c>
      <c r="H21" s="656">
        <f t="shared" si="0"/>
        <v>961668461.4000001</v>
      </c>
    </row>
    <row r="22" spans="1:8" s="10" customFormat="1" x14ac:dyDescent="0.35">
      <c r="A22" s="730" t="s">
        <v>989</v>
      </c>
      <c r="B22" s="731" t="s">
        <v>1445</v>
      </c>
      <c r="C22" s="208">
        <f>'APPENDIX PERS COSTS DETAILS'!F447</f>
        <v>135539317</v>
      </c>
      <c r="D22" s="667"/>
      <c r="E22" s="208">
        <f>'8 OVERHEAD COSTS'!E418</f>
        <v>37460860</v>
      </c>
      <c r="F22" s="668">
        <f t="shared" si="2"/>
        <v>173000177</v>
      </c>
      <c r="G22" s="208">
        <f>'10 SUMMARY OF CAP EXP'!E16</f>
        <v>128750000</v>
      </c>
      <c r="H22" s="656">
        <f t="shared" si="0"/>
        <v>301750177</v>
      </c>
    </row>
    <row r="23" spans="1:8" s="10" customFormat="1" x14ac:dyDescent="0.35">
      <c r="A23" s="730" t="s">
        <v>988</v>
      </c>
      <c r="B23" s="731" t="s">
        <v>1388</v>
      </c>
      <c r="C23" s="208">
        <f>'APPENDIX PERS COSTS DETAILS'!F474</f>
        <v>139619833</v>
      </c>
      <c r="D23" s="667"/>
      <c r="E23" s="208">
        <f>'8 OVERHEAD COSTS'!E438</f>
        <v>83409944</v>
      </c>
      <c r="F23" s="668">
        <f t="shared" si="2"/>
        <v>223029777</v>
      </c>
      <c r="G23" s="208">
        <f>'10 SUMMARY OF CAP EXP'!E17</f>
        <v>765200000</v>
      </c>
      <c r="H23" s="656">
        <f t="shared" si="0"/>
        <v>988229777</v>
      </c>
    </row>
    <row r="24" spans="1:8" s="10" customFormat="1" x14ac:dyDescent="0.35">
      <c r="A24" s="730" t="s">
        <v>987</v>
      </c>
      <c r="B24" s="731" t="s">
        <v>1474</v>
      </c>
      <c r="C24" s="208">
        <f>'APPENDIX PERS COSTS DETAILS'!F501</f>
        <v>42575768.299999997</v>
      </c>
      <c r="D24" s="667"/>
      <c r="E24" s="208">
        <f>'8 OVERHEAD COSTS'!E461</f>
        <v>11162905</v>
      </c>
      <c r="F24" s="668">
        <f t="shared" si="2"/>
        <v>53738673.299999997</v>
      </c>
      <c r="G24" s="208">
        <f>'10 SUMMARY OF CAP EXP'!E18</f>
        <v>60000000</v>
      </c>
      <c r="H24" s="656">
        <f t="shared" si="0"/>
        <v>113738673.3</v>
      </c>
    </row>
    <row r="25" spans="1:8" s="10" customFormat="1" x14ac:dyDescent="0.35">
      <c r="A25" s="730" t="s">
        <v>1283</v>
      </c>
      <c r="B25" s="731" t="s">
        <v>980</v>
      </c>
      <c r="C25" s="208">
        <f>'APPENDIX PERS COSTS DETAILS'!F529</f>
        <v>83451492</v>
      </c>
      <c r="D25" s="667"/>
      <c r="E25" s="208">
        <f>'8 OVERHEAD COSTS'!E482</f>
        <v>21310395</v>
      </c>
      <c r="F25" s="668">
        <f t="shared" si="2"/>
        <v>104761887</v>
      </c>
      <c r="G25" s="208">
        <f>'11 CAPITAL EXPENDITURE'!F316</f>
        <v>196450000</v>
      </c>
      <c r="H25" s="656">
        <f t="shared" si="0"/>
        <v>301211887</v>
      </c>
    </row>
    <row r="26" spans="1:8" s="10" customFormat="1" x14ac:dyDescent="0.35">
      <c r="A26" s="730" t="s">
        <v>413</v>
      </c>
      <c r="B26" s="731" t="s">
        <v>1126</v>
      </c>
      <c r="C26" s="667"/>
      <c r="D26" s="208">
        <f>'APPENDIX PERS COSTS DETAILS'!F555</f>
        <v>5729815</v>
      </c>
      <c r="E26" s="208">
        <f>'8 OVERHEAD COSTS'!E523</f>
        <v>7085000</v>
      </c>
      <c r="F26" s="668">
        <f t="shared" si="2"/>
        <v>12814815</v>
      </c>
      <c r="G26" s="208"/>
      <c r="H26" s="656">
        <f t="shared" si="0"/>
        <v>12814815</v>
      </c>
    </row>
    <row r="27" spans="1:8" s="10" customFormat="1" x14ac:dyDescent="0.35">
      <c r="A27" s="730" t="s">
        <v>1282</v>
      </c>
      <c r="B27" s="731" t="s">
        <v>156</v>
      </c>
      <c r="C27" s="667"/>
      <c r="D27" s="208">
        <f>'APPENDIX PERS COSTS DETAILS'!F582</f>
        <v>5729815</v>
      </c>
      <c r="E27" s="208">
        <f>'8 OVERHEAD COSTS'!E502</f>
        <v>212471205</v>
      </c>
      <c r="F27" s="668">
        <f t="shared" si="2"/>
        <v>218201020</v>
      </c>
      <c r="G27" s="208"/>
      <c r="H27" s="656">
        <f t="shared" si="0"/>
        <v>218201020</v>
      </c>
    </row>
    <row r="28" spans="1:8" s="10" customFormat="1" ht="46.5" x14ac:dyDescent="0.35">
      <c r="A28" s="730" t="s">
        <v>400</v>
      </c>
      <c r="B28" s="731" t="s">
        <v>1444</v>
      </c>
      <c r="C28" s="208">
        <f>'APPENDIX PERS COSTS DETAILS'!F606</f>
        <v>89543185</v>
      </c>
      <c r="D28" s="208">
        <f>'APPENDIX PERS COSTS DETAILS'!F611</f>
        <v>11245165</v>
      </c>
      <c r="E28" s="208">
        <f>'8 OVERHEAD COSTS'!E549</f>
        <v>98801556</v>
      </c>
      <c r="F28" s="668">
        <f t="shared" si="2"/>
        <v>199589906</v>
      </c>
      <c r="G28" s="208">
        <f>'10 SUMMARY OF CAP EXP'!E20</f>
        <v>1600000000</v>
      </c>
      <c r="H28" s="656">
        <f t="shared" si="0"/>
        <v>1799589906</v>
      </c>
    </row>
    <row r="29" spans="1:8" s="10" customFormat="1" ht="46.5" x14ac:dyDescent="0.35">
      <c r="A29" s="730" t="s">
        <v>414</v>
      </c>
      <c r="B29" s="731" t="s">
        <v>1456</v>
      </c>
      <c r="C29" s="208">
        <f>'APPENDIX PERS COSTS DETAILS'!F634</f>
        <v>118597663</v>
      </c>
      <c r="D29" s="208">
        <f>'APPENDIX PERS COSTS DETAILS'!F637+'APPENDIX PERS COSTS DETAILS'!F641+'APPENDIX PERS COSTS DETAILS'!F644</f>
        <v>12081428235</v>
      </c>
      <c r="E29" s="208">
        <f>'8 OVERHEAD COSTS'!E573</f>
        <v>129893379</v>
      </c>
      <c r="F29" s="668">
        <f t="shared" si="2"/>
        <v>12329919277</v>
      </c>
      <c r="G29" s="208">
        <f>'10 SUMMARY OF CAP EXP'!E21</f>
        <v>393037035</v>
      </c>
      <c r="H29" s="656">
        <f t="shared" si="0"/>
        <v>12722956312</v>
      </c>
    </row>
    <row r="30" spans="1:8" s="10" customFormat="1" ht="28.5" customHeight="1" x14ac:dyDescent="0.35">
      <c r="A30" s="730" t="s">
        <v>1284</v>
      </c>
      <c r="B30" s="731" t="s">
        <v>1391</v>
      </c>
      <c r="C30" s="208">
        <f>'APPENDIX PERS COSTS DETAILS'!F668</f>
        <v>0</v>
      </c>
      <c r="D30" s="208">
        <f>'APPENDIX PERS COSTS DETAILS'!F671</f>
        <v>5729815</v>
      </c>
      <c r="E30" s="208">
        <f>'8 OVERHEAD COSTS'!E595</f>
        <v>17200000</v>
      </c>
      <c r="F30" s="668">
        <f t="shared" si="2"/>
        <v>22929815</v>
      </c>
      <c r="G30" s="208">
        <f>'11 CAPITAL EXPENDITURE'!F380</f>
        <v>25000000</v>
      </c>
      <c r="H30" s="656">
        <f t="shared" si="0"/>
        <v>47929815</v>
      </c>
    </row>
    <row r="31" spans="1:8" s="10" customFormat="1" ht="28.5" customHeight="1" x14ac:dyDescent="0.35">
      <c r="A31" s="730" t="s">
        <v>415</v>
      </c>
      <c r="B31" s="731" t="s">
        <v>1392</v>
      </c>
      <c r="C31" s="208">
        <f>'APPENDIX PERS COSTS DETAILS'!F698</f>
        <v>136019328</v>
      </c>
      <c r="D31" s="208">
        <f>'APPENDIX PERS COSTS DETAILS'!F701</f>
        <v>12666413</v>
      </c>
      <c r="E31" s="208">
        <f>'8 OVERHEAD COSTS'!E625</f>
        <v>73825800</v>
      </c>
      <c r="F31" s="668">
        <f t="shared" si="1"/>
        <v>222511541</v>
      </c>
      <c r="G31" s="208">
        <f>'10 SUMMARY OF CAP EXP'!E23</f>
        <v>104700000</v>
      </c>
      <c r="H31" s="656">
        <f t="shared" si="0"/>
        <v>327211541</v>
      </c>
    </row>
    <row r="32" spans="1:8" s="10" customFormat="1" ht="46.5" x14ac:dyDescent="0.35">
      <c r="A32" s="730" t="s">
        <v>416</v>
      </c>
      <c r="B32" s="731" t="s">
        <v>1393</v>
      </c>
      <c r="C32" s="208">
        <f>'APPENDIX PERS COSTS DETAILS'!F725</f>
        <v>165693040</v>
      </c>
      <c r="D32" s="208">
        <f>'APPENDIX PERS COSTS DETAILS'!F729</f>
        <v>18094648</v>
      </c>
      <c r="E32" s="208">
        <f>'8 OVERHEAD COSTS'!E647</f>
        <v>33463210</v>
      </c>
      <c r="F32" s="668">
        <f>SUM(C32:E32)</f>
        <v>217250898</v>
      </c>
      <c r="G32" s="208">
        <f>'10 SUMMARY OF CAP EXP'!E24</f>
        <v>83488265</v>
      </c>
      <c r="H32" s="656">
        <f t="shared" si="0"/>
        <v>300739163</v>
      </c>
    </row>
    <row r="33" spans="1:8" s="10" customFormat="1" x14ac:dyDescent="0.35">
      <c r="A33" s="730" t="s">
        <v>417</v>
      </c>
      <c r="B33" s="731" t="s">
        <v>1394</v>
      </c>
      <c r="C33" s="208">
        <f>'APPENDIX PERS COSTS DETAILS'!F753</f>
        <v>33202523.48</v>
      </c>
      <c r="D33" s="208">
        <f>'APPENDIX PERS COSTS DETAILS'!F759</f>
        <v>43580615</v>
      </c>
      <c r="E33" s="208">
        <f>'8 OVERHEAD COSTS'!E671</f>
        <v>16647716</v>
      </c>
      <c r="F33" s="668">
        <f>SUM(C33:E33)</f>
        <v>93430854.480000004</v>
      </c>
      <c r="G33" s="208">
        <f>'11 CAPITAL EXPENDITURE'!F426</f>
        <v>70000000</v>
      </c>
      <c r="H33" s="656">
        <f t="shared" si="0"/>
        <v>163430854.48000002</v>
      </c>
    </row>
    <row r="34" spans="1:8" s="10" customFormat="1" x14ac:dyDescent="0.35">
      <c r="A34" s="730" t="s">
        <v>418</v>
      </c>
      <c r="B34" s="731" t="s">
        <v>1395</v>
      </c>
      <c r="C34" s="208">
        <f>'APPENDIX PERS COSTS DETAILS'!F783</f>
        <v>31686285</v>
      </c>
      <c r="D34" s="208">
        <f>'APPENDIX PERS COSTS DETAILS'!F789</f>
        <v>45640615</v>
      </c>
      <c r="E34" s="208">
        <f>'8 OVERHEAD COSTS'!E691</f>
        <v>3549382</v>
      </c>
      <c r="F34" s="668">
        <f>SUM(C34:E34)</f>
        <v>80876282</v>
      </c>
      <c r="G34" s="208">
        <f>'10 SUMMARY OF CAP EXP'!E26</f>
        <v>276417855</v>
      </c>
      <c r="H34" s="656">
        <f t="shared" si="0"/>
        <v>357294137</v>
      </c>
    </row>
    <row r="35" spans="1:8" s="10" customFormat="1" x14ac:dyDescent="0.35">
      <c r="A35" s="730" t="s">
        <v>431</v>
      </c>
      <c r="B35" s="731" t="s">
        <v>1035</v>
      </c>
      <c r="C35" s="208">
        <f>'APPENDIX PERS COSTS DETAILS'!F815</f>
        <v>26547450.119999997</v>
      </c>
      <c r="D35" s="208">
        <f>'APPENDIX PERS COSTS DETAILS'!F818</f>
        <v>11376000</v>
      </c>
      <c r="E35" s="208">
        <f>'8 OVERHEAD COSTS'!E713</f>
        <v>2869090</v>
      </c>
      <c r="F35" s="668">
        <f>SUM(C35:E35)</f>
        <v>40792540.119999997</v>
      </c>
      <c r="G35" s="208"/>
      <c r="H35" s="656">
        <f t="shared" si="0"/>
        <v>40792540.119999997</v>
      </c>
    </row>
    <row r="36" spans="1:8" s="10" customFormat="1" ht="33.75" customHeight="1" thickBot="1" x14ac:dyDescent="0.4">
      <c r="A36" s="730" t="s">
        <v>419</v>
      </c>
      <c r="B36" s="731" t="s">
        <v>159</v>
      </c>
      <c r="C36" s="208">
        <f>'APPENDIX PERS COSTS DETAILS'!F843</f>
        <v>49451085</v>
      </c>
      <c r="D36" s="208">
        <f>'APPENDIX PERS COSTS DETAILS'!F847</f>
        <v>40212380</v>
      </c>
      <c r="E36" s="208">
        <f>'8 OVERHEAD COSTS'!E737</f>
        <v>24046380</v>
      </c>
      <c r="F36" s="668">
        <f>SUM(C36:E36)</f>
        <v>113709845</v>
      </c>
      <c r="G36" s="208">
        <f>'10 SUMMARY OF CAP EXP'!E27</f>
        <v>820000000</v>
      </c>
      <c r="H36" s="656">
        <f t="shared" si="0"/>
        <v>933709845</v>
      </c>
    </row>
    <row r="37" spans="1:8" s="10" customFormat="1" ht="24" thickBot="1" x14ac:dyDescent="0.4">
      <c r="A37" s="99"/>
      <c r="B37" s="16" t="s">
        <v>1430</v>
      </c>
      <c r="C37" s="670">
        <f>SUM(C6:C36)</f>
        <v>3817024406.9400005</v>
      </c>
      <c r="D37" s="654">
        <f>SUM(D6:D36)</f>
        <v>12501344241</v>
      </c>
      <c r="E37" s="654">
        <f>SUM(E6:E36)</f>
        <v>9213892385</v>
      </c>
      <c r="F37" s="211">
        <f>SUM(F6:F36)</f>
        <v>25532261032.939995</v>
      </c>
      <c r="G37" s="211">
        <f>'10 SUMMARY OF CAP EXP'!E28</f>
        <v>14450679055</v>
      </c>
      <c r="H37" s="211">
        <f>SUM(F37:G37)</f>
        <v>39982940087.939995</v>
      </c>
    </row>
    <row r="38" spans="1:8" s="11" customFormat="1" thickBot="1" x14ac:dyDescent="0.35">
      <c r="A38" s="100" t="s">
        <v>87</v>
      </c>
      <c r="B38" s="24" t="s">
        <v>80</v>
      </c>
      <c r="C38" s="671"/>
      <c r="D38" s="654"/>
      <c r="E38" s="672"/>
      <c r="F38" s="211"/>
      <c r="G38" s="672"/>
      <c r="H38" s="211"/>
    </row>
    <row r="39" spans="1:8" s="10" customFormat="1" ht="46.5" x14ac:dyDescent="0.35">
      <c r="A39" s="101" t="s">
        <v>401</v>
      </c>
      <c r="B39" s="23" t="s">
        <v>160</v>
      </c>
      <c r="C39" s="668">
        <f>'APPENDIX PERS COSTS DETAILS'!F871</f>
        <v>529605358</v>
      </c>
      <c r="D39" s="668">
        <f>'APPENDIX PERS COSTS DETAILS'!F880</f>
        <v>11158050</v>
      </c>
      <c r="E39" s="668">
        <f>'8 OVERHEAD COSTS'!E766-'8 OVERHEAD COSTS'!E762-'8 OVERHEAD COSTS'!E763</f>
        <v>28776018</v>
      </c>
      <c r="F39" s="668">
        <f t="shared" ref="F39:F67" si="3">SUM(C39:E39)</f>
        <v>569539426</v>
      </c>
      <c r="G39" s="668">
        <f>'10 SUMMARY OF CAP EXP'!E30</f>
        <v>9636166953</v>
      </c>
      <c r="H39" s="652">
        <f t="shared" ref="H39:H50" si="4">SUM(F39:G39)</f>
        <v>10205706379</v>
      </c>
    </row>
    <row r="40" spans="1:8" s="10" customFormat="1" x14ac:dyDescent="0.35">
      <c r="A40" s="101" t="s">
        <v>1286</v>
      </c>
      <c r="B40" s="23" t="s">
        <v>1443</v>
      </c>
      <c r="C40" s="668">
        <f>'APPENDIX PERS COSTS DETAILS'!F908</f>
        <v>77775618</v>
      </c>
      <c r="D40" s="669"/>
      <c r="E40" s="668">
        <f>'8 OVERHEAD COSTS'!E763</f>
        <v>66059305</v>
      </c>
      <c r="F40" s="668">
        <f t="shared" si="3"/>
        <v>143834923</v>
      </c>
      <c r="G40" s="668">
        <f>'10 SUMMARY OF CAP EXP'!E31</f>
        <v>3420000000</v>
      </c>
      <c r="H40" s="652">
        <f t="shared" si="4"/>
        <v>3563834923</v>
      </c>
    </row>
    <row r="41" spans="1:8" s="10" customFormat="1" ht="46.5" x14ac:dyDescent="0.35">
      <c r="A41" s="101" t="s">
        <v>1287</v>
      </c>
      <c r="B41" s="23" t="s">
        <v>1442</v>
      </c>
      <c r="C41" s="668">
        <f>'APPENDIX PERS COSTS DETAILS'!F933</f>
        <v>330597402</v>
      </c>
      <c r="D41" s="669"/>
      <c r="E41" s="668">
        <f>'8 OVERHEAD COSTS'!E762</f>
        <v>15523948</v>
      </c>
      <c r="F41" s="668">
        <f t="shared" si="3"/>
        <v>346121350</v>
      </c>
      <c r="G41" s="668">
        <f>'10 SUMMARY OF CAP EXP'!E32</f>
        <v>3984456553</v>
      </c>
      <c r="H41" s="652">
        <f t="shared" si="4"/>
        <v>4330577903</v>
      </c>
    </row>
    <row r="42" spans="1:8" s="10" customFormat="1" ht="46.5" x14ac:dyDescent="0.35">
      <c r="A42" s="101" t="s">
        <v>1285</v>
      </c>
      <c r="B42" s="23" t="s">
        <v>1240</v>
      </c>
      <c r="C42" s="668">
        <f>'APPENDIX PERS COSTS DETAILS'!F957</f>
        <v>8400000</v>
      </c>
      <c r="D42" s="668">
        <f>'APPENDIX PERS COSTS DETAILS'!F960</f>
        <v>5729815</v>
      </c>
      <c r="E42" s="668">
        <f>'8 OVERHEAD COSTS'!E791</f>
        <v>27575000</v>
      </c>
      <c r="F42" s="668">
        <f t="shared" si="3"/>
        <v>41704815</v>
      </c>
      <c r="G42" s="668">
        <f>'10 SUMMARY OF CAP EXP'!E33</f>
        <v>2910000000</v>
      </c>
      <c r="H42" s="652">
        <f t="shared" si="4"/>
        <v>2951704815</v>
      </c>
    </row>
    <row r="43" spans="1:8" s="10" customFormat="1" x14ac:dyDescent="0.35">
      <c r="A43" s="101" t="s">
        <v>402</v>
      </c>
      <c r="B43" s="23" t="s">
        <v>1124</v>
      </c>
      <c r="C43" s="668">
        <f>'APPENDIX PERS COSTS DETAILS'!F984</f>
        <v>35846115</v>
      </c>
      <c r="D43" s="668">
        <f>'APPENDIX PERS COSTS DETAILS'!F989</f>
        <v>11245165</v>
      </c>
      <c r="E43" s="668">
        <f>'8 OVERHEAD COSTS'!E814</f>
        <v>192205176</v>
      </c>
      <c r="F43" s="668">
        <f t="shared" si="3"/>
        <v>239296456</v>
      </c>
      <c r="G43" s="668">
        <f>'10 SUMMARY OF CAP EXP'!E34</f>
        <v>6018308389</v>
      </c>
      <c r="H43" s="652">
        <f t="shared" si="4"/>
        <v>6257604845</v>
      </c>
    </row>
    <row r="44" spans="1:8" s="10" customFormat="1" ht="31.5" customHeight="1" x14ac:dyDescent="0.35">
      <c r="A44" s="101" t="s">
        <v>433</v>
      </c>
      <c r="B44" s="23" t="s">
        <v>1117</v>
      </c>
      <c r="C44" s="668">
        <f>'APPENDIX PERS COSTS DETAILS'!F1013</f>
        <v>32130716</v>
      </c>
      <c r="D44" s="668">
        <f>'APPENDIX PERS COSTS DETAILS'!F1018</f>
        <v>11245165</v>
      </c>
      <c r="E44" s="668">
        <f>'8 OVERHEAD COSTS'!E845</f>
        <v>392100000</v>
      </c>
      <c r="F44" s="668">
        <f t="shared" si="3"/>
        <v>435475881</v>
      </c>
      <c r="G44" s="668">
        <f>'10 SUMMARY OF CAP EXP'!E35</f>
        <v>305000000</v>
      </c>
      <c r="H44" s="652">
        <f t="shared" si="4"/>
        <v>740475881</v>
      </c>
    </row>
    <row r="45" spans="1:8" s="10" customFormat="1" x14ac:dyDescent="0.35">
      <c r="A45" s="101" t="s">
        <v>3000</v>
      </c>
      <c r="B45" s="23" t="s">
        <v>3153</v>
      </c>
      <c r="C45" s="668"/>
      <c r="D45" s="668"/>
      <c r="E45" s="668">
        <f>'8 OVERHEAD COSTS'!E868</f>
        <v>15000000</v>
      </c>
      <c r="F45" s="668">
        <f t="shared" si="3"/>
        <v>15000000</v>
      </c>
      <c r="G45" s="668"/>
      <c r="H45" s="652">
        <f>SUM(F45:G45)</f>
        <v>15000000</v>
      </c>
    </row>
    <row r="46" spans="1:8" s="10" customFormat="1" x14ac:dyDescent="0.35">
      <c r="A46" s="101" t="s">
        <v>434</v>
      </c>
      <c r="B46" s="23" t="s">
        <v>1397</v>
      </c>
      <c r="C46" s="668">
        <f>'APPENDIX PERS COSTS DETAILS'!F1042</f>
        <v>160228634</v>
      </c>
      <c r="D46" s="668">
        <f>'APPENDIX PERS COSTS DETAILS'!F1045</f>
        <v>5428235</v>
      </c>
      <c r="E46" s="668">
        <f>'8 OVERHEAD COSTS'!E907</f>
        <v>3589720000</v>
      </c>
      <c r="F46" s="668">
        <f t="shared" si="3"/>
        <v>3755376869</v>
      </c>
      <c r="G46" s="668"/>
      <c r="H46" s="652">
        <f t="shared" si="4"/>
        <v>3755376869</v>
      </c>
    </row>
    <row r="47" spans="1:8" s="10" customFormat="1" x14ac:dyDescent="0.35">
      <c r="A47" s="101" t="s">
        <v>434</v>
      </c>
      <c r="B47" s="23" t="s">
        <v>3336</v>
      </c>
      <c r="C47" s="668"/>
      <c r="D47" s="668"/>
      <c r="E47" s="668">
        <f>'8 OVERHEAD COSTS'!E919</f>
        <v>13245000000</v>
      </c>
      <c r="F47" s="668">
        <f t="shared" si="3"/>
        <v>13245000000</v>
      </c>
      <c r="G47" s="668"/>
      <c r="H47" s="652">
        <f t="shared" si="4"/>
        <v>13245000000</v>
      </c>
    </row>
    <row r="48" spans="1:8" s="10" customFormat="1" x14ac:dyDescent="0.35">
      <c r="A48" s="101" t="s">
        <v>434</v>
      </c>
      <c r="B48" s="23" t="s">
        <v>3068</v>
      </c>
      <c r="C48" s="668"/>
      <c r="D48" s="668"/>
      <c r="E48" s="668">
        <f>'8 OVERHEAD COSTS'!E931</f>
        <v>7233805769</v>
      </c>
      <c r="F48" s="668">
        <f t="shared" si="3"/>
        <v>7233805769</v>
      </c>
      <c r="G48" s="668"/>
      <c r="H48" s="652">
        <f t="shared" si="4"/>
        <v>7233805769</v>
      </c>
    </row>
    <row r="49" spans="1:8" s="10" customFormat="1" ht="46.5" x14ac:dyDescent="0.35">
      <c r="A49" s="101" t="s">
        <v>435</v>
      </c>
      <c r="B49" s="23" t="s">
        <v>1398</v>
      </c>
      <c r="C49" s="668">
        <f>'APPENDIX PERS COSTS DETAILS'!F1068</f>
        <v>88042420</v>
      </c>
      <c r="D49" s="668">
        <f>'APPENDIX PERS COSTS DETAILS'!F1076</f>
        <v>11245165</v>
      </c>
      <c r="E49" s="668">
        <f>'8 OVERHEAD COSTS'!E962</f>
        <v>52885097</v>
      </c>
      <c r="F49" s="668">
        <f t="shared" si="3"/>
        <v>152172682</v>
      </c>
      <c r="G49" s="668">
        <f>'10 SUMMARY OF CAP EXP'!E36</f>
        <v>1015000000</v>
      </c>
      <c r="H49" s="652">
        <f>SUM(F49:G49)</f>
        <v>1167172682</v>
      </c>
    </row>
    <row r="50" spans="1:8" s="10" customFormat="1" x14ac:dyDescent="0.35">
      <c r="A50" s="101" t="s">
        <v>1288</v>
      </c>
      <c r="B50" s="23" t="s">
        <v>1399</v>
      </c>
      <c r="C50" s="668">
        <f>'APPENDIX PERS COSTS DETAILS'!F1069+'APPENDIX PERS COSTS DETAILS'!F1070</f>
        <v>5428235</v>
      </c>
      <c r="D50" s="669"/>
      <c r="E50" s="668">
        <f>'8 OVERHEAD COSTS'!E960</f>
        <v>14000000</v>
      </c>
      <c r="F50" s="668">
        <f t="shared" si="3"/>
        <v>19428235</v>
      </c>
      <c r="G50" s="668">
        <f>'11 CAPITAL EXPENDITURE'!F755</f>
        <v>1861587500</v>
      </c>
      <c r="H50" s="652">
        <f t="shared" si="4"/>
        <v>1881015735</v>
      </c>
    </row>
    <row r="51" spans="1:8" s="10" customFormat="1" x14ac:dyDescent="0.35">
      <c r="A51" s="58" t="s">
        <v>981</v>
      </c>
      <c r="B51" s="17" t="s">
        <v>975</v>
      </c>
      <c r="C51" s="208">
        <f>'APPENDIX PERS COSTS DETAILS'!F1128</f>
        <v>0</v>
      </c>
      <c r="D51" s="208">
        <f>'APPENDIX PERS COSTS DETAILS'!F1131</f>
        <v>5729815</v>
      </c>
      <c r="E51" s="208">
        <f>'8 OVERHEAD COSTS'!E980</f>
        <v>7745000</v>
      </c>
      <c r="F51" s="668">
        <f t="shared" si="3"/>
        <v>13474815</v>
      </c>
      <c r="G51" s="208">
        <f>'10 SUMMARY OF CAP EXP'!E38</f>
        <v>300000000</v>
      </c>
      <c r="H51" s="652">
        <f t="shared" ref="H51:H68" si="5">SUM(F51:G51)</f>
        <v>313474815</v>
      </c>
    </row>
    <row r="52" spans="1:8" s="10" customFormat="1" x14ac:dyDescent="0.35">
      <c r="A52" s="58" t="s">
        <v>1293</v>
      </c>
      <c r="B52" s="17" t="s">
        <v>166</v>
      </c>
      <c r="C52" s="208">
        <f>'APPENDIX PERS COSTS DETAILS'!F1157</f>
        <v>60610806</v>
      </c>
      <c r="D52" s="208">
        <f>'APPENDIX PERS COSTS DETAILS'!F1162</f>
        <v>11245165</v>
      </c>
      <c r="E52" s="208">
        <f>'8 OVERHEAD COSTS'!E999</f>
        <v>42638760</v>
      </c>
      <c r="F52" s="668">
        <f t="shared" si="3"/>
        <v>114494731</v>
      </c>
      <c r="G52" s="208">
        <f>'10 SUMMARY OF CAP EXP'!E39</f>
        <v>2210000000</v>
      </c>
      <c r="H52" s="652">
        <f t="shared" si="5"/>
        <v>2324494731</v>
      </c>
    </row>
    <row r="53" spans="1:8" s="10" customFormat="1" ht="46.5" x14ac:dyDescent="0.35">
      <c r="A53" s="58" t="s">
        <v>549</v>
      </c>
      <c r="B53" s="19" t="s">
        <v>1441</v>
      </c>
      <c r="C53" s="686">
        <f>'APPENDIX PERS COSTS DETAILS'!F1217</f>
        <v>52894063</v>
      </c>
      <c r="D53" s="674"/>
      <c r="E53" s="208">
        <f>'8 OVERHEAD COSTS'!E1014</f>
        <v>112442060</v>
      </c>
      <c r="F53" s="668">
        <f t="shared" si="3"/>
        <v>165336123</v>
      </c>
      <c r="G53" s="208">
        <f>'10 SUMMARY OF CAP EXP'!E40</f>
        <v>200000000</v>
      </c>
      <c r="H53" s="652">
        <f t="shared" si="5"/>
        <v>365336123</v>
      </c>
    </row>
    <row r="54" spans="1:8" s="10" customFormat="1" x14ac:dyDescent="0.35">
      <c r="A54" s="58" t="s">
        <v>440</v>
      </c>
      <c r="B54" s="17" t="s">
        <v>1400</v>
      </c>
      <c r="C54" s="208">
        <f>'APPENDIX PERS COSTS DETAILS'!F1187</f>
        <v>18018755</v>
      </c>
      <c r="D54" s="208">
        <f>'APPENDIX PERS COSTS DETAILS'!F1190</f>
        <v>4228235</v>
      </c>
      <c r="E54" s="208">
        <f>'8 OVERHEAD COSTS'!E1033</f>
        <v>5104260</v>
      </c>
      <c r="F54" s="668">
        <f t="shared" si="3"/>
        <v>27351250</v>
      </c>
      <c r="G54" s="208">
        <f>'10 SUMMARY OF CAP EXP'!E41</f>
        <v>42000000</v>
      </c>
      <c r="H54" s="652">
        <f t="shared" si="5"/>
        <v>69351250</v>
      </c>
    </row>
    <row r="55" spans="1:8" s="10" customFormat="1" ht="27.75" customHeight="1" x14ac:dyDescent="0.35">
      <c r="A55" s="58" t="s">
        <v>436</v>
      </c>
      <c r="B55" s="17" t="s">
        <v>1401</v>
      </c>
      <c r="C55" s="667"/>
      <c r="D55" s="208">
        <f>'APPENDIX PERS COSTS DETAILS'!F1243</f>
        <v>5729815</v>
      </c>
      <c r="E55" s="208">
        <f>'8 OVERHEAD COSTS'!E1060</f>
        <v>27320000</v>
      </c>
      <c r="F55" s="668">
        <f t="shared" si="3"/>
        <v>33049815</v>
      </c>
      <c r="G55" s="208"/>
      <c r="H55" s="652">
        <f t="shared" si="5"/>
        <v>33049815</v>
      </c>
    </row>
    <row r="56" spans="1:8" s="10" customFormat="1" x14ac:dyDescent="0.35">
      <c r="A56" s="58" t="s">
        <v>437</v>
      </c>
      <c r="B56" s="17" t="s">
        <v>1022</v>
      </c>
      <c r="C56" s="667"/>
      <c r="D56" s="208">
        <f>'APPENDIX PERS COSTS DETAILS'!F1270</f>
        <v>5729815</v>
      </c>
      <c r="E56" s="208">
        <f>'8 OVERHEAD COSTS'!E1084</f>
        <v>82665000</v>
      </c>
      <c r="F56" s="668">
        <f t="shared" si="3"/>
        <v>88394815</v>
      </c>
      <c r="G56" s="208">
        <f>'10 SUMMARY OF CAP EXP'!E42</f>
        <v>20000000</v>
      </c>
      <c r="H56" s="652">
        <f t="shared" si="5"/>
        <v>108394815</v>
      </c>
    </row>
    <row r="57" spans="1:8" s="10" customFormat="1" ht="46.5" x14ac:dyDescent="0.35">
      <c r="A57" s="58" t="s">
        <v>438</v>
      </c>
      <c r="B57" s="17" t="s">
        <v>1402</v>
      </c>
      <c r="C57" s="208">
        <f>'APPENDIX PERS COSTS DETAILS'!F1297</f>
        <v>87074695</v>
      </c>
      <c r="D57" s="208">
        <f>'APPENDIX PERS COSTS DETAILS'!F1302</f>
        <v>11245165</v>
      </c>
      <c r="E57" s="208">
        <f>'8 OVERHEAD COSTS'!E1116</f>
        <v>23507978</v>
      </c>
      <c r="F57" s="668">
        <f t="shared" si="3"/>
        <v>121827838</v>
      </c>
      <c r="G57" s="208">
        <f>'10 SUMMARY OF CAP EXP'!E43</f>
        <v>646365948</v>
      </c>
      <c r="H57" s="652">
        <f t="shared" si="5"/>
        <v>768193786</v>
      </c>
    </row>
    <row r="58" spans="1:8" s="10" customFormat="1" ht="46.5" x14ac:dyDescent="0.35">
      <c r="A58" s="58" t="s">
        <v>1289</v>
      </c>
      <c r="B58" s="17" t="s">
        <v>1434</v>
      </c>
      <c r="C58" s="208">
        <f>'APPENDIX PERS COSTS DETAILS'!F1333</f>
        <v>205948761.63</v>
      </c>
      <c r="D58" s="667"/>
      <c r="E58" s="208">
        <f>'8 OVERHEAD COSTS'!E1160</f>
        <v>67411667</v>
      </c>
      <c r="F58" s="668">
        <f t="shared" si="3"/>
        <v>273360428.63</v>
      </c>
      <c r="G58" s="208">
        <f>'10 SUMMARY OF CAP EXP'!E44</f>
        <v>740000000</v>
      </c>
      <c r="H58" s="652">
        <f t="shared" si="5"/>
        <v>1013360428.63</v>
      </c>
    </row>
    <row r="59" spans="1:8" s="10" customFormat="1" x14ac:dyDescent="0.35">
      <c r="A59" s="58" t="s">
        <v>1290</v>
      </c>
      <c r="B59" s="17" t="s">
        <v>1403</v>
      </c>
      <c r="C59" s="667"/>
      <c r="D59" s="208">
        <f>'APPENDIX PERS COSTS DETAILS'!F1361</f>
        <v>5729815</v>
      </c>
      <c r="E59" s="208">
        <f>'8 OVERHEAD COSTS'!E1183</f>
        <v>5240000</v>
      </c>
      <c r="F59" s="668">
        <f t="shared" si="3"/>
        <v>10969815</v>
      </c>
      <c r="G59" s="208">
        <f>'10 SUMMARY OF CAP EXP'!E45</f>
        <v>115104800</v>
      </c>
      <c r="H59" s="652">
        <f t="shared" si="5"/>
        <v>126074615</v>
      </c>
    </row>
    <row r="60" spans="1:8" s="10" customFormat="1" x14ac:dyDescent="0.35">
      <c r="A60" s="58" t="s">
        <v>544</v>
      </c>
      <c r="B60" s="17" t="s">
        <v>2953</v>
      </c>
      <c r="C60" s="208">
        <f>'APPENDIX PERS COSTS DETAILS'!F1388</f>
        <v>46372946</v>
      </c>
      <c r="D60" s="667"/>
      <c r="E60" s="208">
        <f>'8 OVERHEAD COSTS'!E1206</f>
        <v>4025089</v>
      </c>
      <c r="F60" s="668">
        <f t="shared" si="3"/>
        <v>50398035</v>
      </c>
      <c r="G60" s="208">
        <f>'10 SUMMARY OF CAP EXP'!E46</f>
        <v>2405023335</v>
      </c>
      <c r="H60" s="652">
        <f t="shared" si="5"/>
        <v>2455421370</v>
      </c>
    </row>
    <row r="61" spans="1:8" s="10" customFormat="1" x14ac:dyDescent="0.35">
      <c r="A61" s="58" t="s">
        <v>439</v>
      </c>
      <c r="B61" s="17" t="s">
        <v>1405</v>
      </c>
      <c r="C61" s="208">
        <f>'APPENDIX PERS COSTS DETAILS'!F1411</f>
        <v>27554740</v>
      </c>
      <c r="D61" s="208">
        <f>'APPENDIX PERS COSTS DETAILS'!F1416</f>
        <v>11245165</v>
      </c>
      <c r="E61" s="208">
        <f>'8 OVERHEAD COSTS'!E1233</f>
        <v>32942380</v>
      </c>
      <c r="F61" s="668">
        <f t="shared" si="3"/>
        <v>71742285</v>
      </c>
      <c r="G61" s="208">
        <f>'10 SUMMARY OF CAP EXP'!E47</f>
        <v>1870000000</v>
      </c>
      <c r="H61" s="652">
        <f>SUM(F61:G61)</f>
        <v>1941742285</v>
      </c>
    </row>
    <row r="62" spans="1:8" s="10" customFormat="1" ht="35.25" customHeight="1" x14ac:dyDescent="0.35">
      <c r="A62" s="58" t="s">
        <v>403</v>
      </c>
      <c r="B62" s="17" t="s">
        <v>1406</v>
      </c>
      <c r="C62" s="208">
        <f>'APPENDIX PERS COSTS DETAILS'!F1438</f>
        <v>275878833.88</v>
      </c>
      <c r="D62" s="208">
        <f>'APPENDIX PERS COSTS DETAILS'!F1443</f>
        <v>11245165</v>
      </c>
      <c r="E62" s="208">
        <f>'8 OVERHEAD COSTS'!E1257-'8 OVERHEAD COSTS'!E1255</f>
        <v>22442307</v>
      </c>
      <c r="F62" s="668">
        <f t="shared" si="3"/>
        <v>309566305.88</v>
      </c>
      <c r="G62" s="208">
        <f>'10 SUMMARY OF CAP EXP'!E48</f>
        <v>40706031489</v>
      </c>
      <c r="H62" s="652">
        <f t="shared" si="5"/>
        <v>41015597794.879997</v>
      </c>
    </row>
    <row r="63" spans="1:8" s="10" customFormat="1" x14ac:dyDescent="0.35">
      <c r="A63" s="58" t="s">
        <v>2962</v>
      </c>
      <c r="B63" s="17" t="s">
        <v>2961</v>
      </c>
      <c r="C63" s="208"/>
      <c r="D63" s="208"/>
      <c r="E63" s="208">
        <f>'8 OVERHEAD COSTS'!E1268</f>
        <v>863029200</v>
      </c>
      <c r="F63" s="668">
        <f t="shared" si="3"/>
        <v>863029200</v>
      </c>
      <c r="G63" s="208"/>
      <c r="H63" s="652">
        <f t="shared" si="5"/>
        <v>863029200</v>
      </c>
    </row>
    <row r="64" spans="1:8" s="10" customFormat="1" ht="46.5" x14ac:dyDescent="0.35">
      <c r="A64" s="58" t="s">
        <v>1023</v>
      </c>
      <c r="B64" s="17" t="s">
        <v>1435</v>
      </c>
      <c r="C64" s="687">
        <f>'APPENDIX PERS COSTS DETAILS'!F1469</f>
        <v>73598046</v>
      </c>
      <c r="D64" s="667"/>
      <c r="E64" s="208">
        <f>'8 OVERHEAD COSTS'!E1292</f>
        <v>218387367</v>
      </c>
      <c r="F64" s="668">
        <f t="shared" si="3"/>
        <v>291985413</v>
      </c>
      <c r="G64" s="208">
        <f>'10 SUMMARY OF CAP EXP'!E49</f>
        <v>3857966027</v>
      </c>
      <c r="H64" s="652">
        <f t="shared" si="5"/>
        <v>4149951440</v>
      </c>
    </row>
    <row r="65" spans="1:8" s="10" customFormat="1" x14ac:dyDescent="0.35">
      <c r="A65" s="58" t="s">
        <v>1292</v>
      </c>
      <c r="B65" s="17" t="s">
        <v>1464</v>
      </c>
      <c r="C65" s="208">
        <f>'APPENDIX PERS COSTS DETAILS'!F1494</f>
        <v>35155160.140000001</v>
      </c>
      <c r="D65" s="667"/>
      <c r="E65" s="208">
        <f>'8 OVERHEAD COSTS'!E1255</f>
        <v>19968724</v>
      </c>
      <c r="F65" s="668">
        <f t="shared" si="3"/>
        <v>55123884.140000001</v>
      </c>
      <c r="G65" s="208">
        <f>'10 SUMMARY OF CAP EXP'!E50</f>
        <v>1082261459</v>
      </c>
      <c r="H65" s="652">
        <f t="shared" si="5"/>
        <v>1137385343.1400001</v>
      </c>
    </row>
    <row r="66" spans="1:8" s="10" customFormat="1" x14ac:dyDescent="0.35">
      <c r="A66" s="58" t="s">
        <v>441</v>
      </c>
      <c r="B66" s="17" t="s">
        <v>165</v>
      </c>
      <c r="C66" s="208">
        <f>'APPENDIX PERS COSTS DETAILS'!F1518</f>
        <v>101583815</v>
      </c>
      <c r="D66" s="208">
        <f>'APPENDIX PERS COSTS DETAILS'!F1523</f>
        <v>11245165</v>
      </c>
      <c r="E66" s="208">
        <f>'8 OVERHEAD COSTS'!E1315</f>
        <v>955767089</v>
      </c>
      <c r="F66" s="668">
        <f t="shared" si="3"/>
        <v>1068596069</v>
      </c>
      <c r="G66" s="208">
        <f>'11 CAPITAL EXPENDITURE'!F1100</f>
        <v>18221000000</v>
      </c>
      <c r="H66" s="652">
        <f t="shared" si="5"/>
        <v>19289596069</v>
      </c>
    </row>
    <row r="67" spans="1:8" s="10" customFormat="1" x14ac:dyDescent="0.35">
      <c r="A67" s="58" t="s">
        <v>1291</v>
      </c>
      <c r="B67" s="18" t="s">
        <v>1440</v>
      </c>
      <c r="C67" s="208">
        <f>'APPENDIX PERS COSTS DETAILS'!F1550</f>
        <v>60104578.290000007</v>
      </c>
      <c r="D67" s="667"/>
      <c r="E67" s="208">
        <f>'8 OVERHEAD COSTS'!E1353</f>
        <v>6555238</v>
      </c>
      <c r="F67" s="668">
        <f t="shared" si="3"/>
        <v>66659816.290000007</v>
      </c>
      <c r="G67" s="208">
        <f>'10 SUMMARY OF CAP EXP'!E52</f>
        <v>2414000000</v>
      </c>
      <c r="H67" s="652">
        <f t="shared" si="5"/>
        <v>2480659816.29</v>
      </c>
    </row>
    <row r="68" spans="1:8" s="10" customFormat="1" ht="47.25" thickBot="1" x14ac:dyDescent="0.4">
      <c r="A68" s="58" t="s">
        <v>983</v>
      </c>
      <c r="B68" s="17" t="s">
        <v>1096</v>
      </c>
      <c r="C68" s="673"/>
      <c r="D68" s="208">
        <f>'APPENDIX PERS COSTS DETAILS'!F1576</f>
        <v>5729815</v>
      </c>
      <c r="E68" s="208">
        <f>'8 OVERHEAD COSTS'!E1336</f>
        <v>10495000</v>
      </c>
      <c r="F68" s="668">
        <f>SUM(D68:E68)</f>
        <v>16224815</v>
      </c>
      <c r="G68" s="208">
        <f>'10 SUMMARY OF CAP EXP'!E53</f>
        <v>1613601585</v>
      </c>
      <c r="H68" s="652">
        <f t="shared" si="5"/>
        <v>1629826400</v>
      </c>
    </row>
    <row r="69" spans="1:8" s="11" customFormat="1" thickBot="1" x14ac:dyDescent="0.35">
      <c r="A69" s="115"/>
      <c r="B69" s="16" t="s">
        <v>1374</v>
      </c>
      <c r="C69" s="654">
        <f>SUM(C39:C68)</f>
        <v>2312849697.9400001</v>
      </c>
      <c r="D69" s="654">
        <f>SUM(D39:D68)</f>
        <v>145154730</v>
      </c>
      <c r="E69" s="654">
        <f>SUM(E39:E68)</f>
        <v>27380337432</v>
      </c>
      <c r="F69" s="211">
        <f>SUM(F39:F68)</f>
        <v>29838341859.940002</v>
      </c>
      <c r="G69" s="211">
        <f>'10 SUMMARY OF CAP EXP'!E54</f>
        <v>105593874038</v>
      </c>
      <c r="H69" s="211">
        <f>SUM(H39:H68)</f>
        <v>135432215897.93999</v>
      </c>
    </row>
    <row r="70" spans="1:8" s="11" customFormat="1" thickBot="1" x14ac:dyDescent="0.35">
      <c r="A70" s="104"/>
      <c r="B70" s="105"/>
      <c r="C70" s="675"/>
      <c r="D70" s="675"/>
      <c r="E70" s="675"/>
      <c r="F70" s="670"/>
      <c r="G70" s="676"/>
      <c r="H70" s="677"/>
    </row>
    <row r="71" spans="1:8" s="3" customFormat="1" ht="24" thickBot="1" x14ac:dyDescent="0.35">
      <c r="A71" s="98" t="s">
        <v>125</v>
      </c>
      <c r="B71" s="24" t="s">
        <v>147</v>
      </c>
      <c r="C71" s="678"/>
      <c r="D71" s="679"/>
      <c r="E71" s="680"/>
      <c r="F71" s="679"/>
      <c r="G71" s="680"/>
      <c r="H71" s="211"/>
    </row>
    <row r="72" spans="1:8" s="10" customFormat="1" x14ac:dyDescent="0.35">
      <c r="A72" s="58" t="s">
        <v>443</v>
      </c>
      <c r="B72" s="17" t="s">
        <v>167</v>
      </c>
      <c r="C72" s="208">
        <f>'APPENDIX PERS COSTS DETAILS'!F1604</f>
        <v>33948070</v>
      </c>
      <c r="D72" s="208">
        <f>'APPENDIX PERS COSTS DETAILS'!F1607</f>
        <v>28132920</v>
      </c>
      <c r="E72" s="208">
        <f>'8 OVERHEAD COSTS'!E1381</f>
        <v>36930175</v>
      </c>
      <c r="F72" s="208">
        <f t="shared" ref="F72:F76" si="6">SUM(C72:E72)</f>
        <v>99011165</v>
      </c>
      <c r="G72" s="208">
        <f>'10 SUMMARY OF CAP EXP'!E57</f>
        <v>26340000</v>
      </c>
      <c r="H72" s="652">
        <f t="shared" ref="H72:H76" si="7">SUM(F72:G72)</f>
        <v>125351165</v>
      </c>
    </row>
    <row r="73" spans="1:8" s="10" customFormat="1" x14ac:dyDescent="0.35">
      <c r="A73" s="58" t="s">
        <v>444</v>
      </c>
      <c r="B73" s="17" t="s">
        <v>170</v>
      </c>
      <c r="C73" s="208">
        <f>'APPENDIX PERS COSTS DETAILS'!F1632</f>
        <v>134133819</v>
      </c>
      <c r="D73" s="208">
        <f>'APPENDIX PERS COSTS DETAILS'!F1637</f>
        <v>11245165</v>
      </c>
      <c r="E73" s="208">
        <f>'8 OVERHEAD COSTS'!E1410</f>
        <v>1250690000</v>
      </c>
      <c r="F73" s="208">
        <f t="shared" si="6"/>
        <v>1396068984</v>
      </c>
      <c r="G73" s="209">
        <f>'10 SUMMARY OF CAP EXP'!E58</f>
        <v>150000000</v>
      </c>
      <c r="H73" s="652">
        <f t="shared" si="7"/>
        <v>1546068984</v>
      </c>
    </row>
    <row r="74" spans="1:8" s="10" customFormat="1" x14ac:dyDescent="0.35">
      <c r="A74" s="58" t="s">
        <v>445</v>
      </c>
      <c r="B74" s="17" t="s">
        <v>168</v>
      </c>
      <c r="C74" s="208">
        <f>'APPENDIX PERS COSTS DETAILS'!F1662</f>
        <v>1161300425</v>
      </c>
      <c r="D74" s="208">
        <f>'APPENDIX PERS COSTS DETAILS'!F1665</f>
        <v>11970820</v>
      </c>
      <c r="E74" s="208">
        <f>'8 OVERHEAD COSTS'!E1445</f>
        <v>362050000</v>
      </c>
      <c r="F74" s="208">
        <f t="shared" si="6"/>
        <v>1535321245</v>
      </c>
      <c r="G74" s="208">
        <f>'10 SUMMARY OF CAP EXP'!E59</f>
        <v>874000000</v>
      </c>
      <c r="H74" s="652">
        <f t="shared" si="7"/>
        <v>2409321245</v>
      </c>
    </row>
    <row r="75" spans="1:8" s="10" customFormat="1" x14ac:dyDescent="0.35">
      <c r="A75" s="58" t="s">
        <v>446</v>
      </c>
      <c r="B75" s="17" t="s">
        <v>238</v>
      </c>
      <c r="C75" s="208">
        <f>'APPENDIX PERS COSTS DETAILS'!F1689</f>
        <v>120698315.01699999</v>
      </c>
      <c r="D75" s="208">
        <f>'APPENDIX PERS COSTS DETAILS'!F1693</f>
        <v>31499205.16</v>
      </c>
      <c r="E75" s="208">
        <f>'8 OVERHEAD COSTS'!E1472</f>
        <v>125943130</v>
      </c>
      <c r="F75" s="208">
        <f t="shared" si="6"/>
        <v>278140650.17699999</v>
      </c>
      <c r="G75" s="208">
        <f>'10 SUMMARY OF CAP EXP'!E60</f>
        <v>227500000</v>
      </c>
      <c r="H75" s="652">
        <f>SUM(F75:G75)</f>
        <v>505640650.17699999</v>
      </c>
    </row>
    <row r="76" spans="1:8" s="10" customFormat="1" ht="24" thickBot="1" x14ac:dyDescent="0.4">
      <c r="A76" s="20" t="s">
        <v>1294</v>
      </c>
      <c r="B76" s="22" t="s">
        <v>3061</v>
      </c>
      <c r="C76" s="210">
        <f>'APPENDIX PERS COSTS DETAILS'!F1717</f>
        <v>23520662</v>
      </c>
      <c r="D76" s="210">
        <f>'APPENDIX PERS COSTS DETAILS'!F1719</f>
        <v>22046260</v>
      </c>
      <c r="E76" s="210">
        <f>'8 OVERHEAD COSTS'!E1492</f>
        <v>20064833</v>
      </c>
      <c r="F76" s="210">
        <f t="shared" si="6"/>
        <v>65631755</v>
      </c>
      <c r="G76" s="210">
        <f>'10 SUMMARY OF CAP EXP'!E61</f>
        <v>19000000</v>
      </c>
      <c r="H76" s="653">
        <f t="shared" si="7"/>
        <v>84631755</v>
      </c>
    </row>
    <row r="77" spans="1:8" s="12" customFormat="1" thickBot="1" x14ac:dyDescent="0.35">
      <c r="A77" s="100"/>
      <c r="B77" s="21" t="s">
        <v>1373</v>
      </c>
      <c r="C77" s="654">
        <f t="shared" ref="C77:E77" si="8">SUM(C72:C76)</f>
        <v>1473601291.017</v>
      </c>
      <c r="D77" s="654">
        <f t="shared" si="8"/>
        <v>104894370.16</v>
      </c>
      <c r="E77" s="654">
        <f t="shared" si="8"/>
        <v>1795678138</v>
      </c>
      <c r="F77" s="211">
        <f>SUM(F72:F76)</f>
        <v>3374173799.177</v>
      </c>
      <c r="G77" s="211">
        <f>'10 SUMMARY OF CAP EXP'!E62</f>
        <v>1296840000</v>
      </c>
      <c r="H77" s="211">
        <f>SUM(H72:H76)</f>
        <v>4671013799.177</v>
      </c>
    </row>
    <row r="78" spans="1:8" s="3115" customFormat="1" thickBot="1" x14ac:dyDescent="0.4">
      <c r="A78" s="3109" t="s">
        <v>90</v>
      </c>
      <c r="B78" s="3110" t="s">
        <v>81</v>
      </c>
      <c r="C78" s="3111"/>
      <c r="D78" s="3112"/>
      <c r="E78" s="3113"/>
      <c r="F78" s="3114"/>
      <c r="G78" s="3112"/>
      <c r="H78" s="3114"/>
    </row>
    <row r="79" spans="1:8" s="3115" customFormat="1" ht="27.75" customHeight="1" x14ac:dyDescent="0.35">
      <c r="A79" s="3116" t="s">
        <v>447</v>
      </c>
      <c r="B79" s="3117" t="s">
        <v>1038</v>
      </c>
      <c r="C79" s="3118">
        <f>'APPENDIX PERS COSTS DETAILS'!F1745</f>
        <v>265610135</v>
      </c>
      <c r="D79" s="3118">
        <f>'APPENDIX PERS COSTS DETAILS'!F1750</f>
        <v>11245165</v>
      </c>
      <c r="E79" s="3118">
        <f>'8 OVERHEAD COSTS'!E1527</f>
        <v>503356180</v>
      </c>
      <c r="F79" s="3118">
        <f>SUM(C79:E79)</f>
        <v>780211480</v>
      </c>
      <c r="G79" s="3118">
        <f>'10 SUMMARY OF CAP EXP'!E64</f>
        <v>943528900</v>
      </c>
      <c r="H79" s="3119">
        <f>SUM(F79:G79)</f>
        <v>1723740380</v>
      </c>
    </row>
    <row r="80" spans="1:8" s="3115" customFormat="1" ht="22.5" x14ac:dyDescent="0.35">
      <c r="A80" s="3116" t="s">
        <v>1311</v>
      </c>
      <c r="B80" s="3117" t="s">
        <v>2657</v>
      </c>
      <c r="C80" s="3118">
        <f>'APPENDIX PERS COSTS DETAILS'!F1778</f>
        <v>20769610</v>
      </c>
      <c r="D80" s="3120"/>
      <c r="E80" s="3118">
        <f>'8 OVERHEAD COSTS'!E1548</f>
        <v>26843265</v>
      </c>
      <c r="F80" s="3118">
        <f t="shared" ref="F80:F110" si="9">SUM(C80:E80)</f>
        <v>47612875</v>
      </c>
      <c r="G80" s="3118">
        <f>'10 SUMMARY OF CAP EXP'!E65</f>
        <v>650000000</v>
      </c>
      <c r="H80" s="3119">
        <f t="shared" ref="H80:H111" si="10">SUM(F80:G80)</f>
        <v>697612875</v>
      </c>
    </row>
    <row r="81" spans="1:8" s="3115" customFormat="1" ht="22.5" x14ac:dyDescent="0.35">
      <c r="A81" s="3116" t="s">
        <v>1296</v>
      </c>
      <c r="B81" s="3117" t="s">
        <v>669</v>
      </c>
      <c r="C81" s="3118">
        <f>'APPENDIX PERS COSTS DETAILS'!F1801</f>
        <v>35819324</v>
      </c>
      <c r="D81" s="3118">
        <f>'APPENDIX PERS COSTS DETAILS'!F1806</f>
        <v>11158050</v>
      </c>
      <c r="E81" s="3118">
        <f>'8 OVERHEAD COSTS'!E1572</f>
        <v>12321554</v>
      </c>
      <c r="F81" s="3118">
        <f t="shared" si="9"/>
        <v>59298928</v>
      </c>
      <c r="G81" s="3118">
        <f>'10 SUMMARY OF CAP EXP'!E66</f>
        <v>140000000</v>
      </c>
      <c r="H81" s="3119">
        <f t="shared" si="10"/>
        <v>199298928</v>
      </c>
    </row>
    <row r="82" spans="1:8" s="3115" customFormat="1" ht="22.5" x14ac:dyDescent="0.35">
      <c r="A82" s="3116" t="s">
        <v>448</v>
      </c>
      <c r="B82" s="3117" t="s">
        <v>171</v>
      </c>
      <c r="C82" s="3118">
        <f>'APPENDIX PERS COSTS DETAILS'!F1830</f>
        <v>59604983</v>
      </c>
      <c r="D82" s="3118">
        <f>'APPENDIX PERS COSTS DETAILS'!F1835</f>
        <v>11245165</v>
      </c>
      <c r="E82" s="3118">
        <f>'8 OVERHEAD COSTS'!E1596</f>
        <v>13534024</v>
      </c>
      <c r="F82" s="3118">
        <f t="shared" si="9"/>
        <v>84384172</v>
      </c>
      <c r="G82" s="3118">
        <f>'10 SUMMARY OF CAP EXP'!E67</f>
        <v>520000000</v>
      </c>
      <c r="H82" s="3119">
        <f t="shared" si="10"/>
        <v>604384172</v>
      </c>
    </row>
    <row r="83" spans="1:8" s="3115" customFormat="1" ht="45" x14ac:dyDescent="0.35">
      <c r="A83" s="3116" t="s">
        <v>1298</v>
      </c>
      <c r="B83" s="3117" t="s">
        <v>1410</v>
      </c>
      <c r="C83" s="3118">
        <f>'APPENDIX PERS COSTS DETAILS'!F1859</f>
        <v>36595795</v>
      </c>
      <c r="D83" s="3118">
        <f>'APPENDIX PERS COSTS DETAILS'!F1862</f>
        <v>5729815</v>
      </c>
      <c r="E83" s="3118">
        <f>'8 OVERHEAD COSTS'!E1619</f>
        <v>42460000</v>
      </c>
      <c r="F83" s="3118">
        <f t="shared" si="9"/>
        <v>84785610</v>
      </c>
      <c r="G83" s="3118">
        <f>'10 SUMMARY OF CAP EXP'!E68</f>
        <v>128900000</v>
      </c>
      <c r="H83" s="3119">
        <f t="shared" si="10"/>
        <v>213685610</v>
      </c>
    </row>
    <row r="84" spans="1:8" s="3115" customFormat="1" ht="45" x14ac:dyDescent="0.35">
      <c r="A84" s="3116" t="s">
        <v>1299</v>
      </c>
      <c r="B84" s="3117" t="s">
        <v>1094</v>
      </c>
      <c r="C84" s="3118">
        <f>'APPENDIX PERS COSTS DETAILS'!F1891</f>
        <v>232367063</v>
      </c>
      <c r="D84" s="3118">
        <f>'APPENDIX PERS COSTS DETAILS'!F1896</f>
        <v>11158050</v>
      </c>
      <c r="E84" s="3118">
        <f>'8 OVERHEAD COSTS'!E1641</f>
        <v>36809108</v>
      </c>
      <c r="F84" s="3118">
        <f t="shared" si="9"/>
        <v>280334221</v>
      </c>
      <c r="G84" s="3118">
        <f>'10 SUMMARY OF CAP EXP'!E69</f>
        <v>444100410</v>
      </c>
      <c r="H84" s="3119">
        <f t="shared" si="10"/>
        <v>724434631</v>
      </c>
    </row>
    <row r="85" spans="1:8" s="3115" customFormat="1" ht="22.5" x14ac:dyDescent="0.35">
      <c r="A85" s="3116" t="s">
        <v>404</v>
      </c>
      <c r="B85" s="3117" t="s">
        <v>173</v>
      </c>
      <c r="C85" s="3118">
        <f>'APPENDIX PERS COSTS DETAILS'!F1926-'APPENDIX PERS COSTS DETAILS'!F1922-'APPENDIX PERS COSTS DETAILS'!F1921</f>
        <v>8005954441</v>
      </c>
      <c r="D85" s="3118">
        <f>'APPENDIX PERS COSTS DETAILS'!F1931</f>
        <v>11245165</v>
      </c>
      <c r="E85" s="3118">
        <f>'8 OVERHEAD COSTS'!E1681</f>
        <v>737815370</v>
      </c>
      <c r="F85" s="3118">
        <f t="shared" si="9"/>
        <v>8755014976</v>
      </c>
      <c r="G85" s="3118">
        <f>'10 SUMMARY OF CAP EXP'!E70</f>
        <v>5920839605</v>
      </c>
      <c r="H85" s="3119">
        <f t="shared" si="10"/>
        <v>14675854581</v>
      </c>
    </row>
    <row r="86" spans="1:8" s="3115" customFormat="1" ht="22.5" x14ac:dyDescent="0.35">
      <c r="A86" s="3116" t="s">
        <v>1300</v>
      </c>
      <c r="B86" s="3117" t="s">
        <v>1439</v>
      </c>
      <c r="C86" s="3118">
        <f>'APPENDIX PERS COSTS DETAILS'!F1955</f>
        <v>98966272</v>
      </c>
      <c r="D86" s="3118">
        <f>'APPENDIX PERS COSTS DETAILS'!F1958</f>
        <v>13817448</v>
      </c>
      <c r="E86" s="3118">
        <f>'8 OVERHEAD COSTS'!E1774</f>
        <v>75340089.99000001</v>
      </c>
      <c r="F86" s="3118">
        <f t="shared" si="9"/>
        <v>188123809.99000001</v>
      </c>
      <c r="G86" s="3118">
        <f>'10 SUMMARY OF CAP EXP'!E71</f>
        <v>5025052448</v>
      </c>
      <c r="H86" s="3119">
        <f t="shared" si="10"/>
        <v>5213176257.9899998</v>
      </c>
    </row>
    <row r="87" spans="1:8" s="3115" customFormat="1" ht="22.5" x14ac:dyDescent="0.35">
      <c r="A87" s="3116" t="s">
        <v>541</v>
      </c>
      <c r="B87" s="3117" t="s">
        <v>1412</v>
      </c>
      <c r="C87" s="3118">
        <f>'APPENDIX PERS COSTS DETAILS'!F2041</f>
        <v>161623687</v>
      </c>
      <c r="D87" s="3120"/>
      <c r="E87" s="3118">
        <f>'8 OVERHEAD COSTS'!E1828</f>
        <v>4207516.5999999996</v>
      </c>
      <c r="F87" s="3118">
        <f t="shared" si="9"/>
        <v>165831203.59999999</v>
      </c>
      <c r="G87" s="3118">
        <f>'10 SUMMARY OF CAP EXP'!E72</f>
        <v>77708335</v>
      </c>
      <c r="H87" s="3119">
        <f t="shared" si="10"/>
        <v>243539538.59999999</v>
      </c>
    </row>
    <row r="88" spans="1:8" s="3115" customFormat="1" ht="22.5" x14ac:dyDescent="0.35">
      <c r="A88" s="3116" t="s">
        <v>985</v>
      </c>
      <c r="B88" s="3117" t="s">
        <v>1413</v>
      </c>
      <c r="C88" s="3118">
        <f>'APPENDIX PERS COSTS DETAILS'!F2067</f>
        <v>98620164</v>
      </c>
      <c r="D88" s="3120"/>
      <c r="E88" s="3118">
        <f>'8 OVERHEAD COSTS'!E1704</f>
        <v>5378452</v>
      </c>
      <c r="F88" s="3118">
        <f t="shared" si="9"/>
        <v>103998616</v>
      </c>
      <c r="G88" s="3118">
        <f>'10 SUMMARY OF CAP EXP'!E73</f>
        <v>79970545</v>
      </c>
      <c r="H88" s="3119">
        <f t="shared" si="10"/>
        <v>183969161</v>
      </c>
    </row>
    <row r="89" spans="1:8" s="3115" customFormat="1" ht="22.5" x14ac:dyDescent="0.35">
      <c r="A89" s="3116" t="s">
        <v>1301</v>
      </c>
      <c r="B89" s="3117" t="s">
        <v>3130</v>
      </c>
      <c r="C89" s="3118">
        <f>'APPENDIX PERS COSTS DETAILS'!F2093</f>
        <v>29000045</v>
      </c>
      <c r="D89" s="3120"/>
      <c r="E89" s="3118">
        <f>'8 OVERHEAD COSTS'!E1746</f>
        <v>5732972</v>
      </c>
      <c r="F89" s="3118">
        <f t="shared" si="9"/>
        <v>34733017</v>
      </c>
      <c r="G89" s="3118"/>
      <c r="H89" s="3119">
        <f t="shared" si="10"/>
        <v>34733017</v>
      </c>
    </row>
    <row r="90" spans="1:8" s="3115" customFormat="1" ht="22.5" x14ac:dyDescent="0.35">
      <c r="A90" s="3116" t="s">
        <v>1302</v>
      </c>
      <c r="B90" s="3117" t="s">
        <v>1438</v>
      </c>
      <c r="C90" s="3118">
        <f>'APPENDIX PERS COSTS DETAILS'!F1985</f>
        <v>1266755128.25</v>
      </c>
      <c r="D90" s="3120"/>
      <c r="E90" s="3118">
        <f>'8 OVERHEAD COSTS'!E1811</f>
        <v>873559108</v>
      </c>
      <c r="F90" s="3118">
        <f t="shared" si="9"/>
        <v>2140314236.25</v>
      </c>
      <c r="G90" s="3118">
        <f>'10 SUMMARY OF CAP EXP'!E74</f>
        <v>1834517647</v>
      </c>
      <c r="H90" s="3119">
        <f t="shared" si="10"/>
        <v>3974831883.25</v>
      </c>
    </row>
    <row r="91" spans="1:8" s="3115" customFormat="1" ht="22.5" x14ac:dyDescent="0.35">
      <c r="A91" s="3116" t="s">
        <v>449</v>
      </c>
      <c r="B91" s="3117" t="s">
        <v>392</v>
      </c>
      <c r="C91" s="3118">
        <f>'APPENDIX PERS COSTS DETAILS'!F2009</f>
        <v>42243399</v>
      </c>
      <c r="D91" s="3118">
        <f>'APPENDIX PERS COSTS DETAILS'!F2013</f>
        <v>29470106</v>
      </c>
      <c r="E91" s="3118">
        <f>'8 OVERHEAD COSTS'!E1724</f>
        <v>11036854</v>
      </c>
      <c r="F91" s="3118">
        <f t="shared" si="9"/>
        <v>82750359</v>
      </c>
      <c r="G91" s="3118"/>
      <c r="H91" s="3119">
        <f t="shared" si="10"/>
        <v>82750359</v>
      </c>
    </row>
    <row r="92" spans="1:8" s="3115" customFormat="1" ht="22.5" x14ac:dyDescent="0.35">
      <c r="A92" s="3116" t="s">
        <v>553</v>
      </c>
      <c r="B92" s="3117" t="s">
        <v>1415</v>
      </c>
      <c r="C92" s="3118">
        <f>'APPENDIX PERS COSTS DETAILS'!F2122</f>
        <v>32679375</v>
      </c>
      <c r="D92" s="3118">
        <f>'APPENDIX PERS COSTS DETAILS'!F2127</f>
        <v>11158050</v>
      </c>
      <c r="E92" s="3118">
        <f>'8 OVERHEAD COSTS'!E1855</f>
        <v>44402375</v>
      </c>
      <c r="F92" s="3118">
        <f t="shared" si="9"/>
        <v>88239800</v>
      </c>
      <c r="G92" s="3118">
        <f>'10 SUMMARY OF CAP EXP'!E75</f>
        <v>2365000000</v>
      </c>
      <c r="H92" s="3119">
        <f t="shared" si="10"/>
        <v>2453239800</v>
      </c>
    </row>
    <row r="93" spans="1:8" s="3115" customFormat="1" ht="22.5" x14ac:dyDescent="0.35">
      <c r="A93" s="3116" t="s">
        <v>1303</v>
      </c>
      <c r="B93" s="3117" t="s">
        <v>1416</v>
      </c>
      <c r="C93" s="3118">
        <f>'APPENDIX PERS COSTS DETAILS'!F2226</f>
        <v>405392666</v>
      </c>
      <c r="D93" s="3120"/>
      <c r="E93" s="3118">
        <f>'8 OVERHEAD COSTS'!E1974</f>
        <v>94332542</v>
      </c>
      <c r="F93" s="3118">
        <f t="shared" si="9"/>
        <v>499725208</v>
      </c>
      <c r="G93" s="3118">
        <f>'10 SUMMARY OF CAP EXP'!E76</f>
        <v>766399634</v>
      </c>
      <c r="H93" s="3119">
        <f t="shared" si="10"/>
        <v>1266124842</v>
      </c>
    </row>
    <row r="94" spans="1:8" s="3115" customFormat="1" ht="22.5" x14ac:dyDescent="0.35">
      <c r="A94" s="3116" t="s">
        <v>555</v>
      </c>
      <c r="B94" s="3117" t="s">
        <v>1417</v>
      </c>
      <c r="C94" s="3118">
        <f>'APPENDIX PERS COSTS DETAILS'!F2253</f>
        <v>1512553646</v>
      </c>
      <c r="D94" s="3120"/>
      <c r="E94" s="3118">
        <f>'8 OVERHEAD COSTS'!E1939</f>
        <v>621001157</v>
      </c>
      <c r="F94" s="3118">
        <f t="shared" si="9"/>
        <v>2133554803</v>
      </c>
      <c r="G94" s="3118">
        <f>'10 SUMMARY OF CAP EXP'!E77</f>
        <v>355000000</v>
      </c>
      <c r="H94" s="3119">
        <f t="shared" si="10"/>
        <v>2488554803</v>
      </c>
    </row>
    <row r="95" spans="1:8" s="3115" customFormat="1" ht="29.25" customHeight="1" x14ac:dyDescent="0.35">
      <c r="A95" s="3116" t="s">
        <v>556</v>
      </c>
      <c r="B95" s="3117" t="s">
        <v>1418</v>
      </c>
      <c r="C95" s="3118">
        <f>'APPENDIX PERS COSTS DETAILS'!F2199</f>
        <v>993751632</v>
      </c>
      <c r="D95" s="3120"/>
      <c r="E95" s="3118">
        <f>'8 OVERHEAD COSTS'!E1956</f>
        <v>174018028</v>
      </c>
      <c r="F95" s="3118">
        <f t="shared" si="9"/>
        <v>1167769660</v>
      </c>
      <c r="G95" s="3118">
        <f>'10 SUMMARY OF CAP EXP'!E78</f>
        <v>274937400</v>
      </c>
      <c r="H95" s="3119">
        <f t="shared" si="10"/>
        <v>1442707060</v>
      </c>
    </row>
    <row r="96" spans="1:8" s="3115" customFormat="1" ht="28.5" customHeight="1" x14ac:dyDescent="0.35">
      <c r="A96" s="3116" t="s">
        <v>557</v>
      </c>
      <c r="B96" s="3117" t="s">
        <v>3155</v>
      </c>
      <c r="C96" s="3118">
        <f>'APPENDIX PERS COSTS DETAILS'!F2173</f>
        <v>2678791963</v>
      </c>
      <c r="D96" s="3120"/>
      <c r="E96" s="3118">
        <f>'8 OVERHEAD COSTS'!E1918</f>
        <v>726133642</v>
      </c>
      <c r="F96" s="3118">
        <f t="shared" si="9"/>
        <v>3404925605</v>
      </c>
      <c r="G96" s="3118">
        <f>'10 SUMMARY OF CAP EXP'!E79</f>
        <v>1535000000</v>
      </c>
      <c r="H96" s="3119">
        <f t="shared" si="10"/>
        <v>4939925605</v>
      </c>
    </row>
    <row r="97" spans="1:8" s="3115" customFormat="1" ht="22.5" x14ac:dyDescent="0.35">
      <c r="A97" s="3116" t="s">
        <v>1304</v>
      </c>
      <c r="B97" s="3117" t="s">
        <v>1465</v>
      </c>
      <c r="C97" s="3118">
        <f>'APPENDIX PERS COSTS DETAILS'!F2279</f>
        <v>43688886.100000001</v>
      </c>
      <c r="D97" s="3120"/>
      <c r="E97" s="3118">
        <f>'8 OVERHEAD COSTS'!E1886</f>
        <v>55013410</v>
      </c>
      <c r="F97" s="3118">
        <f t="shared" si="9"/>
        <v>98702296.099999994</v>
      </c>
      <c r="G97" s="3118">
        <f>'10 SUMMARY OF CAP EXP'!E80</f>
        <v>1300000000</v>
      </c>
      <c r="H97" s="3119">
        <f t="shared" si="10"/>
        <v>1398702296.0999999</v>
      </c>
    </row>
    <row r="98" spans="1:8" s="3115" customFormat="1" ht="22.5" x14ac:dyDescent="0.35">
      <c r="A98" s="3116" t="s">
        <v>405</v>
      </c>
      <c r="B98" s="3117" t="s">
        <v>1420</v>
      </c>
      <c r="C98" s="3118">
        <f>'APPENDIX PERS COSTS DETAILS'!F2301</f>
        <v>122374777</v>
      </c>
      <c r="D98" s="3118">
        <f>'APPENDIX PERS COSTS DETAILS'!F2316</f>
        <v>11245165</v>
      </c>
      <c r="E98" s="3118">
        <f>'8 OVERHEAD COSTS'!E1999</f>
        <v>53610000</v>
      </c>
      <c r="F98" s="3118">
        <f t="shared" si="9"/>
        <v>187229942</v>
      </c>
      <c r="G98" s="3118">
        <f>'10 SUMMARY OF CAP EXP'!E81</f>
        <v>14127285737</v>
      </c>
      <c r="H98" s="3119">
        <f t="shared" si="10"/>
        <v>14314515679</v>
      </c>
    </row>
    <row r="99" spans="1:8" s="3115" customFormat="1" ht="45" x14ac:dyDescent="0.35">
      <c r="A99" s="3116" t="s">
        <v>1305</v>
      </c>
      <c r="B99" s="3117" t="s">
        <v>1421</v>
      </c>
      <c r="C99" s="3118">
        <f>'APPENDIX PERS COSTS DETAILS'!F2344</f>
        <v>34051649</v>
      </c>
      <c r="D99" s="3120"/>
      <c r="E99" s="3118">
        <f>'8 OVERHEAD COSTS'!E2092</f>
        <v>12012000</v>
      </c>
      <c r="F99" s="3118">
        <f t="shared" si="9"/>
        <v>46063649</v>
      </c>
      <c r="G99" s="3118">
        <f>'10 SUMMARY OF CAP EXP'!E82</f>
        <v>3705993111</v>
      </c>
      <c r="H99" s="3119">
        <f t="shared" si="10"/>
        <v>3752056760</v>
      </c>
    </row>
    <row r="100" spans="1:8" s="3115" customFormat="1" ht="45" x14ac:dyDescent="0.35">
      <c r="A100" s="3116" t="s">
        <v>1306</v>
      </c>
      <c r="B100" s="3117" t="s">
        <v>1437</v>
      </c>
      <c r="C100" s="3118">
        <f>'APPENDIX PERS COSTS DETAILS'!F2371</f>
        <v>379013432</v>
      </c>
      <c r="D100" s="3120"/>
      <c r="E100" s="3118">
        <f>'8 OVERHEAD COSTS'!E2066</f>
        <v>136917776</v>
      </c>
      <c r="F100" s="3118">
        <f t="shared" si="9"/>
        <v>515931208</v>
      </c>
      <c r="G100" s="3118">
        <f>'10 SUMMARY OF CAP EXP'!E83</f>
        <v>3036225537</v>
      </c>
      <c r="H100" s="3119">
        <f t="shared" si="10"/>
        <v>3552156745</v>
      </c>
    </row>
    <row r="101" spans="1:8" s="3115" customFormat="1" ht="22.5" x14ac:dyDescent="0.35">
      <c r="A101" s="3116" t="s">
        <v>1308</v>
      </c>
      <c r="B101" s="3117" t="s">
        <v>1423</v>
      </c>
      <c r="C101" s="3118">
        <f>'APPENDIX PERS COSTS DETAILS'!F2402</f>
        <v>283397997</v>
      </c>
      <c r="D101" s="3120"/>
      <c r="E101" s="3118">
        <f>'8 OVERHEAD COSTS'!E2154</f>
        <v>39463000</v>
      </c>
      <c r="F101" s="3118">
        <f t="shared" si="9"/>
        <v>322860997</v>
      </c>
      <c r="G101" s="3118">
        <f>'10 SUMMARY OF CAP EXP'!E84</f>
        <v>2162550000</v>
      </c>
      <c r="H101" s="3119">
        <f t="shared" si="10"/>
        <v>2485410997</v>
      </c>
    </row>
    <row r="102" spans="1:8" s="3115" customFormat="1" ht="22.5" x14ac:dyDescent="0.35">
      <c r="A102" s="3116" t="s">
        <v>1309</v>
      </c>
      <c r="B102" s="3117" t="s">
        <v>1424</v>
      </c>
      <c r="C102" s="3118">
        <f>'APPENDIX PERS COSTS DETAILS'!F2429</f>
        <v>307834248.29011202</v>
      </c>
      <c r="D102" s="3120"/>
      <c r="E102" s="3118">
        <f>'8 OVERHEAD COSTS'!E2191</f>
        <v>42133000</v>
      </c>
      <c r="F102" s="3118">
        <f t="shared" si="9"/>
        <v>349967248.29011202</v>
      </c>
      <c r="G102" s="3118">
        <f>'10 SUMMARY OF CAP EXP'!E85</f>
        <v>561665600</v>
      </c>
      <c r="H102" s="3119">
        <f t="shared" si="10"/>
        <v>911632848.29011202</v>
      </c>
    </row>
    <row r="103" spans="1:8" s="3115" customFormat="1" ht="22.5" x14ac:dyDescent="0.35">
      <c r="A103" s="3116" t="s">
        <v>1310</v>
      </c>
      <c r="B103" s="3117" t="s">
        <v>1425</v>
      </c>
      <c r="C103" s="3118">
        <f>'APPENDIX PERS COSTS DETAILS'!F2456</f>
        <v>73525540.739999995</v>
      </c>
      <c r="D103" s="3120"/>
      <c r="E103" s="3118">
        <f>'8 OVERHEAD COSTS'!E2040</f>
        <v>3500000</v>
      </c>
      <c r="F103" s="3118">
        <f t="shared" si="9"/>
        <v>77025540.739999995</v>
      </c>
      <c r="G103" s="3118">
        <f>'10 SUMMARY OF CAP EXP'!E86</f>
        <v>225750000</v>
      </c>
      <c r="H103" s="3119">
        <f t="shared" si="10"/>
        <v>302775540.74000001</v>
      </c>
    </row>
    <row r="104" spans="1:8" s="3115" customFormat="1" ht="22.5" x14ac:dyDescent="0.35">
      <c r="A104" s="3116" t="s">
        <v>1307</v>
      </c>
      <c r="B104" s="3117" t="s">
        <v>2879</v>
      </c>
      <c r="C104" s="3118">
        <f>'APPENDIX PERS COSTS DETAILS'!F2486</f>
        <v>6408079389.9700003</v>
      </c>
      <c r="D104" s="3120"/>
      <c r="E104" s="3118">
        <f>'8 OVERHEAD COSTS'!E2025</f>
        <v>918917032.84150004</v>
      </c>
      <c r="F104" s="3118">
        <f t="shared" si="9"/>
        <v>7326996422.8115005</v>
      </c>
      <c r="G104" s="3118">
        <f>'10 SUMMARY OF CAP EXP'!E87</f>
        <v>1574972078</v>
      </c>
      <c r="H104" s="3119">
        <f t="shared" si="10"/>
        <v>8901968500.8115005</v>
      </c>
    </row>
    <row r="105" spans="1:8" s="3115" customFormat="1" ht="22.5" x14ac:dyDescent="0.35">
      <c r="A105" s="3116" t="s">
        <v>2536</v>
      </c>
      <c r="B105" s="3117" t="s">
        <v>2537</v>
      </c>
      <c r="C105" s="3118">
        <f>'APPENDIX PERS COSTS DETAILS'!F2514</f>
        <v>65042661</v>
      </c>
      <c r="D105" s="3120"/>
      <c r="E105" s="3118">
        <f>'8 OVERHEAD COSTS'!E2124</f>
        <v>114973524</v>
      </c>
      <c r="F105" s="3118">
        <f t="shared" si="9"/>
        <v>180016185</v>
      </c>
      <c r="G105" s="3118">
        <f>'10 SUMMARY OF CAP EXP'!E88</f>
        <v>1130563126</v>
      </c>
      <c r="H105" s="3119">
        <f>SUM(F105:G105)</f>
        <v>1310579311</v>
      </c>
    </row>
    <row r="106" spans="1:8" s="3115" customFormat="1" ht="45" x14ac:dyDescent="0.35">
      <c r="A106" s="3116" t="s">
        <v>1059</v>
      </c>
      <c r="B106" s="3117" t="s">
        <v>1427</v>
      </c>
      <c r="C106" s="3121">
        <f>'APPENDIX PERS COSTS DETAILS'!F2537</f>
        <v>15274400</v>
      </c>
      <c r="D106" s="3118">
        <f>'APPENDIX PERS COSTS DETAILS'!F2540</f>
        <v>5729815</v>
      </c>
      <c r="E106" s="3118">
        <f>'8 OVERHEAD COSTS'!E2221</f>
        <v>251118695</v>
      </c>
      <c r="F106" s="3118">
        <f t="shared" si="9"/>
        <v>272122910</v>
      </c>
      <c r="G106" s="3118">
        <f>'10 SUMMARY OF CAP EXP'!E89</f>
        <v>178000000</v>
      </c>
      <c r="H106" s="3119">
        <f t="shared" si="10"/>
        <v>450122910</v>
      </c>
    </row>
    <row r="107" spans="1:8" s="3115" customFormat="1" ht="22.5" x14ac:dyDescent="0.35">
      <c r="A107" s="3116" t="s">
        <v>406</v>
      </c>
      <c r="B107" s="3117" t="s">
        <v>176</v>
      </c>
      <c r="C107" s="3118">
        <f>'APPENDIX PERS COSTS DETAILS'!F2565</f>
        <v>30490215</v>
      </c>
      <c r="D107" s="3118">
        <f>'APPENDIX PERS COSTS DETAILS'!F2570</f>
        <v>11245165</v>
      </c>
      <c r="E107" s="3118">
        <f>'8 OVERHEAD COSTS'!E2245</f>
        <v>5918038</v>
      </c>
      <c r="F107" s="3118">
        <f t="shared" si="9"/>
        <v>47653418</v>
      </c>
      <c r="G107" s="3118">
        <f>'10 SUMMARY OF CAP EXP'!E90</f>
        <v>23531456685</v>
      </c>
      <c r="H107" s="3119">
        <f t="shared" si="10"/>
        <v>23579110103</v>
      </c>
    </row>
    <row r="108" spans="1:8" s="3115" customFormat="1" ht="45" x14ac:dyDescent="0.35">
      <c r="A108" s="3116" t="s">
        <v>560</v>
      </c>
      <c r="B108" s="3117" t="s">
        <v>1436</v>
      </c>
      <c r="C108" s="3118">
        <f>'APPENDIX PERS COSTS DETAILS'!F2599</f>
        <v>246254295</v>
      </c>
      <c r="D108" s="3120"/>
      <c r="E108" s="3118">
        <f>'8 OVERHEAD COSTS'!E2265</f>
        <v>34598665</v>
      </c>
      <c r="F108" s="3118">
        <f t="shared" si="9"/>
        <v>280852960</v>
      </c>
      <c r="G108" s="3118">
        <f>'10 SUMMARY OF CAP EXP'!E91</f>
        <v>668186500</v>
      </c>
      <c r="H108" s="3119">
        <f t="shared" si="10"/>
        <v>949039460</v>
      </c>
    </row>
    <row r="109" spans="1:8" s="3115" customFormat="1" ht="22.5" x14ac:dyDescent="0.35">
      <c r="A109" s="3116" t="s">
        <v>1297</v>
      </c>
      <c r="B109" s="3117" t="s">
        <v>1125</v>
      </c>
      <c r="C109" s="3122"/>
      <c r="D109" s="3118">
        <f>'APPENDIX PERS COSTS DETAILS'!F2627</f>
        <v>11245165</v>
      </c>
      <c r="E109" s="3118">
        <f>'8 OVERHEAD COSTS'!E2286</f>
        <v>32630000</v>
      </c>
      <c r="F109" s="3118">
        <f t="shared" si="9"/>
        <v>43875165</v>
      </c>
      <c r="G109" s="3118">
        <f>'10 SUMMARY OF CAP EXP'!E92</f>
        <v>2900000000</v>
      </c>
      <c r="H109" s="3119">
        <f t="shared" si="10"/>
        <v>2943875165</v>
      </c>
    </row>
    <row r="110" spans="1:8" s="3115" customFormat="1" ht="22.5" x14ac:dyDescent="0.35">
      <c r="A110" s="3116" t="s">
        <v>1058</v>
      </c>
      <c r="B110" s="3117" t="s">
        <v>178</v>
      </c>
      <c r="C110" s="3122"/>
      <c r="D110" s="3118">
        <f>'APPENDIX PERS COSTS DETAILS'!F2654</f>
        <v>5729815</v>
      </c>
      <c r="E110" s="3118">
        <f>'8 OVERHEAD COSTS'!E2309</f>
        <v>8965000</v>
      </c>
      <c r="F110" s="3118">
        <f t="shared" si="9"/>
        <v>14694815</v>
      </c>
      <c r="G110" s="3118">
        <f>'11 CAPITAL EXPENDITURE'!F2140</f>
        <v>290000000</v>
      </c>
      <c r="H110" s="3119">
        <f t="shared" si="10"/>
        <v>304694815</v>
      </c>
    </row>
    <row r="111" spans="1:8" s="3115" customFormat="1" ht="45.75" thickBot="1" x14ac:dyDescent="0.4">
      <c r="A111" s="3116" t="s">
        <v>450</v>
      </c>
      <c r="B111" s="3117" t="s">
        <v>1429</v>
      </c>
      <c r="C111" s="3118">
        <f>'APPENDIX PERS COSTS DETAILS'!F2678</f>
        <v>89483831</v>
      </c>
      <c r="D111" s="3118">
        <f>'APPENDIX PERS COSTS DETAILS'!F2683</f>
        <v>11245165</v>
      </c>
      <c r="E111" s="3118">
        <f>'8 OVERHEAD COSTS'!E2331</f>
        <v>9000000</v>
      </c>
      <c r="F111" s="3118">
        <f>SUM(C111:E111)</f>
        <v>109728996</v>
      </c>
      <c r="G111" s="3118">
        <f>'10 SUMMARY OF CAP EXP'!E94</f>
        <v>122677927</v>
      </c>
      <c r="H111" s="3119">
        <f t="shared" si="10"/>
        <v>232406923</v>
      </c>
    </row>
    <row r="112" spans="1:8" s="13" customFormat="1" ht="22.5" thickBot="1" x14ac:dyDescent="0.35">
      <c r="A112" s="3123"/>
      <c r="B112" s="3124" t="s">
        <v>117</v>
      </c>
      <c r="C112" s="3114">
        <f>SUM(C79:C111)</f>
        <v>24075610650.350113</v>
      </c>
      <c r="D112" s="3114">
        <f>SUM(D79:D111)</f>
        <v>172667304</v>
      </c>
      <c r="E112" s="3114">
        <f>SUM(E79:E111)</f>
        <v>5727052378.4315004</v>
      </c>
      <c r="F112" s="3114">
        <f>SUM(F79:F111)</f>
        <v>29975330332.781612</v>
      </c>
      <c r="G112" s="3114">
        <f t="shared" ref="G112:H112" si="11">SUM(G79:G111)</f>
        <v>76576281225</v>
      </c>
      <c r="H112" s="3114">
        <f t="shared" si="11"/>
        <v>106551611557.78162</v>
      </c>
    </row>
    <row r="113" spans="1:8" s="13" customFormat="1" ht="22.5" thickBot="1" x14ac:dyDescent="0.35">
      <c r="A113" s="3109"/>
      <c r="B113" s="3125"/>
      <c r="C113" s="3126"/>
      <c r="D113" s="3126"/>
      <c r="E113" s="3126"/>
      <c r="F113" s="3126"/>
      <c r="G113" s="3126"/>
      <c r="H113" s="3126"/>
    </row>
    <row r="114" spans="1:8" s="13" customFormat="1" ht="22.5" thickBot="1" x14ac:dyDescent="0.35">
      <c r="A114" s="3127"/>
      <c r="B114" s="3128" t="s">
        <v>389</v>
      </c>
      <c r="C114" s="3114">
        <f t="shared" ref="C114:H114" si="12">SUM(C37,C69,C77,C112)</f>
        <v>31679086046.247116</v>
      </c>
      <c r="D114" s="3114">
        <f t="shared" si="12"/>
        <v>12924060645.16</v>
      </c>
      <c r="E114" s="3114">
        <f t="shared" si="12"/>
        <v>44116960333.431503</v>
      </c>
      <c r="F114" s="3114">
        <f t="shared" si="12"/>
        <v>88720107024.838608</v>
      </c>
      <c r="G114" s="3114">
        <f t="shared" si="12"/>
        <v>197917674318</v>
      </c>
      <c r="H114" s="3114">
        <f t="shared" si="12"/>
        <v>286637781342.83862</v>
      </c>
    </row>
    <row r="116" spans="1:8" x14ac:dyDescent="0.35">
      <c r="C116" s="714"/>
    </row>
  </sheetData>
  <mergeCells count="5">
    <mergeCell ref="A1:H1"/>
    <mergeCell ref="A2:H2"/>
    <mergeCell ref="C3:F3"/>
    <mergeCell ref="G3:G4"/>
    <mergeCell ref="H3:H4"/>
  </mergeCells>
  <printOptions horizontalCentered="1" verticalCentered="1"/>
  <pageMargins left="0" right="0" top="0.55000000000000004" bottom="0.63333333333333297" header="0.3" footer="0.3"/>
  <pageSetup paperSize="9" scale="48" firstPageNumber="40" fitToHeight="0" orientation="landscape" useFirstPageNumber="1" r:id="rId1"/>
  <headerFooter>
    <oddHeader>&amp;L&amp;G&amp;R&amp;16&amp;K05-019KATSINA STATE GOVERNMENT 2021 APPROVED APPROPRIATION LAW</oddHeader>
    <oddFooter>&amp;L&amp;16&amp;K05+000KATSINA STATE GOVERNMENT 2021 APPROVED APPROPRIATION LAW&amp;C&amp;20&amp;P&amp;R&amp;G</oddFooter>
  </headerFooter>
  <rowBreaks count="3" manualBreakCount="3">
    <brk id="37" max="7" man="1"/>
    <brk id="69" max="16383" man="1"/>
    <brk id="77" max="16383" man="1"/>
  </rowBreaks>
  <ignoredErrors>
    <ignoredError sqref="A71:A76 A106:A111 A78:A104 A105:B105 A49:A68 A5:A36 A38:A46" numberStoredAsText="1"/>
    <ignoredError sqref="C37:E37 C69:E69 C77:E77" unlockedFormula="1"/>
    <ignoredError sqref="G68 G77" formula="1"/>
  </ignoredErrors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18"/>
  <sheetViews>
    <sheetView view="pageLayout" topLeftCell="A2401" zoomScale="57" zoomScaleNormal="140" zoomScaleSheetLayoutView="59" zoomScalePageLayoutView="57" workbookViewId="0">
      <selection activeCell="B1878" sqref="B1878"/>
    </sheetView>
  </sheetViews>
  <sheetFormatPr defaultRowHeight="15.75" x14ac:dyDescent="0.25"/>
  <cols>
    <col min="1" max="1" width="22.85546875" style="27" customWidth="1"/>
    <col min="2" max="2" width="58.28515625" style="27" customWidth="1"/>
    <col min="3" max="3" width="26.5703125" style="27" customWidth="1"/>
    <col min="4" max="4" width="24.28515625" style="27" customWidth="1"/>
    <col min="5" max="5" width="4" style="27" customWidth="1"/>
    <col min="6" max="16384" width="9.140625" style="27"/>
  </cols>
  <sheetData>
    <row r="1" spans="1:4" x14ac:dyDescent="0.25">
      <c r="A1" s="3458"/>
      <c r="B1" s="3458"/>
      <c r="C1" s="3458"/>
      <c r="D1" s="3458"/>
    </row>
    <row r="2" spans="1:4" x14ac:dyDescent="0.25">
      <c r="A2" s="3456" t="s">
        <v>2750</v>
      </c>
      <c r="B2" s="3456"/>
      <c r="C2" s="3456"/>
      <c r="D2" s="3456"/>
    </row>
    <row r="3" spans="1:4" ht="16.5" thickBot="1" x14ac:dyDescent="0.3">
      <c r="A3" s="3456" t="s">
        <v>2756</v>
      </c>
      <c r="B3" s="3456"/>
      <c r="C3" s="3456"/>
      <c r="D3" s="3456"/>
    </row>
    <row r="4" spans="1:4" s="38" customFormat="1" x14ac:dyDescent="0.2">
      <c r="A4" s="577" t="s">
        <v>0</v>
      </c>
      <c r="B4" s="578"/>
      <c r="C4" s="577" t="s">
        <v>7</v>
      </c>
      <c r="D4" s="579" t="s">
        <v>2447</v>
      </c>
    </row>
    <row r="5" spans="1:4" s="38" customFormat="1" x14ac:dyDescent="0.2">
      <c r="A5" s="580" t="s">
        <v>1</v>
      </c>
      <c r="B5" s="581" t="s">
        <v>5</v>
      </c>
      <c r="C5" s="580" t="s">
        <v>6</v>
      </c>
      <c r="D5" s="580" t="s">
        <v>2448</v>
      </c>
    </row>
    <row r="6" spans="1:4" s="38" customFormat="1" x14ac:dyDescent="0.2">
      <c r="A6" s="582"/>
      <c r="B6" s="583"/>
      <c r="C6" s="580">
        <v>2020</v>
      </c>
      <c r="D6" s="580">
        <v>2021</v>
      </c>
    </row>
    <row r="7" spans="1:4" s="38" customFormat="1" ht="16.5" thickBot="1" x14ac:dyDescent="0.25">
      <c r="A7" s="584"/>
      <c r="B7" s="585"/>
      <c r="C7" s="586" t="s">
        <v>4</v>
      </c>
      <c r="D7" s="586" t="s">
        <v>4</v>
      </c>
    </row>
    <row r="8" spans="1:4" s="38" customFormat="1" x14ac:dyDescent="0.2">
      <c r="A8" s="39"/>
      <c r="B8" s="40" t="s">
        <v>1093</v>
      </c>
      <c r="C8" s="41"/>
      <c r="D8" s="41"/>
    </row>
    <row r="9" spans="1:4" s="38" customFormat="1" x14ac:dyDescent="0.2">
      <c r="A9" s="42">
        <v>21010100</v>
      </c>
      <c r="B9" s="43" t="s">
        <v>50</v>
      </c>
      <c r="C9" s="106">
        <f>'APPENDIX PERS COSTS DETAILS'!D22</f>
        <v>88560020</v>
      </c>
      <c r="D9" s="106">
        <f>'APPENDIX PERS COSTS DETAILS'!F22</f>
        <v>92988022</v>
      </c>
    </row>
    <row r="10" spans="1:4" s="38" customFormat="1" x14ac:dyDescent="0.2">
      <c r="A10" s="45">
        <v>21010101</v>
      </c>
      <c r="B10" s="46" t="s">
        <v>51</v>
      </c>
      <c r="C10" s="48"/>
      <c r="D10" s="48"/>
    </row>
    <row r="11" spans="1:4" s="38" customFormat="1" x14ac:dyDescent="0.2">
      <c r="A11" s="45">
        <v>21010102</v>
      </c>
      <c r="B11" s="46" t="s">
        <v>52</v>
      </c>
      <c r="C11" s="48"/>
      <c r="D11" s="48"/>
    </row>
    <row r="12" spans="1:4" s="38" customFormat="1" x14ac:dyDescent="0.2">
      <c r="A12" s="45">
        <v>21010103</v>
      </c>
      <c r="B12" s="46" t="s">
        <v>53</v>
      </c>
      <c r="C12" s="106">
        <f>'APPENDIX PERS COSTS DETAILS'!D29</f>
        <v>19028155</v>
      </c>
      <c r="D12" s="106">
        <f>'APPENDIX PERS COSTS DETAILS'!F29</f>
        <v>19028155</v>
      </c>
    </row>
    <row r="13" spans="1:4" s="38" customFormat="1" x14ac:dyDescent="0.2">
      <c r="A13" s="42">
        <v>210201</v>
      </c>
      <c r="B13" s="43" t="s">
        <v>54</v>
      </c>
      <c r="C13" s="48"/>
      <c r="D13" s="48"/>
    </row>
    <row r="14" spans="1:4" s="38" customFormat="1" x14ac:dyDescent="0.2">
      <c r="A14" s="45">
        <v>21020101</v>
      </c>
      <c r="B14" s="46" t="s">
        <v>55</v>
      </c>
      <c r="C14" s="49"/>
      <c r="D14" s="49"/>
    </row>
    <row r="15" spans="1:4" s="38" customFormat="1" x14ac:dyDescent="0.2">
      <c r="A15" s="42">
        <v>21020200</v>
      </c>
      <c r="B15" s="43" t="s">
        <v>56</v>
      </c>
      <c r="C15" s="48"/>
      <c r="D15" s="48"/>
    </row>
    <row r="16" spans="1:4" s="38" customFormat="1" x14ac:dyDescent="0.2">
      <c r="A16" s="45">
        <v>21020201</v>
      </c>
      <c r="B16" s="46" t="s">
        <v>122</v>
      </c>
      <c r="C16" s="48"/>
      <c r="D16" s="48"/>
    </row>
    <row r="17" spans="1:4" s="38" customFormat="1" x14ac:dyDescent="0.2">
      <c r="A17" s="45">
        <v>21020202</v>
      </c>
      <c r="B17" s="46" t="s">
        <v>123</v>
      </c>
      <c r="C17" s="48"/>
      <c r="D17" s="48"/>
    </row>
    <row r="18" spans="1:4" s="38" customFormat="1" x14ac:dyDescent="0.2">
      <c r="A18" s="45">
        <v>21020203</v>
      </c>
      <c r="B18" s="46" t="s">
        <v>57</v>
      </c>
      <c r="C18" s="48"/>
      <c r="D18" s="48"/>
    </row>
    <row r="19" spans="1:4" s="38" customFormat="1" x14ac:dyDescent="0.2">
      <c r="A19" s="45">
        <v>21020204</v>
      </c>
      <c r="B19" s="46" t="s">
        <v>58</v>
      </c>
      <c r="C19" s="48"/>
      <c r="D19" s="48"/>
    </row>
    <row r="20" spans="1:4" s="38" customFormat="1" x14ac:dyDescent="0.2">
      <c r="A20" s="45">
        <v>21020205</v>
      </c>
      <c r="B20" s="46" t="s">
        <v>59</v>
      </c>
      <c r="C20" s="48"/>
      <c r="D20" s="48"/>
    </row>
    <row r="21" spans="1:4" s="38" customFormat="1" x14ac:dyDescent="0.2">
      <c r="A21" s="42">
        <v>21030100</v>
      </c>
      <c r="B21" s="43" t="s">
        <v>60</v>
      </c>
      <c r="C21" s="47"/>
      <c r="D21" s="47"/>
    </row>
    <row r="22" spans="1:4" s="38" customFormat="1" x14ac:dyDescent="0.2">
      <c r="A22" s="45">
        <v>21030101</v>
      </c>
      <c r="B22" s="46" t="s">
        <v>61</v>
      </c>
      <c r="C22" s="47"/>
      <c r="D22" s="47"/>
    </row>
    <row r="23" spans="1:4" s="38" customFormat="1" x14ac:dyDescent="0.2">
      <c r="A23" s="45">
        <v>21030102</v>
      </c>
      <c r="B23" s="46" t="s">
        <v>62</v>
      </c>
      <c r="C23" s="47"/>
      <c r="D23" s="47"/>
    </row>
    <row r="24" spans="1:4" s="38" customFormat="1" x14ac:dyDescent="0.2">
      <c r="A24" s="45">
        <v>21030103</v>
      </c>
      <c r="B24" s="46" t="s">
        <v>63</v>
      </c>
      <c r="C24" s="47"/>
      <c r="D24" s="47"/>
    </row>
    <row r="25" spans="1:4" s="38" customFormat="1" x14ac:dyDescent="0.2">
      <c r="A25" s="45"/>
      <c r="B25" s="46"/>
      <c r="C25" s="48"/>
      <c r="D25" s="48"/>
    </row>
    <row r="26" spans="1:4" s="51" customFormat="1" x14ac:dyDescent="0.2">
      <c r="A26" s="587"/>
      <c r="B26" s="588" t="s">
        <v>2</v>
      </c>
      <c r="C26" s="107">
        <f>SUM(C9:C25)</f>
        <v>107588175</v>
      </c>
      <c r="D26" s="107">
        <f>SUM(D9:D25)</f>
        <v>112016177</v>
      </c>
    </row>
    <row r="27" spans="1:4" x14ac:dyDescent="0.25">
      <c r="A27" s="3456"/>
      <c r="B27" s="3456"/>
      <c r="C27" s="3456"/>
      <c r="D27" s="3456"/>
    </row>
    <row r="28" spans="1:4" x14ac:dyDescent="0.25">
      <c r="A28" s="3456" t="s">
        <v>2751</v>
      </c>
      <c r="B28" s="3456"/>
      <c r="C28" s="3456"/>
      <c r="D28" s="3456"/>
    </row>
    <row r="29" spans="1:4" ht="16.5" thickBot="1" x14ac:dyDescent="0.3">
      <c r="A29" s="3456" t="s">
        <v>2757</v>
      </c>
      <c r="B29" s="3456"/>
      <c r="C29" s="3456"/>
      <c r="D29" s="3456"/>
    </row>
    <row r="30" spans="1:4" s="38" customFormat="1" x14ac:dyDescent="0.2">
      <c r="A30" s="577" t="s">
        <v>0</v>
      </c>
      <c r="B30" s="578"/>
      <c r="C30" s="577" t="s">
        <v>7</v>
      </c>
      <c r="D30" s="579" t="s">
        <v>2447</v>
      </c>
    </row>
    <row r="31" spans="1:4" s="38" customFormat="1" x14ac:dyDescent="0.2">
      <c r="A31" s="580" t="s">
        <v>1</v>
      </c>
      <c r="B31" s="581" t="s">
        <v>5</v>
      </c>
      <c r="C31" s="580" t="s">
        <v>6</v>
      </c>
      <c r="D31" s="580" t="s">
        <v>2448</v>
      </c>
    </row>
    <row r="32" spans="1:4" s="38" customFormat="1" x14ac:dyDescent="0.2">
      <c r="A32" s="582"/>
      <c r="B32" s="583"/>
      <c r="C32" s="580">
        <v>2020</v>
      </c>
      <c r="D32" s="580">
        <v>2021</v>
      </c>
    </row>
    <row r="33" spans="1:4" s="38" customFormat="1" ht="16.5" thickBot="1" x14ac:dyDescent="0.25">
      <c r="A33" s="584"/>
      <c r="B33" s="585"/>
      <c r="C33" s="586" t="s">
        <v>4</v>
      </c>
      <c r="D33" s="586" t="s">
        <v>4</v>
      </c>
    </row>
    <row r="34" spans="1:4" s="38" customFormat="1" x14ac:dyDescent="0.2">
      <c r="A34" s="48"/>
      <c r="B34" s="52" t="s">
        <v>1093</v>
      </c>
      <c r="C34" s="47"/>
      <c r="D34" s="47"/>
    </row>
    <row r="35" spans="1:4" s="38" customFormat="1" x14ac:dyDescent="0.2">
      <c r="A35" s="42">
        <v>21010100</v>
      </c>
      <c r="B35" s="43" t="s">
        <v>50</v>
      </c>
      <c r="C35" s="106">
        <f>'APPENDIX PERS COSTS DETAILS'!D52</f>
        <v>49899735</v>
      </c>
      <c r="D35" s="106">
        <f>'APPENDIX PERS COSTS DETAILS'!F52</f>
        <v>39870909</v>
      </c>
    </row>
    <row r="36" spans="1:4" s="38" customFormat="1" x14ac:dyDescent="0.2">
      <c r="A36" s="45">
        <v>21010101</v>
      </c>
      <c r="B36" s="46" t="s">
        <v>51</v>
      </c>
      <c r="C36" s="48"/>
      <c r="D36" s="48"/>
    </row>
    <row r="37" spans="1:4" s="38" customFormat="1" x14ac:dyDescent="0.2">
      <c r="A37" s="45">
        <v>21010102</v>
      </c>
      <c r="B37" s="46" t="s">
        <v>52</v>
      </c>
      <c r="C37" s="48"/>
      <c r="D37" s="48"/>
    </row>
    <row r="38" spans="1:4" s="38" customFormat="1" x14ac:dyDescent="0.2">
      <c r="A38" s="45">
        <v>21010103</v>
      </c>
      <c r="B38" s="46" t="s">
        <v>53</v>
      </c>
      <c r="C38" s="106">
        <f>'APPENDIX PERS COSTS DETAILS'!D59</f>
        <v>12821000</v>
      </c>
      <c r="D38" s="106">
        <f>'APPENDIX PERS COSTS DETAILS'!F59</f>
        <v>14432148</v>
      </c>
    </row>
    <row r="39" spans="1:4" s="38" customFormat="1" x14ac:dyDescent="0.2">
      <c r="A39" s="42">
        <v>210201</v>
      </c>
      <c r="B39" s="43" t="s">
        <v>54</v>
      </c>
      <c r="C39" s="48"/>
      <c r="D39" s="48"/>
    </row>
    <row r="40" spans="1:4" s="38" customFormat="1" x14ac:dyDescent="0.2">
      <c r="A40" s="45">
        <v>21020101</v>
      </c>
      <c r="B40" s="46" t="s">
        <v>55</v>
      </c>
      <c r="C40" s="49"/>
      <c r="D40" s="49"/>
    </row>
    <row r="41" spans="1:4" s="38" customFormat="1" x14ac:dyDescent="0.2">
      <c r="A41" s="42">
        <v>21020200</v>
      </c>
      <c r="B41" s="43" t="s">
        <v>56</v>
      </c>
      <c r="C41" s="48"/>
      <c r="D41" s="48"/>
    </row>
    <row r="42" spans="1:4" s="38" customFormat="1" x14ac:dyDescent="0.2">
      <c r="A42" s="45">
        <v>21020201</v>
      </c>
      <c r="B42" s="46" t="s">
        <v>122</v>
      </c>
      <c r="C42" s="48"/>
      <c r="D42" s="48"/>
    </row>
    <row r="43" spans="1:4" s="38" customFormat="1" x14ac:dyDescent="0.2">
      <c r="A43" s="45">
        <v>21020202</v>
      </c>
      <c r="B43" s="46" t="s">
        <v>123</v>
      </c>
      <c r="C43" s="48"/>
      <c r="D43" s="48"/>
    </row>
    <row r="44" spans="1:4" s="38" customFormat="1" x14ac:dyDescent="0.2">
      <c r="A44" s="45">
        <v>21020203</v>
      </c>
      <c r="B44" s="46" t="s">
        <v>57</v>
      </c>
      <c r="C44" s="48"/>
      <c r="D44" s="48"/>
    </row>
    <row r="45" spans="1:4" s="38" customFormat="1" x14ac:dyDescent="0.2">
      <c r="A45" s="45">
        <v>21020204</v>
      </c>
      <c r="B45" s="46" t="s">
        <v>58</v>
      </c>
      <c r="C45" s="48"/>
      <c r="D45" s="48"/>
    </row>
    <row r="46" spans="1:4" s="38" customFormat="1" x14ac:dyDescent="0.2">
      <c r="A46" s="45">
        <v>21020205</v>
      </c>
      <c r="B46" s="46" t="s">
        <v>59</v>
      </c>
      <c r="C46" s="48"/>
      <c r="D46" s="48"/>
    </row>
    <row r="47" spans="1:4" s="38" customFormat="1" x14ac:dyDescent="0.2">
      <c r="A47" s="42">
        <v>21030100</v>
      </c>
      <c r="B47" s="43" t="s">
        <v>60</v>
      </c>
      <c r="C47" s="47"/>
      <c r="D47" s="47"/>
    </row>
    <row r="48" spans="1:4" s="38" customFormat="1" x14ac:dyDescent="0.2">
      <c r="A48" s="45">
        <v>21030101</v>
      </c>
      <c r="B48" s="46" t="s">
        <v>61</v>
      </c>
      <c r="C48" s="47"/>
      <c r="D48" s="47"/>
    </row>
    <row r="49" spans="1:4" s="38" customFormat="1" x14ac:dyDescent="0.2">
      <c r="A49" s="45">
        <v>21030102</v>
      </c>
      <c r="B49" s="46" t="s">
        <v>62</v>
      </c>
      <c r="C49" s="47"/>
      <c r="D49" s="47"/>
    </row>
    <row r="50" spans="1:4" s="38" customFormat="1" x14ac:dyDescent="0.2">
      <c r="A50" s="45">
        <v>21030103</v>
      </c>
      <c r="B50" s="46" t="s">
        <v>63</v>
      </c>
      <c r="C50" s="47"/>
      <c r="D50" s="47"/>
    </row>
    <row r="51" spans="1:4" s="38" customFormat="1" x14ac:dyDescent="0.2">
      <c r="A51" s="45"/>
      <c r="B51" s="46"/>
      <c r="C51" s="48"/>
      <c r="D51" s="48"/>
    </row>
    <row r="52" spans="1:4" s="51" customFormat="1" x14ac:dyDescent="0.2">
      <c r="A52" s="587"/>
      <c r="B52" s="588" t="s">
        <v>2</v>
      </c>
      <c r="C52" s="107">
        <f>SUM(C35:C51)</f>
        <v>62720735</v>
      </c>
      <c r="D52" s="107">
        <f>SUM(D35:D51)</f>
        <v>54303057</v>
      </c>
    </row>
    <row r="53" spans="1:4" s="51" customFormat="1" x14ac:dyDescent="0.2">
      <c r="A53" s="589"/>
      <c r="B53" s="590"/>
      <c r="C53" s="112"/>
      <c r="D53" s="112"/>
    </row>
    <row r="54" spans="1:4" x14ac:dyDescent="0.25">
      <c r="A54" s="3456" t="s">
        <v>1091</v>
      </c>
      <c r="B54" s="3456"/>
      <c r="C54" s="3456"/>
      <c r="D54" s="3456"/>
    </row>
    <row r="55" spans="1:4" ht="16.5" thickBot="1" x14ac:dyDescent="0.3">
      <c r="A55" s="3457" t="s">
        <v>2758</v>
      </c>
      <c r="B55" s="3457"/>
      <c r="C55" s="3457"/>
      <c r="D55" s="3457"/>
    </row>
    <row r="56" spans="1:4" x14ac:dyDescent="0.25">
      <c r="A56" s="577" t="s">
        <v>0</v>
      </c>
      <c r="B56" s="578"/>
      <c r="C56" s="577" t="s">
        <v>7</v>
      </c>
      <c r="D56" s="579" t="s">
        <v>2447</v>
      </c>
    </row>
    <row r="57" spans="1:4" s="38" customFormat="1" x14ac:dyDescent="0.2">
      <c r="A57" s="580" t="s">
        <v>1</v>
      </c>
      <c r="B57" s="581" t="s">
        <v>5</v>
      </c>
      <c r="C57" s="580" t="s">
        <v>6</v>
      </c>
      <c r="D57" s="580" t="s">
        <v>2448</v>
      </c>
    </row>
    <row r="58" spans="1:4" s="38" customFormat="1" x14ac:dyDescent="0.2">
      <c r="A58" s="582"/>
      <c r="B58" s="583"/>
      <c r="C58" s="580">
        <v>2020</v>
      </c>
      <c r="D58" s="580">
        <v>2021</v>
      </c>
    </row>
    <row r="59" spans="1:4" s="38" customFormat="1" ht="16.5" thickBot="1" x14ac:dyDescent="0.25">
      <c r="A59" s="584"/>
      <c r="B59" s="585"/>
      <c r="C59" s="586" t="s">
        <v>4</v>
      </c>
      <c r="D59" s="586" t="s">
        <v>4</v>
      </c>
    </row>
    <row r="60" spans="1:4" s="38" customFormat="1" x14ac:dyDescent="0.2">
      <c r="A60" s="48"/>
      <c r="B60" s="52" t="s">
        <v>1093</v>
      </c>
      <c r="C60" s="47"/>
      <c r="D60" s="47"/>
    </row>
    <row r="61" spans="1:4" s="38" customFormat="1" x14ac:dyDescent="0.2">
      <c r="A61" s="42">
        <v>21010100</v>
      </c>
      <c r="B61" s="43" t="s">
        <v>50</v>
      </c>
      <c r="C61" s="106">
        <f>'APPENDIX PERS COSTS DETAILS'!D85</f>
        <v>20213170</v>
      </c>
      <c r="D61" s="106">
        <f>'APPENDIX PERS COSTS DETAILS'!F85</f>
        <v>3240000</v>
      </c>
    </row>
    <row r="62" spans="1:4" s="38" customFormat="1" x14ac:dyDescent="0.2">
      <c r="A62" s="45">
        <v>21010101</v>
      </c>
      <c r="B62" s="46" t="s">
        <v>51</v>
      </c>
      <c r="C62" s="48"/>
      <c r="D62" s="48"/>
    </row>
    <row r="63" spans="1:4" s="38" customFormat="1" x14ac:dyDescent="0.2">
      <c r="A63" s="45">
        <v>21010102</v>
      </c>
      <c r="B63" s="46" t="s">
        <v>52</v>
      </c>
      <c r="C63" s="48"/>
      <c r="D63" s="48"/>
    </row>
    <row r="64" spans="1:4" s="38" customFormat="1" x14ac:dyDescent="0.2">
      <c r="A64" s="45">
        <v>21010103</v>
      </c>
      <c r="B64" s="46" t="s">
        <v>53</v>
      </c>
      <c r="C64" s="106">
        <f>'APPENDIX PERS COSTS DETAILS'!D90</f>
        <v>11158050</v>
      </c>
      <c r="D64" s="106">
        <f>'APPENDIX PERS COSTS DETAILS'!F90</f>
        <v>11158050</v>
      </c>
    </row>
    <row r="65" spans="1:4" s="38" customFormat="1" x14ac:dyDescent="0.2">
      <c r="A65" s="42">
        <v>210201</v>
      </c>
      <c r="B65" s="43" t="s">
        <v>54</v>
      </c>
      <c r="C65" s="48"/>
      <c r="D65" s="48"/>
    </row>
    <row r="66" spans="1:4" s="38" customFormat="1" x14ac:dyDescent="0.2">
      <c r="A66" s="45">
        <v>21020101</v>
      </c>
      <c r="B66" s="46" t="s">
        <v>55</v>
      </c>
      <c r="C66" s="49"/>
      <c r="D66" s="49"/>
    </row>
    <row r="67" spans="1:4" s="38" customFormat="1" x14ac:dyDescent="0.2">
      <c r="A67" s="42">
        <v>21020200</v>
      </c>
      <c r="B67" s="43" t="s">
        <v>56</v>
      </c>
      <c r="C67" s="48"/>
      <c r="D67" s="48"/>
    </row>
    <row r="68" spans="1:4" s="38" customFormat="1" x14ac:dyDescent="0.2">
      <c r="A68" s="45">
        <v>21020201</v>
      </c>
      <c r="B68" s="46" t="s">
        <v>122</v>
      </c>
      <c r="C68" s="48"/>
      <c r="D68" s="48"/>
    </row>
    <row r="69" spans="1:4" s="38" customFormat="1" x14ac:dyDescent="0.2">
      <c r="A69" s="45">
        <v>21020202</v>
      </c>
      <c r="B69" s="46" t="s">
        <v>123</v>
      </c>
      <c r="C69" s="48"/>
      <c r="D69" s="48"/>
    </row>
    <row r="70" spans="1:4" s="38" customFormat="1" x14ac:dyDescent="0.2">
      <c r="A70" s="45">
        <v>21020203</v>
      </c>
      <c r="B70" s="46" t="s">
        <v>57</v>
      </c>
      <c r="C70" s="48"/>
      <c r="D70" s="48"/>
    </row>
    <row r="71" spans="1:4" s="38" customFormat="1" x14ac:dyDescent="0.2">
      <c r="A71" s="45">
        <v>21020204</v>
      </c>
      <c r="B71" s="46" t="s">
        <v>58</v>
      </c>
      <c r="C71" s="48"/>
      <c r="D71" s="48"/>
    </row>
    <row r="72" spans="1:4" s="38" customFormat="1" x14ac:dyDescent="0.2">
      <c r="A72" s="45">
        <v>21020205</v>
      </c>
      <c r="B72" s="46" t="s">
        <v>59</v>
      </c>
      <c r="C72" s="48"/>
      <c r="D72" s="48"/>
    </row>
    <row r="73" spans="1:4" s="38" customFormat="1" x14ac:dyDescent="0.2">
      <c r="A73" s="42">
        <v>21030100</v>
      </c>
      <c r="B73" s="43" t="s">
        <v>60</v>
      </c>
      <c r="C73" s="47"/>
      <c r="D73" s="47"/>
    </row>
    <row r="74" spans="1:4" s="38" customFormat="1" x14ac:dyDescent="0.2">
      <c r="A74" s="45">
        <v>21030101</v>
      </c>
      <c r="B74" s="46" t="s">
        <v>61</v>
      </c>
      <c r="C74" s="47"/>
      <c r="D74" s="47"/>
    </row>
    <row r="75" spans="1:4" s="38" customFormat="1" x14ac:dyDescent="0.2">
      <c r="A75" s="45">
        <v>21030102</v>
      </c>
      <c r="B75" s="46" t="s">
        <v>62</v>
      </c>
      <c r="C75" s="47"/>
      <c r="D75" s="47"/>
    </row>
    <row r="76" spans="1:4" s="38" customFormat="1" x14ac:dyDescent="0.2">
      <c r="A76" s="45">
        <v>21030103</v>
      </c>
      <c r="B76" s="46" t="s">
        <v>63</v>
      </c>
      <c r="C76" s="47"/>
      <c r="D76" s="47"/>
    </row>
    <row r="77" spans="1:4" s="38" customFormat="1" x14ac:dyDescent="0.2">
      <c r="A77" s="45"/>
      <c r="B77" s="46"/>
      <c r="C77" s="48"/>
      <c r="D77" s="48"/>
    </row>
    <row r="78" spans="1:4" s="38" customFormat="1" x14ac:dyDescent="0.2">
      <c r="A78" s="587"/>
      <c r="B78" s="588" t="s">
        <v>2</v>
      </c>
      <c r="C78" s="107">
        <f>SUM(C61:C77)</f>
        <v>31371220</v>
      </c>
      <c r="D78" s="107">
        <f>SUM(D61:D77)</f>
        <v>14398050</v>
      </c>
    </row>
    <row r="79" spans="1:4" s="51" customFormat="1" x14ac:dyDescent="0.25">
      <c r="A79" s="3456"/>
      <c r="B79" s="3456"/>
      <c r="C79" s="3456"/>
      <c r="D79" s="3456"/>
    </row>
    <row r="80" spans="1:4" x14ac:dyDescent="0.25">
      <c r="A80" s="3456" t="s">
        <v>1044</v>
      </c>
      <c r="B80" s="3456"/>
      <c r="C80" s="3456"/>
      <c r="D80" s="3456"/>
    </row>
    <row r="81" spans="1:4" ht="16.5" thickBot="1" x14ac:dyDescent="0.3">
      <c r="A81" s="3456" t="s">
        <v>2759</v>
      </c>
      <c r="B81" s="3456"/>
      <c r="C81" s="3456"/>
      <c r="D81" s="3456"/>
    </row>
    <row r="82" spans="1:4" x14ac:dyDescent="0.25">
      <c r="A82" s="577" t="s">
        <v>0</v>
      </c>
      <c r="B82" s="578"/>
      <c r="C82" s="577" t="s">
        <v>7</v>
      </c>
      <c r="D82" s="579" t="s">
        <v>2447</v>
      </c>
    </row>
    <row r="83" spans="1:4" s="38" customFormat="1" x14ac:dyDescent="0.2">
      <c r="A83" s="580" t="s">
        <v>1</v>
      </c>
      <c r="B83" s="581" t="s">
        <v>5</v>
      </c>
      <c r="C83" s="580" t="s">
        <v>6</v>
      </c>
      <c r="D83" s="580" t="s">
        <v>2448</v>
      </c>
    </row>
    <row r="84" spans="1:4" s="38" customFormat="1" x14ac:dyDescent="0.2">
      <c r="A84" s="582"/>
      <c r="B84" s="583"/>
      <c r="C84" s="580">
        <v>2020</v>
      </c>
      <c r="D84" s="580">
        <v>2021</v>
      </c>
    </row>
    <row r="85" spans="1:4" s="38" customFormat="1" ht="16.5" thickBot="1" x14ac:dyDescent="0.25">
      <c r="A85" s="584"/>
      <c r="B85" s="585"/>
      <c r="C85" s="586" t="s">
        <v>4</v>
      </c>
      <c r="D85" s="586" t="s">
        <v>4</v>
      </c>
    </row>
    <row r="86" spans="1:4" s="38" customFormat="1" x14ac:dyDescent="0.2">
      <c r="A86" s="48"/>
      <c r="B86" s="52" t="s">
        <v>1093</v>
      </c>
      <c r="C86" s="47"/>
      <c r="D86" s="47"/>
    </row>
    <row r="87" spans="1:4" s="38" customFormat="1" x14ac:dyDescent="0.2">
      <c r="A87" s="42">
        <v>21010100</v>
      </c>
      <c r="B87" s="43" t="s">
        <v>50</v>
      </c>
      <c r="C87" s="106">
        <f>'APPENDIX PERS COSTS DETAILS'!D114</f>
        <v>12881335</v>
      </c>
      <c r="D87" s="106">
        <f>'APPENDIX PERS COSTS DETAILS'!F114</f>
        <v>12564816</v>
      </c>
    </row>
    <row r="88" spans="1:4" s="38" customFormat="1" x14ac:dyDescent="0.2">
      <c r="A88" s="45">
        <v>21010101</v>
      </c>
      <c r="B88" s="46" t="s">
        <v>51</v>
      </c>
      <c r="C88" s="106"/>
      <c r="D88" s="106"/>
    </row>
    <row r="89" spans="1:4" s="38" customFormat="1" x14ac:dyDescent="0.2">
      <c r="A89" s="45">
        <v>21010102</v>
      </c>
      <c r="B89" s="46" t="s">
        <v>52</v>
      </c>
      <c r="C89" s="48"/>
      <c r="D89" s="48"/>
    </row>
    <row r="90" spans="1:4" s="38" customFormat="1" x14ac:dyDescent="0.2">
      <c r="A90" s="45">
        <v>21010103</v>
      </c>
      <c r="B90" s="46" t="s">
        <v>53</v>
      </c>
      <c r="C90" s="106">
        <f>'APPENDIX PERS COSTS DETAILS'!D117</f>
        <v>5729815</v>
      </c>
      <c r="D90" s="106">
        <f>'APPENDIX PERS COSTS DETAILS'!F117</f>
        <v>5729815</v>
      </c>
    </row>
    <row r="91" spans="1:4" s="38" customFormat="1" x14ac:dyDescent="0.2">
      <c r="A91" s="42">
        <v>210201</v>
      </c>
      <c r="B91" s="43" t="s">
        <v>54</v>
      </c>
      <c r="C91" s="48"/>
      <c r="D91" s="48"/>
    </row>
    <row r="92" spans="1:4" s="38" customFormat="1" x14ac:dyDescent="0.2">
      <c r="A92" s="45">
        <v>21020101</v>
      </c>
      <c r="B92" s="46" t="s">
        <v>55</v>
      </c>
      <c r="C92" s="49"/>
      <c r="D92" s="49"/>
    </row>
    <row r="93" spans="1:4" s="38" customFormat="1" x14ac:dyDescent="0.2">
      <c r="A93" s="42">
        <v>21020200</v>
      </c>
      <c r="B93" s="43" t="s">
        <v>56</v>
      </c>
      <c r="C93" s="48"/>
      <c r="D93" s="48"/>
    </row>
    <row r="94" spans="1:4" s="38" customFormat="1" x14ac:dyDescent="0.2">
      <c r="A94" s="45">
        <v>21020201</v>
      </c>
      <c r="B94" s="46" t="s">
        <v>122</v>
      </c>
      <c r="C94" s="48"/>
      <c r="D94" s="48"/>
    </row>
    <row r="95" spans="1:4" s="38" customFormat="1" x14ac:dyDescent="0.2">
      <c r="A95" s="45">
        <v>21020202</v>
      </c>
      <c r="B95" s="46" t="s">
        <v>123</v>
      </c>
      <c r="C95" s="48"/>
      <c r="D95" s="48"/>
    </row>
    <row r="96" spans="1:4" s="38" customFormat="1" x14ac:dyDescent="0.2">
      <c r="A96" s="45">
        <v>21020203</v>
      </c>
      <c r="B96" s="46" t="s">
        <v>57</v>
      </c>
      <c r="C96" s="48"/>
      <c r="D96" s="48"/>
    </row>
    <row r="97" spans="1:4" s="38" customFormat="1" x14ac:dyDescent="0.2">
      <c r="A97" s="45">
        <v>21020204</v>
      </c>
      <c r="B97" s="46" t="s">
        <v>58</v>
      </c>
      <c r="C97" s="48"/>
      <c r="D97" s="48"/>
    </row>
    <row r="98" spans="1:4" s="38" customFormat="1" x14ac:dyDescent="0.2">
      <c r="A98" s="45">
        <v>21020205</v>
      </c>
      <c r="B98" s="46" t="s">
        <v>59</v>
      </c>
      <c r="C98" s="48"/>
      <c r="D98" s="48"/>
    </row>
    <row r="99" spans="1:4" s="38" customFormat="1" x14ac:dyDescent="0.2">
      <c r="A99" s="42">
        <v>21030100</v>
      </c>
      <c r="B99" s="43" t="s">
        <v>60</v>
      </c>
      <c r="C99" s="47"/>
      <c r="D99" s="47"/>
    </row>
    <row r="100" spans="1:4" s="38" customFormat="1" x14ac:dyDescent="0.2">
      <c r="A100" s="45">
        <v>21030101</v>
      </c>
      <c r="B100" s="46" t="s">
        <v>61</v>
      </c>
      <c r="C100" s="47"/>
      <c r="D100" s="47"/>
    </row>
    <row r="101" spans="1:4" s="38" customFormat="1" x14ac:dyDescent="0.2">
      <c r="A101" s="45">
        <v>21030102</v>
      </c>
      <c r="B101" s="46" t="s">
        <v>62</v>
      </c>
      <c r="C101" s="47"/>
      <c r="D101" s="47"/>
    </row>
    <row r="102" spans="1:4" s="38" customFormat="1" x14ac:dyDescent="0.2">
      <c r="A102" s="45">
        <v>21030103</v>
      </c>
      <c r="B102" s="46" t="s">
        <v>63</v>
      </c>
      <c r="C102" s="47"/>
      <c r="D102" s="47"/>
    </row>
    <row r="103" spans="1:4" s="38" customFormat="1" x14ac:dyDescent="0.2">
      <c r="A103" s="45"/>
      <c r="B103" s="46"/>
      <c r="C103" s="48"/>
      <c r="D103" s="48"/>
    </row>
    <row r="104" spans="1:4" s="38" customFormat="1" x14ac:dyDescent="0.2">
      <c r="A104" s="587"/>
      <c r="B104" s="588" t="s">
        <v>2</v>
      </c>
      <c r="C104" s="107">
        <f>SUM(C88:C103)</f>
        <v>5729815</v>
      </c>
      <c r="D104" s="107">
        <f>SUM(D88:D103)</f>
        <v>5729815</v>
      </c>
    </row>
    <row r="105" spans="1:4" s="51" customFormat="1" x14ac:dyDescent="0.25">
      <c r="A105" s="3456"/>
      <c r="B105" s="3456"/>
      <c r="C105" s="3456"/>
      <c r="D105" s="3456"/>
    </row>
    <row r="106" spans="1:4" x14ac:dyDescent="0.25">
      <c r="A106" s="3456" t="s">
        <v>1092</v>
      </c>
      <c r="B106" s="3456"/>
      <c r="C106" s="3456"/>
      <c r="D106" s="3456"/>
    </row>
    <row r="107" spans="1:4" ht="16.5" thickBot="1" x14ac:dyDescent="0.3">
      <c r="A107" s="3457" t="s">
        <v>2831</v>
      </c>
      <c r="B107" s="3457"/>
      <c r="C107" s="3457"/>
      <c r="D107" s="3457"/>
    </row>
    <row r="108" spans="1:4" x14ac:dyDescent="0.25">
      <c r="A108" s="577" t="s">
        <v>0</v>
      </c>
      <c r="B108" s="578"/>
      <c r="C108" s="577" t="s">
        <v>7</v>
      </c>
      <c r="D108" s="579" t="s">
        <v>2447</v>
      </c>
    </row>
    <row r="109" spans="1:4" s="38" customFormat="1" x14ac:dyDescent="0.2">
      <c r="A109" s="580" t="s">
        <v>1</v>
      </c>
      <c r="B109" s="581" t="s">
        <v>5</v>
      </c>
      <c r="C109" s="580" t="s">
        <v>6</v>
      </c>
      <c r="D109" s="580" t="s">
        <v>2448</v>
      </c>
    </row>
    <row r="110" spans="1:4" s="38" customFormat="1" x14ac:dyDescent="0.2">
      <c r="A110" s="582"/>
      <c r="B110" s="583"/>
      <c r="C110" s="580">
        <v>2020</v>
      </c>
      <c r="D110" s="580">
        <v>2021</v>
      </c>
    </row>
    <row r="111" spans="1:4" s="38" customFormat="1" ht="16.5" thickBot="1" x14ac:dyDescent="0.25">
      <c r="A111" s="584"/>
      <c r="B111" s="585"/>
      <c r="C111" s="586" t="s">
        <v>4</v>
      </c>
      <c r="D111" s="586" t="s">
        <v>4</v>
      </c>
    </row>
    <row r="112" spans="1:4" s="38" customFormat="1" x14ac:dyDescent="0.2">
      <c r="A112" s="48"/>
      <c r="B112" s="52" t="s">
        <v>1093</v>
      </c>
      <c r="C112" s="47"/>
      <c r="D112" s="47"/>
    </row>
    <row r="113" spans="1:4" s="38" customFormat="1" x14ac:dyDescent="0.2">
      <c r="A113" s="42">
        <v>21010100</v>
      </c>
      <c r="B113" s="43" t="s">
        <v>50</v>
      </c>
      <c r="C113" s="106">
        <f>'APPENDIX PERS COSTS DETAILS'!D141</f>
        <v>4891495</v>
      </c>
      <c r="D113" s="106">
        <f>'APPENDIX PERS COSTS DETAILS'!F141</f>
        <v>0</v>
      </c>
    </row>
    <row r="114" spans="1:4" s="38" customFormat="1" x14ac:dyDescent="0.2">
      <c r="A114" s="45">
        <v>21010101</v>
      </c>
      <c r="B114" s="46" t="s">
        <v>51</v>
      </c>
      <c r="C114" s="48"/>
      <c r="D114" s="48"/>
    </row>
    <row r="115" spans="1:4" s="38" customFormat="1" x14ac:dyDescent="0.2">
      <c r="A115" s="45">
        <v>21010102</v>
      </c>
      <c r="B115" s="46" t="s">
        <v>52</v>
      </c>
      <c r="C115" s="48"/>
      <c r="D115" s="48"/>
    </row>
    <row r="116" spans="1:4" s="38" customFormat="1" x14ac:dyDescent="0.2">
      <c r="A116" s="45">
        <v>21010103</v>
      </c>
      <c r="B116" s="46" t="s">
        <v>53</v>
      </c>
      <c r="C116" s="106">
        <f>'APPENDIX PERS COSTS DETAILS'!D144</f>
        <v>5428235.0300000003</v>
      </c>
      <c r="D116" s="106">
        <f>'APPENDIX PERS COSTS DETAILS'!F144</f>
        <v>5428235</v>
      </c>
    </row>
    <row r="117" spans="1:4" s="38" customFormat="1" x14ac:dyDescent="0.2">
      <c r="A117" s="42">
        <v>210201</v>
      </c>
      <c r="B117" s="43" t="s">
        <v>54</v>
      </c>
      <c r="C117" s="48"/>
      <c r="D117" s="48"/>
    </row>
    <row r="118" spans="1:4" s="38" customFormat="1" x14ac:dyDescent="0.2">
      <c r="A118" s="45">
        <v>21020101</v>
      </c>
      <c r="B118" s="46" t="s">
        <v>55</v>
      </c>
      <c r="C118" s="49"/>
      <c r="D118" s="49"/>
    </row>
    <row r="119" spans="1:4" s="38" customFormat="1" x14ac:dyDescent="0.2">
      <c r="A119" s="42">
        <v>21020200</v>
      </c>
      <c r="B119" s="43" t="s">
        <v>56</v>
      </c>
      <c r="C119" s="48"/>
      <c r="D119" s="48"/>
    </row>
    <row r="120" spans="1:4" s="38" customFormat="1" x14ac:dyDescent="0.2">
      <c r="A120" s="45">
        <v>21020201</v>
      </c>
      <c r="B120" s="46" t="s">
        <v>122</v>
      </c>
      <c r="C120" s="48"/>
      <c r="D120" s="48"/>
    </row>
    <row r="121" spans="1:4" s="38" customFormat="1" x14ac:dyDescent="0.2">
      <c r="A121" s="45">
        <v>21020202</v>
      </c>
      <c r="B121" s="46" t="s">
        <v>123</v>
      </c>
      <c r="C121" s="48"/>
      <c r="D121" s="48"/>
    </row>
    <row r="122" spans="1:4" s="38" customFormat="1" x14ac:dyDescent="0.2">
      <c r="A122" s="45">
        <v>21020203</v>
      </c>
      <c r="B122" s="46" t="s">
        <v>57</v>
      </c>
      <c r="C122" s="48"/>
      <c r="D122" s="48"/>
    </row>
    <row r="123" spans="1:4" s="38" customFormat="1" x14ac:dyDescent="0.2">
      <c r="A123" s="45">
        <v>21020204</v>
      </c>
      <c r="B123" s="46" t="s">
        <v>58</v>
      </c>
      <c r="C123" s="48"/>
      <c r="D123" s="48"/>
    </row>
    <row r="124" spans="1:4" s="38" customFormat="1" x14ac:dyDescent="0.2">
      <c r="A124" s="45">
        <v>21020205</v>
      </c>
      <c r="B124" s="46" t="s">
        <v>59</v>
      </c>
      <c r="C124" s="48"/>
      <c r="D124" s="48"/>
    </row>
    <row r="125" spans="1:4" s="38" customFormat="1" x14ac:dyDescent="0.2">
      <c r="A125" s="42">
        <v>21030100</v>
      </c>
      <c r="B125" s="43" t="s">
        <v>60</v>
      </c>
      <c r="C125" s="47"/>
      <c r="D125" s="47"/>
    </row>
    <row r="126" spans="1:4" s="38" customFormat="1" x14ac:dyDescent="0.2">
      <c r="A126" s="45">
        <v>21030101</v>
      </c>
      <c r="B126" s="46" t="s">
        <v>61</v>
      </c>
      <c r="C126" s="47"/>
      <c r="D126" s="47"/>
    </row>
    <row r="127" spans="1:4" s="38" customFormat="1" x14ac:dyDescent="0.2">
      <c r="A127" s="45">
        <v>21030102</v>
      </c>
      <c r="B127" s="46" t="s">
        <v>62</v>
      </c>
      <c r="C127" s="47"/>
      <c r="D127" s="47"/>
    </row>
    <row r="128" spans="1:4" s="38" customFormat="1" x14ac:dyDescent="0.2">
      <c r="A128" s="45">
        <v>21030103</v>
      </c>
      <c r="B128" s="46" t="s">
        <v>63</v>
      </c>
      <c r="C128" s="47"/>
      <c r="D128" s="47"/>
    </row>
    <row r="129" spans="1:4" s="38" customFormat="1" x14ac:dyDescent="0.2">
      <c r="A129" s="587"/>
      <c r="B129" s="588" t="s">
        <v>2</v>
      </c>
      <c r="C129" s="107">
        <f>SUM(C113:C128)</f>
        <v>10319730.030000001</v>
      </c>
      <c r="D129" s="107">
        <f>SUM(D113:D128)</f>
        <v>5428235</v>
      </c>
    </row>
    <row r="130" spans="1:4" s="51" customFormat="1" x14ac:dyDescent="0.25">
      <c r="A130" s="3456"/>
      <c r="B130" s="3456"/>
      <c r="C130" s="3456"/>
      <c r="D130" s="3456"/>
    </row>
    <row r="131" spans="1:4" x14ac:dyDescent="0.25">
      <c r="A131" s="3456" t="s">
        <v>1446</v>
      </c>
      <c r="B131" s="3456"/>
      <c r="C131" s="3456"/>
      <c r="D131" s="3456"/>
    </row>
    <row r="132" spans="1:4" ht="16.5" thickBot="1" x14ac:dyDescent="0.3">
      <c r="A132" s="3456" t="s">
        <v>2760</v>
      </c>
      <c r="B132" s="3456"/>
      <c r="C132" s="3456"/>
      <c r="D132" s="3456"/>
    </row>
    <row r="133" spans="1:4" x14ac:dyDescent="0.25">
      <c r="A133" s="577" t="s">
        <v>0</v>
      </c>
      <c r="B133" s="578"/>
      <c r="C133" s="577" t="s">
        <v>7</v>
      </c>
      <c r="D133" s="579" t="s">
        <v>2447</v>
      </c>
    </row>
    <row r="134" spans="1:4" s="38" customFormat="1" x14ac:dyDescent="0.2">
      <c r="A134" s="580" t="s">
        <v>1</v>
      </c>
      <c r="B134" s="581" t="s">
        <v>5</v>
      </c>
      <c r="C134" s="580" t="s">
        <v>6</v>
      </c>
      <c r="D134" s="580" t="s">
        <v>2448</v>
      </c>
    </row>
    <row r="135" spans="1:4" s="38" customFormat="1" x14ac:dyDescent="0.2">
      <c r="A135" s="582"/>
      <c r="B135" s="583"/>
      <c r="C135" s="580">
        <v>2020</v>
      </c>
      <c r="D135" s="580">
        <v>2021</v>
      </c>
    </row>
    <row r="136" spans="1:4" s="38" customFormat="1" ht="16.5" thickBot="1" x14ac:dyDescent="0.25">
      <c r="A136" s="584"/>
      <c r="B136" s="585"/>
      <c r="C136" s="586" t="s">
        <v>4</v>
      </c>
      <c r="D136" s="586" t="s">
        <v>4</v>
      </c>
    </row>
    <row r="137" spans="1:4" s="38" customFormat="1" x14ac:dyDescent="0.2">
      <c r="A137" s="48"/>
      <c r="B137" s="52" t="s">
        <v>1093</v>
      </c>
      <c r="C137" s="47"/>
      <c r="D137" s="47"/>
    </row>
    <row r="138" spans="1:4" s="38" customFormat="1" x14ac:dyDescent="0.2">
      <c r="A138" s="42">
        <v>21010100</v>
      </c>
      <c r="B138" s="43" t="s">
        <v>50</v>
      </c>
      <c r="C138" s="106"/>
      <c r="D138" s="106"/>
    </row>
    <row r="139" spans="1:4" s="38" customFormat="1" x14ac:dyDescent="0.2">
      <c r="A139" s="45">
        <v>21010101</v>
      </c>
      <c r="B139" s="46" t="s">
        <v>51</v>
      </c>
      <c r="C139" s="106">
        <f>'APPENDIX PERS COSTS DETAILS'!D167</f>
        <v>131962370</v>
      </c>
      <c r="D139" s="106">
        <f>'APPENDIX PERS COSTS DETAILS'!F167</f>
        <v>131259682</v>
      </c>
    </row>
    <row r="140" spans="1:4" s="38" customFormat="1" x14ac:dyDescent="0.2">
      <c r="A140" s="45">
        <v>21010102</v>
      </c>
      <c r="B140" s="46" t="s">
        <v>52</v>
      </c>
      <c r="C140" s="48"/>
      <c r="D140" s="48"/>
    </row>
    <row r="141" spans="1:4" s="38" customFormat="1" x14ac:dyDescent="0.2">
      <c r="A141" s="45">
        <v>21010103</v>
      </c>
      <c r="B141" s="46" t="s">
        <v>53</v>
      </c>
      <c r="C141" s="48"/>
      <c r="D141" s="48"/>
    </row>
    <row r="142" spans="1:4" s="38" customFormat="1" x14ac:dyDescent="0.2">
      <c r="A142" s="42">
        <v>210201</v>
      </c>
      <c r="B142" s="43" t="s">
        <v>54</v>
      </c>
      <c r="C142" s="106">
        <f>'APPENDIX PERS COSTS DETAILS'!D177</f>
        <v>28133030</v>
      </c>
      <c r="D142" s="106">
        <f>'APPENDIX PERS COSTS DETAILS'!F177</f>
        <v>124367432</v>
      </c>
    </row>
    <row r="143" spans="1:4" s="38" customFormat="1" x14ac:dyDescent="0.2">
      <c r="A143" s="45">
        <v>21020101</v>
      </c>
      <c r="B143" s="46" t="s">
        <v>55</v>
      </c>
      <c r="C143" s="49"/>
      <c r="D143" s="49"/>
    </row>
    <row r="144" spans="1:4" s="38" customFormat="1" x14ac:dyDescent="0.2">
      <c r="A144" s="42">
        <v>21020200</v>
      </c>
      <c r="B144" s="43" t="s">
        <v>56</v>
      </c>
      <c r="C144" s="48"/>
      <c r="D144" s="48"/>
    </row>
    <row r="145" spans="1:4" s="38" customFormat="1" x14ac:dyDescent="0.2">
      <c r="A145" s="45">
        <v>21020201</v>
      </c>
      <c r="B145" s="46" t="s">
        <v>122</v>
      </c>
      <c r="C145" s="48"/>
      <c r="D145" s="48"/>
    </row>
    <row r="146" spans="1:4" s="38" customFormat="1" x14ac:dyDescent="0.2">
      <c r="A146" s="45">
        <v>21020202</v>
      </c>
      <c r="B146" s="46" t="s">
        <v>123</v>
      </c>
      <c r="C146" s="48"/>
      <c r="D146" s="48"/>
    </row>
    <row r="147" spans="1:4" s="38" customFormat="1" x14ac:dyDescent="0.2">
      <c r="A147" s="45">
        <v>21020203</v>
      </c>
      <c r="B147" s="46" t="s">
        <v>57</v>
      </c>
      <c r="C147" s="48"/>
      <c r="D147" s="48"/>
    </row>
    <row r="148" spans="1:4" s="38" customFormat="1" x14ac:dyDescent="0.2">
      <c r="A148" s="45">
        <v>21020204</v>
      </c>
      <c r="B148" s="46" t="s">
        <v>58</v>
      </c>
      <c r="C148" s="48"/>
      <c r="D148" s="48"/>
    </row>
    <row r="149" spans="1:4" s="38" customFormat="1" x14ac:dyDescent="0.2">
      <c r="A149" s="45">
        <v>21020205</v>
      </c>
      <c r="B149" s="46" t="s">
        <v>59</v>
      </c>
      <c r="C149" s="48"/>
      <c r="D149" s="48"/>
    </row>
    <row r="150" spans="1:4" s="38" customFormat="1" x14ac:dyDescent="0.2">
      <c r="A150" s="42">
        <v>21030100</v>
      </c>
      <c r="B150" s="43" t="s">
        <v>60</v>
      </c>
      <c r="C150" s="47"/>
      <c r="D150" s="47"/>
    </row>
    <row r="151" spans="1:4" s="38" customFormat="1" x14ac:dyDescent="0.2">
      <c r="A151" s="45">
        <v>21030101</v>
      </c>
      <c r="B151" s="46" t="s">
        <v>61</v>
      </c>
      <c r="C151" s="47"/>
      <c r="D151" s="47"/>
    </row>
    <row r="152" spans="1:4" s="38" customFormat="1" x14ac:dyDescent="0.2">
      <c r="A152" s="45">
        <v>21030102</v>
      </c>
      <c r="B152" s="46" t="s">
        <v>62</v>
      </c>
      <c r="C152" s="47"/>
      <c r="D152" s="47"/>
    </row>
    <row r="153" spans="1:4" s="38" customFormat="1" x14ac:dyDescent="0.2">
      <c r="A153" s="45">
        <v>21030103</v>
      </c>
      <c r="B153" s="46" t="s">
        <v>63</v>
      </c>
      <c r="C153" s="47"/>
      <c r="D153" s="47"/>
    </row>
    <row r="154" spans="1:4" s="38" customFormat="1" x14ac:dyDescent="0.2">
      <c r="A154" s="45">
        <v>21030104</v>
      </c>
      <c r="B154" s="46" t="s">
        <v>3141</v>
      </c>
      <c r="C154" s="106">
        <f>'APPENDIX PERS COSTS DETAILS'!D168</f>
        <v>1301024520</v>
      </c>
      <c r="D154" s="106">
        <f>'APPENDIX PERS COSTS DETAILS'!F168</f>
        <v>1595913000</v>
      </c>
    </row>
    <row r="155" spans="1:4" s="38" customFormat="1" x14ac:dyDescent="0.2">
      <c r="A155" s="587"/>
      <c r="B155" s="588" t="s">
        <v>2</v>
      </c>
      <c r="C155" s="107">
        <f>SUM(C138:C154)</f>
        <v>1461119920</v>
      </c>
      <c r="D155" s="107">
        <f>SUM(D138:D154)</f>
        <v>1851540114</v>
      </c>
    </row>
    <row r="156" spans="1:4" s="51" customFormat="1" x14ac:dyDescent="0.25">
      <c r="A156" s="3458"/>
      <c r="B156" s="3458"/>
      <c r="C156" s="3458"/>
      <c r="D156" s="3458"/>
    </row>
    <row r="157" spans="1:4" x14ac:dyDescent="0.25">
      <c r="A157" s="3456" t="s">
        <v>153</v>
      </c>
      <c r="B157" s="3456"/>
      <c r="C157" s="3456"/>
      <c r="D157" s="3456"/>
    </row>
    <row r="158" spans="1:4" ht="16.5" thickBot="1" x14ac:dyDescent="0.3">
      <c r="A158" s="3457" t="s">
        <v>2761</v>
      </c>
      <c r="B158" s="3457"/>
      <c r="C158" s="3457"/>
      <c r="D158" s="3457"/>
    </row>
    <row r="159" spans="1:4" x14ac:dyDescent="0.25">
      <c r="A159" s="577" t="s">
        <v>0</v>
      </c>
      <c r="B159" s="578"/>
      <c r="C159" s="577" t="s">
        <v>7</v>
      </c>
      <c r="D159" s="579" t="s">
        <v>2447</v>
      </c>
    </row>
    <row r="160" spans="1:4" s="38" customFormat="1" x14ac:dyDescent="0.2">
      <c r="A160" s="580" t="s">
        <v>1</v>
      </c>
      <c r="B160" s="581" t="s">
        <v>5</v>
      </c>
      <c r="C160" s="580" t="s">
        <v>6</v>
      </c>
      <c r="D160" s="580" t="s">
        <v>2448</v>
      </c>
    </row>
    <row r="161" spans="1:4" s="38" customFormat="1" x14ac:dyDescent="0.2">
      <c r="A161" s="582"/>
      <c r="B161" s="583"/>
      <c r="C161" s="580">
        <v>2020</v>
      </c>
      <c r="D161" s="580">
        <v>2021</v>
      </c>
    </row>
    <row r="162" spans="1:4" s="38" customFormat="1" ht="16.5" thickBot="1" x14ac:dyDescent="0.25">
      <c r="A162" s="584"/>
      <c r="B162" s="585"/>
      <c r="C162" s="586" t="s">
        <v>4</v>
      </c>
      <c r="D162" s="586" t="s">
        <v>4</v>
      </c>
    </row>
    <row r="163" spans="1:4" s="38" customFormat="1" x14ac:dyDescent="0.2">
      <c r="A163" s="48"/>
      <c r="B163" s="52" t="s">
        <v>1093</v>
      </c>
      <c r="C163" s="47"/>
      <c r="D163" s="47"/>
    </row>
    <row r="164" spans="1:4" s="38" customFormat="1" x14ac:dyDescent="0.2">
      <c r="A164" s="42">
        <v>21010100</v>
      </c>
      <c r="B164" s="43" t="s">
        <v>50</v>
      </c>
      <c r="C164" s="106">
        <f>'APPENDIX PERS COSTS DETAILS'!D204</f>
        <v>104007900</v>
      </c>
      <c r="D164" s="106">
        <f>'APPENDIX PERS COSTS DETAILS'!F204-'APPENDIX PERS COSTS DETAILS'!F203</f>
        <v>48445010</v>
      </c>
    </row>
    <row r="165" spans="1:4" s="38" customFormat="1" x14ac:dyDescent="0.2">
      <c r="A165" s="45">
        <v>21010101</v>
      </c>
      <c r="B165" s="46" t="s">
        <v>51</v>
      </c>
      <c r="C165" s="48"/>
      <c r="D165" s="48"/>
    </row>
    <row r="166" spans="1:4" s="38" customFormat="1" x14ac:dyDescent="0.2">
      <c r="A166" s="45">
        <v>21010102</v>
      </c>
      <c r="B166" s="46" t="s">
        <v>52</v>
      </c>
      <c r="C166" s="48"/>
      <c r="D166" s="48"/>
    </row>
    <row r="167" spans="1:4" s="38" customFormat="1" x14ac:dyDescent="0.2">
      <c r="A167" s="45">
        <v>21010103</v>
      </c>
      <c r="B167" s="46" t="s">
        <v>53</v>
      </c>
      <c r="C167" s="106">
        <f>'APPENDIX PERS COSTS DETAILS'!D209</f>
        <v>11245165.030000001</v>
      </c>
      <c r="D167" s="106">
        <f>'APPENDIX PERS COSTS DETAILS'!F209</f>
        <v>11245165</v>
      </c>
    </row>
    <row r="168" spans="1:4" s="38" customFormat="1" x14ac:dyDescent="0.2">
      <c r="A168" s="42">
        <v>210201</v>
      </c>
      <c r="B168" s="43" t="s">
        <v>54</v>
      </c>
      <c r="C168" s="48"/>
      <c r="D168" s="48"/>
    </row>
    <row r="169" spans="1:4" s="38" customFormat="1" x14ac:dyDescent="0.2">
      <c r="A169" s="45">
        <v>21020101</v>
      </c>
      <c r="B169" s="46" t="s">
        <v>55</v>
      </c>
      <c r="C169" s="49"/>
      <c r="D169" s="49"/>
    </row>
    <row r="170" spans="1:4" s="38" customFormat="1" x14ac:dyDescent="0.2">
      <c r="A170" s="42">
        <v>21020200</v>
      </c>
      <c r="B170" s="43" t="s">
        <v>56</v>
      </c>
      <c r="C170" s="48"/>
      <c r="D170" s="48"/>
    </row>
    <row r="171" spans="1:4" s="38" customFormat="1" x14ac:dyDescent="0.2">
      <c r="A171" s="45">
        <v>21020201</v>
      </c>
      <c r="B171" s="46" t="s">
        <v>122</v>
      </c>
      <c r="C171" s="48"/>
      <c r="D171" s="48"/>
    </row>
    <row r="172" spans="1:4" s="38" customFormat="1" x14ac:dyDescent="0.2">
      <c r="A172" s="45">
        <v>21020202</v>
      </c>
      <c r="B172" s="46" t="s">
        <v>123</v>
      </c>
      <c r="C172" s="48"/>
      <c r="D172" s="48"/>
    </row>
    <row r="173" spans="1:4" s="38" customFormat="1" x14ac:dyDescent="0.2">
      <c r="A173" s="45">
        <v>21020203</v>
      </c>
      <c r="B173" s="46" t="s">
        <v>57</v>
      </c>
      <c r="C173" s="48"/>
      <c r="D173" s="48"/>
    </row>
    <row r="174" spans="1:4" s="38" customFormat="1" x14ac:dyDescent="0.2">
      <c r="A174" s="45">
        <v>21020204</v>
      </c>
      <c r="B174" s="46" t="s">
        <v>58</v>
      </c>
      <c r="C174" s="48"/>
      <c r="D174" s="48"/>
    </row>
    <row r="175" spans="1:4" s="38" customFormat="1" x14ac:dyDescent="0.2">
      <c r="A175" s="45">
        <v>21020205</v>
      </c>
      <c r="B175" s="46" t="s">
        <v>59</v>
      </c>
      <c r="C175" s="48"/>
      <c r="D175" s="48"/>
    </row>
    <row r="176" spans="1:4" s="38" customFormat="1" x14ac:dyDescent="0.2">
      <c r="A176" s="42">
        <v>21030100</v>
      </c>
      <c r="B176" s="43" t="s">
        <v>60</v>
      </c>
      <c r="C176" s="47"/>
      <c r="D176" s="47"/>
    </row>
    <row r="177" spans="1:4" s="38" customFormat="1" x14ac:dyDescent="0.2">
      <c r="A177" s="45">
        <v>21030101</v>
      </c>
      <c r="B177" s="46" t="s">
        <v>61</v>
      </c>
      <c r="C177" s="47"/>
      <c r="D177" s="47"/>
    </row>
    <row r="178" spans="1:4" s="38" customFormat="1" x14ac:dyDescent="0.2">
      <c r="A178" s="45">
        <v>21030102</v>
      </c>
      <c r="B178" s="46" t="s">
        <v>62</v>
      </c>
      <c r="C178" s="47"/>
      <c r="D178" s="47"/>
    </row>
    <row r="179" spans="1:4" s="38" customFormat="1" x14ac:dyDescent="0.2">
      <c r="A179" s="45">
        <v>21030103</v>
      </c>
      <c r="B179" s="46" t="s">
        <v>63</v>
      </c>
      <c r="C179" s="47"/>
      <c r="D179" s="47"/>
    </row>
    <row r="180" spans="1:4" s="38" customFormat="1" x14ac:dyDescent="0.2">
      <c r="A180" s="45"/>
      <c r="B180" s="46"/>
      <c r="C180" s="48"/>
      <c r="D180" s="48"/>
    </row>
    <row r="181" spans="1:4" s="38" customFormat="1" x14ac:dyDescent="0.2">
      <c r="A181" s="587"/>
      <c r="B181" s="588" t="s">
        <v>2</v>
      </c>
      <c r="C181" s="107">
        <f>SUM(C164:C180)</f>
        <v>115253065.03</v>
      </c>
      <c r="D181" s="107">
        <f>SUM(D164:D180)</f>
        <v>59690175</v>
      </c>
    </row>
    <row r="182" spans="1:4" s="51" customFormat="1" x14ac:dyDescent="0.2">
      <c r="A182" s="589"/>
      <c r="B182" s="590"/>
      <c r="C182" s="112"/>
      <c r="D182" s="112"/>
    </row>
    <row r="183" spans="1:4" s="51" customFormat="1" x14ac:dyDescent="0.25">
      <c r="A183" s="3471" t="s">
        <v>1775</v>
      </c>
      <c r="B183" s="3471"/>
      <c r="C183" s="3471"/>
      <c r="D183" s="3471"/>
    </row>
    <row r="184" spans="1:4" ht="16.5" thickBot="1" x14ac:dyDescent="0.3">
      <c r="A184" s="3457" t="s">
        <v>2762</v>
      </c>
      <c r="B184" s="3457"/>
      <c r="C184" s="3457"/>
      <c r="D184" s="3457"/>
    </row>
    <row r="185" spans="1:4" x14ac:dyDescent="0.25">
      <c r="A185" s="577" t="s">
        <v>0</v>
      </c>
      <c r="B185" s="578"/>
      <c r="C185" s="577" t="s">
        <v>7</v>
      </c>
      <c r="D185" s="579" t="s">
        <v>2447</v>
      </c>
    </row>
    <row r="186" spans="1:4" s="38" customFormat="1" x14ac:dyDescent="0.2">
      <c r="A186" s="580" t="s">
        <v>1</v>
      </c>
      <c r="B186" s="581" t="s">
        <v>5</v>
      </c>
      <c r="C186" s="580" t="s">
        <v>6</v>
      </c>
      <c r="D186" s="580" t="s">
        <v>2448</v>
      </c>
    </row>
    <row r="187" spans="1:4" s="38" customFormat="1" x14ac:dyDescent="0.2">
      <c r="A187" s="582"/>
      <c r="B187" s="583"/>
      <c r="C187" s="580">
        <v>2020</v>
      </c>
      <c r="D187" s="580">
        <v>2021</v>
      </c>
    </row>
    <row r="188" spans="1:4" s="38" customFormat="1" ht="16.5" thickBot="1" x14ac:dyDescent="0.25">
      <c r="A188" s="584"/>
      <c r="B188" s="585"/>
      <c r="C188" s="586" t="s">
        <v>4</v>
      </c>
      <c r="D188" s="586" t="s">
        <v>4</v>
      </c>
    </row>
    <row r="189" spans="1:4" s="38" customFormat="1" x14ac:dyDescent="0.2">
      <c r="A189" s="48"/>
      <c r="B189" s="52" t="s">
        <v>1093</v>
      </c>
      <c r="C189" s="47"/>
      <c r="D189" s="47"/>
    </row>
    <row r="190" spans="1:4" s="38" customFormat="1" x14ac:dyDescent="0.2">
      <c r="A190" s="42">
        <v>21010100</v>
      </c>
      <c r="B190" s="43" t="s">
        <v>50</v>
      </c>
      <c r="C190" s="44">
        <v>41088860</v>
      </c>
      <c r="D190" s="47">
        <f>'APPENDIX PERS COSTS DETAILS'!F236</f>
        <v>58540198</v>
      </c>
    </row>
    <row r="191" spans="1:4" s="38" customFormat="1" x14ac:dyDescent="0.2">
      <c r="A191" s="45">
        <v>21010101</v>
      </c>
      <c r="B191" s="46" t="s">
        <v>51</v>
      </c>
      <c r="C191" s="48"/>
      <c r="D191" s="48"/>
    </row>
    <row r="192" spans="1:4" s="38" customFormat="1" x14ac:dyDescent="0.2">
      <c r="A192" s="45">
        <v>21010102</v>
      </c>
      <c r="B192" s="46" t="s">
        <v>52</v>
      </c>
      <c r="C192" s="48"/>
      <c r="D192" s="48"/>
    </row>
    <row r="193" spans="1:4" s="38" customFormat="1" x14ac:dyDescent="0.2">
      <c r="A193" s="45">
        <v>21010103</v>
      </c>
      <c r="B193" s="46" t="s">
        <v>53</v>
      </c>
      <c r="C193" s="106"/>
      <c r="D193" s="106"/>
    </row>
    <row r="194" spans="1:4" s="38" customFormat="1" x14ac:dyDescent="0.2">
      <c r="A194" s="42">
        <v>210201</v>
      </c>
      <c r="B194" s="43" t="s">
        <v>54</v>
      </c>
      <c r="C194" s="48"/>
      <c r="D194" s="48"/>
    </row>
    <row r="195" spans="1:4" s="38" customFormat="1" x14ac:dyDescent="0.2">
      <c r="A195" s="45">
        <v>21020101</v>
      </c>
      <c r="B195" s="46" t="s">
        <v>55</v>
      </c>
      <c r="C195" s="49"/>
      <c r="D195" s="49"/>
    </row>
    <row r="196" spans="1:4" s="38" customFormat="1" x14ac:dyDescent="0.2">
      <c r="A196" s="42">
        <v>21020200</v>
      </c>
      <c r="B196" s="43" t="s">
        <v>56</v>
      </c>
      <c r="C196" s="48"/>
      <c r="D196" s="48"/>
    </row>
    <row r="197" spans="1:4" s="38" customFormat="1" x14ac:dyDescent="0.2">
      <c r="A197" s="45">
        <v>21020201</v>
      </c>
      <c r="B197" s="46" t="s">
        <v>122</v>
      </c>
      <c r="C197" s="48"/>
      <c r="D197" s="48"/>
    </row>
    <row r="198" spans="1:4" s="38" customFormat="1" x14ac:dyDescent="0.2">
      <c r="A198" s="45">
        <v>21020202</v>
      </c>
      <c r="B198" s="46" t="s">
        <v>123</v>
      </c>
      <c r="C198" s="48"/>
      <c r="D198" s="48"/>
    </row>
    <row r="199" spans="1:4" s="38" customFormat="1" x14ac:dyDescent="0.2">
      <c r="A199" s="45">
        <v>21020203</v>
      </c>
      <c r="B199" s="46" t="s">
        <v>57</v>
      </c>
      <c r="C199" s="48"/>
      <c r="D199" s="48"/>
    </row>
    <row r="200" spans="1:4" s="38" customFormat="1" x14ac:dyDescent="0.2">
      <c r="A200" s="45">
        <v>21020204</v>
      </c>
      <c r="B200" s="46" t="s">
        <v>58</v>
      </c>
      <c r="C200" s="48"/>
      <c r="D200" s="48"/>
    </row>
    <row r="201" spans="1:4" s="38" customFormat="1" x14ac:dyDescent="0.2">
      <c r="A201" s="45">
        <v>21020205</v>
      </c>
      <c r="B201" s="46" t="s">
        <v>59</v>
      </c>
      <c r="C201" s="48"/>
      <c r="D201" s="48"/>
    </row>
    <row r="202" spans="1:4" s="38" customFormat="1" x14ac:dyDescent="0.2">
      <c r="A202" s="42">
        <v>21030100</v>
      </c>
      <c r="B202" s="43" t="s">
        <v>60</v>
      </c>
      <c r="C202" s="47"/>
      <c r="D202" s="47"/>
    </row>
    <row r="203" spans="1:4" s="38" customFormat="1" x14ac:dyDescent="0.2">
      <c r="A203" s="45">
        <v>21030101</v>
      </c>
      <c r="B203" s="46" t="s">
        <v>61</v>
      </c>
      <c r="C203" s="47"/>
      <c r="D203" s="47"/>
    </row>
    <row r="204" spans="1:4" s="38" customFormat="1" x14ac:dyDescent="0.2">
      <c r="A204" s="45">
        <v>21030102</v>
      </c>
      <c r="B204" s="46" t="s">
        <v>62</v>
      </c>
      <c r="C204" s="47"/>
      <c r="D204" s="47"/>
    </row>
    <row r="205" spans="1:4" s="38" customFormat="1" x14ac:dyDescent="0.2">
      <c r="A205" s="45">
        <v>21030103</v>
      </c>
      <c r="B205" s="46" t="s">
        <v>63</v>
      </c>
      <c r="C205" s="47"/>
      <c r="D205" s="47"/>
    </row>
    <row r="206" spans="1:4" s="38" customFormat="1" x14ac:dyDescent="0.2">
      <c r="A206" s="45"/>
      <c r="B206" s="46"/>
      <c r="C206" s="48"/>
      <c r="D206" s="48"/>
    </row>
    <row r="207" spans="1:4" s="38" customFormat="1" x14ac:dyDescent="0.2">
      <c r="A207" s="587"/>
      <c r="B207" s="588" t="s">
        <v>2</v>
      </c>
      <c r="C207" s="107">
        <f>SUM(C190:C206)</f>
        <v>41088860</v>
      </c>
      <c r="D207" s="107">
        <f>SUM(D190:D206)</f>
        <v>58540198</v>
      </c>
    </row>
    <row r="208" spans="1:4" s="51" customFormat="1" x14ac:dyDescent="0.25">
      <c r="A208" s="3456"/>
      <c r="B208" s="3456"/>
      <c r="C208" s="3456"/>
      <c r="D208" s="3456"/>
    </row>
    <row r="209" spans="1:4" x14ac:dyDescent="0.25">
      <c r="A209" s="3456" t="s">
        <v>1774</v>
      </c>
      <c r="B209" s="3456"/>
      <c r="C209" s="3456"/>
      <c r="D209" s="3456"/>
    </row>
    <row r="210" spans="1:4" ht="16.5" thickBot="1" x14ac:dyDescent="0.3">
      <c r="A210" s="3457" t="s">
        <v>2763</v>
      </c>
      <c r="B210" s="3457"/>
      <c r="C210" s="3457"/>
      <c r="D210" s="3457"/>
    </row>
    <row r="211" spans="1:4" x14ac:dyDescent="0.25">
      <c r="A211" s="577" t="s">
        <v>0</v>
      </c>
      <c r="B211" s="578"/>
      <c r="C211" s="577" t="s">
        <v>7</v>
      </c>
      <c r="D211" s="579" t="s">
        <v>2447</v>
      </c>
    </row>
    <row r="212" spans="1:4" s="38" customFormat="1" x14ac:dyDescent="0.2">
      <c r="A212" s="580" t="s">
        <v>1</v>
      </c>
      <c r="B212" s="581" t="s">
        <v>5</v>
      </c>
      <c r="C212" s="580" t="s">
        <v>6</v>
      </c>
      <c r="D212" s="580" t="s">
        <v>2448</v>
      </c>
    </row>
    <row r="213" spans="1:4" s="38" customFormat="1" x14ac:dyDescent="0.2">
      <c r="A213" s="582"/>
      <c r="B213" s="583"/>
      <c r="C213" s="580">
        <v>2020</v>
      </c>
      <c r="D213" s="580">
        <v>2021</v>
      </c>
    </row>
    <row r="214" spans="1:4" s="38" customFormat="1" ht="16.5" thickBot="1" x14ac:dyDescent="0.25">
      <c r="A214" s="584"/>
      <c r="B214" s="585"/>
      <c r="C214" s="586" t="s">
        <v>4</v>
      </c>
      <c r="D214" s="586" t="s">
        <v>4</v>
      </c>
    </row>
    <row r="215" spans="1:4" s="38" customFormat="1" x14ac:dyDescent="0.2">
      <c r="A215" s="48"/>
      <c r="B215" s="52" t="s">
        <v>1093</v>
      </c>
      <c r="C215" s="47"/>
      <c r="D215" s="47"/>
    </row>
    <row r="216" spans="1:4" s="38" customFormat="1" x14ac:dyDescent="0.2">
      <c r="A216" s="42">
        <v>21010100</v>
      </c>
      <c r="B216" s="43" t="s">
        <v>50</v>
      </c>
      <c r="C216" s="47">
        <v>41088860</v>
      </c>
      <c r="D216" s="47">
        <f>'APPENDIX PERS COSTS DETAILS'!F262</f>
        <v>53345246</v>
      </c>
    </row>
    <row r="217" spans="1:4" s="38" customFormat="1" x14ac:dyDescent="0.2">
      <c r="A217" s="45">
        <v>21010101</v>
      </c>
      <c r="B217" s="46" t="s">
        <v>51</v>
      </c>
      <c r="C217" s="48"/>
      <c r="D217" s="48"/>
    </row>
    <row r="218" spans="1:4" s="38" customFormat="1" x14ac:dyDescent="0.2">
      <c r="A218" s="45">
        <v>21010102</v>
      </c>
      <c r="B218" s="46" t="s">
        <v>52</v>
      </c>
      <c r="C218" s="48"/>
      <c r="D218" s="48"/>
    </row>
    <row r="219" spans="1:4" s="38" customFormat="1" x14ac:dyDescent="0.2">
      <c r="A219" s="45">
        <v>21010103</v>
      </c>
      <c r="B219" s="46" t="s">
        <v>53</v>
      </c>
      <c r="C219" s="106"/>
      <c r="D219" s="106"/>
    </row>
    <row r="220" spans="1:4" s="38" customFormat="1" x14ac:dyDescent="0.2">
      <c r="A220" s="42">
        <v>210201</v>
      </c>
      <c r="B220" s="43" t="s">
        <v>54</v>
      </c>
      <c r="C220" s="48"/>
      <c r="D220" s="48"/>
    </row>
    <row r="221" spans="1:4" s="38" customFormat="1" x14ac:dyDescent="0.2">
      <c r="A221" s="45">
        <v>21020101</v>
      </c>
      <c r="B221" s="46" t="s">
        <v>55</v>
      </c>
      <c r="C221" s="49"/>
      <c r="D221" s="49"/>
    </row>
    <row r="222" spans="1:4" s="38" customFormat="1" x14ac:dyDescent="0.2">
      <c r="A222" s="42">
        <v>21020200</v>
      </c>
      <c r="B222" s="43" t="s">
        <v>56</v>
      </c>
      <c r="C222" s="48"/>
      <c r="D222" s="48"/>
    </row>
    <row r="223" spans="1:4" s="38" customFormat="1" x14ac:dyDescent="0.2">
      <c r="A223" s="45">
        <v>21020201</v>
      </c>
      <c r="B223" s="46" t="s">
        <v>122</v>
      </c>
      <c r="C223" s="48"/>
      <c r="D223" s="48"/>
    </row>
    <row r="224" spans="1:4" s="38" customFormat="1" x14ac:dyDescent="0.2">
      <c r="A224" s="45">
        <v>21020202</v>
      </c>
      <c r="B224" s="46" t="s">
        <v>123</v>
      </c>
      <c r="C224" s="48"/>
      <c r="D224" s="48"/>
    </row>
    <row r="225" spans="1:4" s="38" customFormat="1" x14ac:dyDescent="0.2">
      <c r="A225" s="45">
        <v>21020203</v>
      </c>
      <c r="B225" s="46" t="s">
        <v>57</v>
      </c>
      <c r="C225" s="48"/>
      <c r="D225" s="48"/>
    </row>
    <row r="226" spans="1:4" s="38" customFormat="1" x14ac:dyDescent="0.2">
      <c r="A226" s="45">
        <v>21020204</v>
      </c>
      <c r="B226" s="46" t="s">
        <v>58</v>
      </c>
      <c r="C226" s="48"/>
      <c r="D226" s="48"/>
    </row>
    <row r="227" spans="1:4" s="38" customFormat="1" x14ac:dyDescent="0.2">
      <c r="A227" s="45">
        <v>21020205</v>
      </c>
      <c r="B227" s="46" t="s">
        <v>59</v>
      </c>
      <c r="C227" s="48"/>
      <c r="D227" s="48"/>
    </row>
    <row r="228" spans="1:4" s="38" customFormat="1" x14ac:dyDescent="0.2">
      <c r="A228" s="42">
        <v>21030100</v>
      </c>
      <c r="B228" s="43" t="s">
        <v>60</v>
      </c>
      <c r="C228" s="47"/>
      <c r="D228" s="47"/>
    </row>
    <row r="229" spans="1:4" s="38" customFormat="1" x14ac:dyDescent="0.2">
      <c r="A229" s="45">
        <v>21030101</v>
      </c>
      <c r="B229" s="46" t="s">
        <v>61</v>
      </c>
      <c r="C229" s="47"/>
      <c r="D229" s="47"/>
    </row>
    <row r="230" spans="1:4" s="38" customFormat="1" x14ac:dyDescent="0.2">
      <c r="A230" s="45">
        <v>21030102</v>
      </c>
      <c r="B230" s="46" t="s">
        <v>62</v>
      </c>
      <c r="C230" s="47"/>
      <c r="D230" s="47"/>
    </row>
    <row r="231" spans="1:4" s="38" customFormat="1" x14ac:dyDescent="0.2">
      <c r="A231" s="45">
        <v>21030103</v>
      </c>
      <c r="B231" s="46" t="s">
        <v>63</v>
      </c>
      <c r="C231" s="47"/>
      <c r="D231" s="47"/>
    </row>
    <row r="232" spans="1:4" s="38" customFormat="1" x14ac:dyDescent="0.2">
      <c r="A232" s="45"/>
      <c r="B232" s="46"/>
      <c r="C232" s="48"/>
      <c r="D232" s="48"/>
    </row>
    <row r="233" spans="1:4" s="38" customFormat="1" x14ac:dyDescent="0.2">
      <c r="A233" s="587"/>
      <c r="B233" s="588" t="s">
        <v>2</v>
      </c>
      <c r="C233" s="107">
        <f>SUM(C216:C232)</f>
        <v>41088860</v>
      </c>
      <c r="D233" s="107">
        <f>SUM(D216:D232)</f>
        <v>53345246</v>
      </c>
    </row>
    <row r="234" spans="1:4" s="51" customFormat="1" x14ac:dyDescent="0.25">
      <c r="A234" s="3456"/>
      <c r="B234" s="3456"/>
      <c r="C234" s="3456"/>
      <c r="D234" s="3456"/>
    </row>
    <row r="235" spans="1:4" x14ac:dyDescent="0.25">
      <c r="A235" s="3456" t="s">
        <v>1448</v>
      </c>
      <c r="B235" s="3456"/>
      <c r="C235" s="3456"/>
      <c r="D235" s="3456"/>
    </row>
    <row r="236" spans="1:4" ht="16.5" thickBot="1" x14ac:dyDescent="0.3">
      <c r="A236" s="3457" t="s">
        <v>2764</v>
      </c>
      <c r="B236" s="3457"/>
      <c r="C236" s="3457"/>
      <c r="D236" s="3457"/>
    </row>
    <row r="237" spans="1:4" x14ac:dyDescent="0.25">
      <c r="A237" s="577" t="s">
        <v>0</v>
      </c>
      <c r="B237" s="578"/>
      <c r="C237" s="577" t="s">
        <v>7</v>
      </c>
      <c r="D237" s="579" t="s">
        <v>2447</v>
      </c>
    </row>
    <row r="238" spans="1:4" s="38" customFormat="1" x14ac:dyDescent="0.2">
      <c r="A238" s="580" t="s">
        <v>1</v>
      </c>
      <c r="B238" s="581" t="s">
        <v>5</v>
      </c>
      <c r="C238" s="580" t="s">
        <v>6</v>
      </c>
      <c r="D238" s="580" t="s">
        <v>2448</v>
      </c>
    </row>
    <row r="239" spans="1:4" s="38" customFormat="1" x14ac:dyDescent="0.2">
      <c r="A239" s="582"/>
      <c r="B239" s="583"/>
      <c r="C239" s="580">
        <v>2020</v>
      </c>
      <c r="D239" s="580">
        <v>2021</v>
      </c>
    </row>
    <row r="240" spans="1:4" s="38" customFormat="1" ht="16.5" thickBot="1" x14ac:dyDescent="0.25">
      <c r="A240" s="584"/>
      <c r="B240" s="585"/>
      <c r="C240" s="586" t="s">
        <v>4</v>
      </c>
      <c r="D240" s="586" t="s">
        <v>4</v>
      </c>
    </row>
    <row r="241" spans="1:4" s="38" customFormat="1" x14ac:dyDescent="0.2">
      <c r="A241" s="48"/>
      <c r="B241" s="52" t="s">
        <v>1093</v>
      </c>
      <c r="C241" s="47"/>
      <c r="D241" s="47"/>
    </row>
    <row r="242" spans="1:4" s="38" customFormat="1" x14ac:dyDescent="0.2">
      <c r="A242" s="42">
        <v>21010100</v>
      </c>
      <c r="B242" s="43" t="s">
        <v>50</v>
      </c>
      <c r="C242" s="106">
        <v>0</v>
      </c>
      <c r="D242" s="106">
        <f>'APPENDIX PERS COSTS DETAILS'!F285</f>
        <v>0</v>
      </c>
    </row>
    <row r="243" spans="1:4" s="38" customFormat="1" x14ac:dyDescent="0.2">
      <c r="A243" s="45">
        <v>21010101</v>
      </c>
      <c r="B243" s="46" t="s">
        <v>51</v>
      </c>
      <c r="C243" s="48"/>
      <c r="D243" s="48"/>
    </row>
    <row r="244" spans="1:4" s="38" customFormat="1" x14ac:dyDescent="0.2">
      <c r="A244" s="45">
        <v>21010102</v>
      </c>
      <c r="B244" s="46" t="s">
        <v>52</v>
      </c>
      <c r="C244" s="48"/>
      <c r="D244" s="48"/>
    </row>
    <row r="245" spans="1:4" s="38" customFormat="1" x14ac:dyDescent="0.2">
      <c r="A245" s="45">
        <v>21010103</v>
      </c>
      <c r="B245" s="46" t="s">
        <v>53</v>
      </c>
      <c r="C245" s="106">
        <v>5816930</v>
      </c>
      <c r="D245" s="106">
        <f>'APPENDIX PERS COSTS DETAILS'!F288</f>
        <v>5816930</v>
      </c>
    </row>
    <row r="246" spans="1:4" s="38" customFormat="1" x14ac:dyDescent="0.2">
      <c r="A246" s="42">
        <v>210201</v>
      </c>
      <c r="B246" s="43" t="s">
        <v>54</v>
      </c>
      <c r="C246" s="48"/>
      <c r="D246" s="48"/>
    </row>
    <row r="247" spans="1:4" s="38" customFormat="1" x14ac:dyDescent="0.2">
      <c r="A247" s="45">
        <v>21020101</v>
      </c>
      <c r="B247" s="46" t="s">
        <v>55</v>
      </c>
      <c r="C247" s="49"/>
      <c r="D247" s="49"/>
    </row>
    <row r="248" spans="1:4" s="38" customFormat="1" x14ac:dyDescent="0.2">
      <c r="A248" s="42">
        <v>21020200</v>
      </c>
      <c r="B248" s="43" t="s">
        <v>56</v>
      </c>
      <c r="C248" s="48"/>
      <c r="D248" s="48"/>
    </row>
    <row r="249" spans="1:4" s="38" customFormat="1" x14ac:dyDescent="0.2">
      <c r="A249" s="45">
        <v>21020201</v>
      </c>
      <c r="B249" s="46" t="s">
        <v>122</v>
      </c>
      <c r="C249" s="48"/>
      <c r="D249" s="48"/>
    </row>
    <row r="250" spans="1:4" s="38" customFormat="1" x14ac:dyDescent="0.2">
      <c r="A250" s="45">
        <v>21020202</v>
      </c>
      <c r="B250" s="46" t="s">
        <v>123</v>
      </c>
      <c r="C250" s="48"/>
      <c r="D250" s="48"/>
    </row>
    <row r="251" spans="1:4" s="38" customFormat="1" x14ac:dyDescent="0.2">
      <c r="A251" s="45">
        <v>21020203</v>
      </c>
      <c r="B251" s="46" t="s">
        <v>57</v>
      </c>
      <c r="C251" s="48"/>
      <c r="D251" s="48"/>
    </row>
    <row r="252" spans="1:4" s="38" customFormat="1" x14ac:dyDescent="0.2">
      <c r="A252" s="45">
        <v>21020204</v>
      </c>
      <c r="B252" s="46" t="s">
        <v>58</v>
      </c>
      <c r="C252" s="48"/>
      <c r="D252" s="48"/>
    </row>
    <row r="253" spans="1:4" s="38" customFormat="1" x14ac:dyDescent="0.2">
      <c r="A253" s="45">
        <v>21020205</v>
      </c>
      <c r="B253" s="46" t="s">
        <v>59</v>
      </c>
      <c r="C253" s="48"/>
      <c r="D253" s="48"/>
    </row>
    <row r="254" spans="1:4" s="38" customFormat="1" x14ac:dyDescent="0.2">
      <c r="A254" s="42">
        <v>21030100</v>
      </c>
      <c r="B254" s="43" t="s">
        <v>60</v>
      </c>
      <c r="C254" s="47"/>
      <c r="D254" s="47"/>
    </row>
    <row r="255" spans="1:4" s="38" customFormat="1" x14ac:dyDescent="0.2">
      <c r="A255" s="45">
        <v>21030101</v>
      </c>
      <c r="B255" s="46" t="s">
        <v>61</v>
      </c>
      <c r="C255" s="47"/>
      <c r="D255" s="47"/>
    </row>
    <row r="256" spans="1:4" s="38" customFormat="1" x14ac:dyDescent="0.2">
      <c r="A256" s="45">
        <v>21030102</v>
      </c>
      <c r="B256" s="46" t="s">
        <v>62</v>
      </c>
      <c r="C256" s="47"/>
      <c r="D256" s="47"/>
    </row>
    <row r="257" spans="1:4" s="38" customFormat="1" x14ac:dyDescent="0.2">
      <c r="A257" s="45">
        <v>21030103</v>
      </c>
      <c r="B257" s="46" t="s">
        <v>63</v>
      </c>
      <c r="C257" s="47"/>
      <c r="D257" s="47"/>
    </row>
    <row r="258" spans="1:4" s="38" customFormat="1" x14ac:dyDescent="0.2">
      <c r="A258" s="45"/>
      <c r="B258" s="46"/>
      <c r="C258" s="48"/>
      <c r="D258" s="48"/>
    </row>
    <row r="259" spans="1:4" s="38" customFormat="1" x14ac:dyDescent="0.2">
      <c r="A259" s="587"/>
      <c r="B259" s="588" t="s">
        <v>2</v>
      </c>
      <c r="C259" s="107">
        <f>SUM(C240:C258)</f>
        <v>5816930</v>
      </c>
      <c r="D259" s="107">
        <f>SUM(D240:D258)</f>
        <v>5816930</v>
      </c>
    </row>
    <row r="260" spans="1:4" s="51" customFormat="1" x14ac:dyDescent="0.25">
      <c r="A260" s="3458"/>
      <c r="B260" s="3458"/>
      <c r="C260" s="3458"/>
      <c r="D260" s="3458"/>
    </row>
    <row r="261" spans="1:4" x14ac:dyDescent="0.25">
      <c r="A261" s="3456" t="s">
        <v>977</v>
      </c>
      <c r="B261" s="3456"/>
      <c r="C261" s="3456"/>
      <c r="D261" s="3456"/>
    </row>
    <row r="262" spans="1:4" ht="16.5" thickBot="1" x14ac:dyDescent="0.3">
      <c r="A262" s="3457" t="s">
        <v>2765</v>
      </c>
      <c r="B262" s="3457"/>
      <c r="C262" s="3457"/>
      <c r="D262" s="3457"/>
    </row>
    <row r="263" spans="1:4" x14ac:dyDescent="0.25">
      <c r="A263" s="577" t="s">
        <v>0</v>
      </c>
      <c r="B263" s="578"/>
      <c r="C263" s="577" t="s">
        <v>7</v>
      </c>
      <c r="D263" s="579" t="s">
        <v>2447</v>
      </c>
    </row>
    <row r="264" spans="1:4" s="38" customFormat="1" x14ac:dyDescent="0.2">
      <c r="A264" s="580" t="s">
        <v>1</v>
      </c>
      <c r="B264" s="581" t="s">
        <v>5</v>
      </c>
      <c r="C264" s="580" t="s">
        <v>6</v>
      </c>
      <c r="D264" s="580" t="s">
        <v>2448</v>
      </c>
    </row>
    <row r="265" spans="1:4" s="38" customFormat="1" x14ac:dyDescent="0.2">
      <c r="A265" s="582"/>
      <c r="B265" s="583"/>
      <c r="C265" s="580">
        <v>2020</v>
      </c>
      <c r="D265" s="580">
        <v>2021</v>
      </c>
    </row>
    <row r="266" spans="1:4" s="38" customFormat="1" ht="16.5" thickBot="1" x14ac:dyDescent="0.25">
      <c r="A266" s="584"/>
      <c r="B266" s="585"/>
      <c r="C266" s="586" t="s">
        <v>4</v>
      </c>
      <c r="D266" s="586" t="s">
        <v>4</v>
      </c>
    </row>
    <row r="267" spans="1:4" s="38" customFormat="1" x14ac:dyDescent="0.2">
      <c r="A267" s="48"/>
      <c r="B267" s="52" t="s">
        <v>1093</v>
      </c>
      <c r="C267" s="47"/>
      <c r="D267" s="47"/>
    </row>
    <row r="268" spans="1:4" s="38" customFormat="1" x14ac:dyDescent="0.2">
      <c r="A268" s="42">
        <v>21010100</v>
      </c>
      <c r="B268" s="43" t="s">
        <v>50</v>
      </c>
      <c r="C268" s="106">
        <v>7746278.6399999997</v>
      </c>
      <c r="D268" s="106">
        <f>'APPENDIX PERS COSTS DETAILS'!F313</f>
        <v>7746278.6399999997</v>
      </c>
    </row>
    <row r="269" spans="1:4" s="38" customFormat="1" x14ac:dyDescent="0.2">
      <c r="A269" s="45">
        <v>21010101</v>
      </c>
      <c r="B269" s="46" t="s">
        <v>51</v>
      </c>
      <c r="C269" s="48"/>
      <c r="D269" s="48"/>
    </row>
    <row r="270" spans="1:4" s="38" customFormat="1" x14ac:dyDescent="0.2">
      <c r="A270" s="45">
        <v>21010102</v>
      </c>
      <c r="B270" s="46" t="s">
        <v>52</v>
      </c>
      <c r="C270" s="48"/>
      <c r="D270" s="48"/>
    </row>
    <row r="271" spans="1:4" s="38" customFormat="1" x14ac:dyDescent="0.2">
      <c r="A271" s="45">
        <v>21010103</v>
      </c>
      <c r="B271" s="46" t="s">
        <v>53</v>
      </c>
      <c r="C271" s="106">
        <v>5729815</v>
      </c>
      <c r="D271" s="106">
        <f>'APPENDIX PERS COSTS DETAILS'!F316</f>
        <v>5729815</v>
      </c>
    </row>
    <row r="272" spans="1:4" s="38" customFormat="1" x14ac:dyDescent="0.2">
      <c r="A272" s="42">
        <v>210201</v>
      </c>
      <c r="B272" s="43" t="s">
        <v>54</v>
      </c>
      <c r="C272" s="48"/>
      <c r="D272" s="48"/>
    </row>
    <row r="273" spans="1:4" s="38" customFormat="1" x14ac:dyDescent="0.2">
      <c r="A273" s="45">
        <v>21020101</v>
      </c>
      <c r="B273" s="46" t="s">
        <v>55</v>
      </c>
      <c r="C273" s="49"/>
      <c r="D273" s="49"/>
    </row>
    <row r="274" spans="1:4" s="38" customFormat="1" x14ac:dyDescent="0.2">
      <c r="A274" s="42">
        <v>21020200</v>
      </c>
      <c r="B274" s="43" t="s">
        <v>56</v>
      </c>
      <c r="C274" s="48"/>
      <c r="D274" s="48"/>
    </row>
    <row r="275" spans="1:4" s="38" customFormat="1" x14ac:dyDescent="0.2">
      <c r="A275" s="45">
        <v>21020201</v>
      </c>
      <c r="B275" s="46" t="s">
        <v>122</v>
      </c>
      <c r="C275" s="48"/>
      <c r="D275" s="48"/>
    </row>
    <row r="276" spans="1:4" s="38" customFormat="1" x14ac:dyDescent="0.2">
      <c r="A276" s="45">
        <v>21020202</v>
      </c>
      <c r="B276" s="46" t="s">
        <v>123</v>
      </c>
      <c r="C276" s="48"/>
      <c r="D276" s="48"/>
    </row>
    <row r="277" spans="1:4" s="38" customFormat="1" x14ac:dyDescent="0.2">
      <c r="A277" s="45">
        <v>21020203</v>
      </c>
      <c r="B277" s="46" t="s">
        <v>57</v>
      </c>
      <c r="C277" s="48"/>
      <c r="D277" s="48"/>
    </row>
    <row r="278" spans="1:4" s="38" customFormat="1" x14ac:dyDescent="0.2">
      <c r="A278" s="45">
        <v>21020204</v>
      </c>
      <c r="B278" s="46" t="s">
        <v>58</v>
      </c>
      <c r="C278" s="48"/>
      <c r="D278" s="48"/>
    </row>
    <row r="279" spans="1:4" s="38" customFormat="1" x14ac:dyDescent="0.2">
      <c r="A279" s="45">
        <v>21020205</v>
      </c>
      <c r="B279" s="46" t="s">
        <v>59</v>
      </c>
      <c r="C279" s="48"/>
      <c r="D279" s="48"/>
    </row>
    <row r="280" spans="1:4" s="38" customFormat="1" x14ac:dyDescent="0.2">
      <c r="A280" s="42">
        <v>21030100</v>
      </c>
      <c r="B280" s="43" t="s">
        <v>60</v>
      </c>
      <c r="C280" s="47"/>
      <c r="D280" s="47"/>
    </row>
    <row r="281" spans="1:4" s="38" customFormat="1" x14ac:dyDescent="0.2">
      <c r="A281" s="45">
        <v>21030101</v>
      </c>
      <c r="B281" s="46" t="s">
        <v>61</v>
      </c>
      <c r="C281" s="47"/>
      <c r="D281" s="47"/>
    </row>
    <row r="282" spans="1:4" s="38" customFormat="1" x14ac:dyDescent="0.2">
      <c r="A282" s="45">
        <v>21030102</v>
      </c>
      <c r="B282" s="46" t="s">
        <v>62</v>
      </c>
      <c r="C282" s="47"/>
      <c r="D282" s="47"/>
    </row>
    <row r="283" spans="1:4" s="38" customFormat="1" x14ac:dyDescent="0.2">
      <c r="A283" s="45">
        <v>21030103</v>
      </c>
      <c r="B283" s="46" t="s">
        <v>63</v>
      </c>
      <c r="C283" s="47"/>
      <c r="D283" s="47"/>
    </row>
    <row r="284" spans="1:4" s="38" customFormat="1" x14ac:dyDescent="0.2">
      <c r="A284" s="45"/>
      <c r="B284" s="46"/>
      <c r="C284" s="48"/>
      <c r="D284" s="48"/>
    </row>
    <row r="285" spans="1:4" s="38" customFormat="1" x14ac:dyDescent="0.2">
      <c r="A285" s="587"/>
      <c r="B285" s="588" t="s">
        <v>2</v>
      </c>
      <c r="C285" s="107">
        <f>SUM(C268:C284)</f>
        <v>13476093.640000001</v>
      </c>
      <c r="D285" s="107">
        <f>SUM(D268:D284)</f>
        <v>13476093.640000001</v>
      </c>
    </row>
    <row r="286" spans="1:4" s="51" customFormat="1" x14ac:dyDescent="0.2">
      <c r="A286" s="591"/>
      <c r="B286" s="592"/>
      <c r="C286" s="113"/>
      <c r="D286" s="113"/>
    </row>
    <row r="287" spans="1:4" x14ac:dyDescent="0.25">
      <c r="A287" s="3456" t="s">
        <v>2735</v>
      </c>
      <c r="B287" s="3456"/>
      <c r="C287" s="3456"/>
      <c r="D287" s="3456"/>
    </row>
    <row r="288" spans="1:4" ht="16.5" thickBot="1" x14ac:dyDescent="0.3">
      <c r="A288" s="3457" t="s">
        <v>2766</v>
      </c>
      <c r="B288" s="3457"/>
      <c r="C288" s="3457"/>
      <c r="D288" s="3457"/>
    </row>
    <row r="289" spans="1:4" x14ac:dyDescent="0.25">
      <c r="A289" s="577" t="s">
        <v>0</v>
      </c>
      <c r="B289" s="578"/>
      <c r="C289" s="577" t="s">
        <v>7</v>
      </c>
      <c r="D289" s="579" t="s">
        <v>2447</v>
      </c>
    </row>
    <row r="290" spans="1:4" s="38" customFormat="1" x14ac:dyDescent="0.2">
      <c r="A290" s="580" t="s">
        <v>1</v>
      </c>
      <c r="B290" s="581" t="s">
        <v>5</v>
      </c>
      <c r="C290" s="580" t="s">
        <v>6</v>
      </c>
      <c r="D290" s="580" t="s">
        <v>2448</v>
      </c>
    </row>
    <row r="291" spans="1:4" s="38" customFormat="1" x14ac:dyDescent="0.2">
      <c r="A291" s="582"/>
      <c r="B291" s="583"/>
      <c r="C291" s="580">
        <v>2020</v>
      </c>
      <c r="D291" s="580">
        <v>2021</v>
      </c>
    </row>
    <row r="292" spans="1:4" s="38" customFormat="1" ht="16.5" thickBot="1" x14ac:dyDescent="0.25">
      <c r="A292" s="584"/>
      <c r="B292" s="585"/>
      <c r="C292" s="586" t="s">
        <v>4</v>
      </c>
      <c r="D292" s="586" t="s">
        <v>4</v>
      </c>
    </row>
    <row r="293" spans="1:4" s="38" customFormat="1" x14ac:dyDescent="0.2">
      <c r="A293" s="48"/>
      <c r="B293" s="52" t="s">
        <v>1093</v>
      </c>
      <c r="C293" s="47"/>
      <c r="D293" s="47"/>
    </row>
    <row r="294" spans="1:4" s="38" customFormat="1" x14ac:dyDescent="0.2">
      <c r="A294" s="42">
        <v>21010100</v>
      </c>
      <c r="B294" s="43" t="s">
        <v>50</v>
      </c>
      <c r="C294" s="106">
        <v>214221735</v>
      </c>
      <c r="D294" s="106">
        <f>'APPENDIX PERS COSTS DETAILS'!F346</f>
        <v>229431130</v>
      </c>
    </row>
    <row r="295" spans="1:4" s="38" customFormat="1" x14ac:dyDescent="0.2">
      <c r="A295" s="45">
        <v>21010101</v>
      </c>
      <c r="B295" s="46" t="s">
        <v>51</v>
      </c>
      <c r="C295" s="48"/>
      <c r="D295" s="48"/>
    </row>
    <row r="296" spans="1:4" s="38" customFormat="1" x14ac:dyDescent="0.2">
      <c r="A296" s="45">
        <v>21010102</v>
      </c>
      <c r="B296" s="46" t="s">
        <v>52</v>
      </c>
      <c r="C296" s="48"/>
      <c r="D296" s="48"/>
    </row>
    <row r="297" spans="1:4" s="38" customFormat="1" x14ac:dyDescent="0.2">
      <c r="A297" s="45">
        <v>21010103</v>
      </c>
      <c r="B297" s="46" t="s">
        <v>53</v>
      </c>
      <c r="C297" s="106">
        <v>246156040</v>
      </c>
      <c r="D297" s="106">
        <f>'APPENDIX PERS COSTS DETAILS'!F359</f>
        <v>246156040</v>
      </c>
    </row>
    <row r="298" spans="1:4" s="38" customFormat="1" x14ac:dyDescent="0.2">
      <c r="A298" s="42">
        <v>210201</v>
      </c>
      <c r="B298" s="43" t="s">
        <v>54</v>
      </c>
      <c r="C298" s="48"/>
      <c r="D298" s="48"/>
    </row>
    <row r="299" spans="1:4" s="38" customFormat="1" x14ac:dyDescent="0.2">
      <c r="A299" s="45">
        <v>21020101</v>
      </c>
      <c r="B299" s="46" t="s">
        <v>55</v>
      </c>
      <c r="C299" s="49"/>
      <c r="D299" s="49"/>
    </row>
    <row r="300" spans="1:4" s="38" customFormat="1" x14ac:dyDescent="0.2">
      <c r="A300" s="42">
        <v>21020200</v>
      </c>
      <c r="B300" s="43" t="s">
        <v>56</v>
      </c>
      <c r="C300" s="48"/>
      <c r="D300" s="48"/>
    </row>
    <row r="301" spans="1:4" s="38" customFormat="1" x14ac:dyDescent="0.2">
      <c r="A301" s="45">
        <v>21020201</v>
      </c>
      <c r="B301" s="46" t="s">
        <v>122</v>
      </c>
      <c r="C301" s="48"/>
      <c r="D301" s="48"/>
    </row>
    <row r="302" spans="1:4" s="38" customFormat="1" x14ac:dyDescent="0.2">
      <c r="A302" s="45">
        <v>21020202</v>
      </c>
      <c r="B302" s="46" t="s">
        <v>123</v>
      </c>
      <c r="C302" s="48"/>
      <c r="D302" s="48"/>
    </row>
    <row r="303" spans="1:4" s="38" customFormat="1" x14ac:dyDescent="0.2">
      <c r="A303" s="45">
        <v>21020203</v>
      </c>
      <c r="B303" s="46" t="s">
        <v>57</v>
      </c>
      <c r="C303" s="48"/>
      <c r="D303" s="48"/>
    </row>
    <row r="304" spans="1:4" s="38" customFormat="1" x14ac:dyDescent="0.2">
      <c r="A304" s="45">
        <v>21020204</v>
      </c>
      <c r="B304" s="46" t="s">
        <v>58</v>
      </c>
      <c r="C304" s="48"/>
      <c r="D304" s="48"/>
    </row>
    <row r="305" spans="1:4" s="38" customFormat="1" x14ac:dyDescent="0.2">
      <c r="A305" s="45">
        <v>21020205</v>
      </c>
      <c r="B305" s="46" t="s">
        <v>59</v>
      </c>
      <c r="C305" s="48"/>
      <c r="D305" s="48"/>
    </row>
    <row r="306" spans="1:4" s="38" customFormat="1" x14ac:dyDescent="0.2">
      <c r="A306" s="42">
        <v>21030100</v>
      </c>
      <c r="B306" s="43" t="s">
        <v>60</v>
      </c>
      <c r="C306" s="47"/>
      <c r="D306" s="47"/>
    </row>
    <row r="307" spans="1:4" s="38" customFormat="1" x14ac:dyDescent="0.2">
      <c r="A307" s="45">
        <v>21030101</v>
      </c>
      <c r="B307" s="46" t="s">
        <v>61</v>
      </c>
      <c r="C307" s="14"/>
      <c r="D307" s="14"/>
    </row>
    <row r="308" spans="1:4" s="38" customFormat="1" x14ac:dyDescent="0.2">
      <c r="A308" s="45">
        <v>21030102</v>
      </c>
      <c r="B308" s="46" t="s">
        <v>62</v>
      </c>
      <c r="C308" s="47"/>
      <c r="D308" s="47"/>
    </row>
    <row r="309" spans="1:4" s="38" customFormat="1" x14ac:dyDescent="0.2">
      <c r="A309" s="45">
        <v>21030103</v>
      </c>
      <c r="B309" s="46" t="s">
        <v>63</v>
      </c>
      <c r="C309" s="47"/>
      <c r="D309" s="47"/>
    </row>
    <row r="310" spans="1:4" s="38" customFormat="1" x14ac:dyDescent="0.2">
      <c r="A310" s="45"/>
      <c r="B310" s="46"/>
      <c r="C310" s="48"/>
      <c r="D310" s="48"/>
    </row>
    <row r="311" spans="1:4" s="38" customFormat="1" x14ac:dyDescent="0.2">
      <c r="A311" s="587"/>
      <c r="B311" s="588" t="s">
        <v>2</v>
      </c>
      <c r="C311" s="107">
        <f>SUM(C294:C310)</f>
        <v>460377775</v>
      </c>
      <c r="D311" s="107">
        <f>SUM(D294:D310)</f>
        <v>475587170</v>
      </c>
    </row>
    <row r="312" spans="1:4" s="51" customFormat="1" x14ac:dyDescent="0.2">
      <c r="A312" s="591"/>
      <c r="B312" s="592"/>
      <c r="C312" s="113"/>
      <c r="D312" s="113"/>
    </row>
    <row r="313" spans="1:4" x14ac:dyDescent="0.25">
      <c r="A313" s="3456" t="s">
        <v>1449</v>
      </c>
      <c r="B313" s="3456"/>
      <c r="C313" s="3456"/>
      <c r="D313" s="3456"/>
    </row>
    <row r="314" spans="1:4" ht="16.5" thickBot="1" x14ac:dyDescent="0.3">
      <c r="A314" s="3457" t="s">
        <v>2767</v>
      </c>
      <c r="B314" s="3457"/>
      <c r="C314" s="3457"/>
      <c r="D314" s="3457"/>
    </row>
    <row r="315" spans="1:4" x14ac:dyDescent="0.25">
      <c r="A315" s="577" t="s">
        <v>0</v>
      </c>
      <c r="B315" s="578"/>
      <c r="C315" s="577" t="s">
        <v>7</v>
      </c>
      <c r="D315" s="579" t="s">
        <v>2447</v>
      </c>
    </row>
    <row r="316" spans="1:4" s="38" customFormat="1" x14ac:dyDescent="0.2">
      <c r="A316" s="580" t="s">
        <v>1</v>
      </c>
      <c r="B316" s="581" t="s">
        <v>5</v>
      </c>
      <c r="C316" s="580" t="s">
        <v>6</v>
      </c>
      <c r="D316" s="580" t="s">
        <v>2448</v>
      </c>
    </row>
    <row r="317" spans="1:4" s="38" customFormat="1" x14ac:dyDescent="0.2">
      <c r="A317" s="582"/>
      <c r="B317" s="583"/>
      <c r="C317" s="580">
        <v>2020</v>
      </c>
      <c r="D317" s="580">
        <v>2021</v>
      </c>
    </row>
    <row r="318" spans="1:4" s="38" customFormat="1" ht="16.5" thickBot="1" x14ac:dyDescent="0.25">
      <c r="A318" s="584"/>
      <c r="B318" s="585"/>
      <c r="C318" s="586" t="s">
        <v>4</v>
      </c>
      <c r="D318" s="586" t="s">
        <v>4</v>
      </c>
    </row>
    <row r="319" spans="1:4" s="38" customFormat="1" x14ac:dyDescent="0.2">
      <c r="A319" s="48"/>
      <c r="B319" s="52" t="s">
        <v>1093</v>
      </c>
      <c r="C319" s="47"/>
      <c r="D319" s="47"/>
    </row>
    <row r="320" spans="1:4" s="38" customFormat="1" x14ac:dyDescent="0.2">
      <c r="A320" s="42">
        <v>21010100</v>
      </c>
      <c r="B320" s="43" t="s">
        <v>50</v>
      </c>
      <c r="C320" s="106">
        <v>0</v>
      </c>
      <c r="D320" s="106">
        <f>'APPENDIX PERS COSTS DETAILS'!F383</f>
        <v>0</v>
      </c>
    </row>
    <row r="321" spans="1:4" s="38" customFormat="1" x14ac:dyDescent="0.2">
      <c r="A321" s="45">
        <v>21010101</v>
      </c>
      <c r="B321" s="46" t="s">
        <v>51</v>
      </c>
      <c r="C321" s="48"/>
      <c r="D321" s="48"/>
    </row>
    <row r="322" spans="1:4" s="38" customFormat="1" x14ac:dyDescent="0.2">
      <c r="A322" s="45">
        <v>21010102</v>
      </c>
      <c r="B322" s="46" t="s">
        <v>52</v>
      </c>
      <c r="C322" s="48"/>
      <c r="D322" s="48"/>
    </row>
    <row r="323" spans="1:4" s="38" customFormat="1" x14ac:dyDescent="0.2">
      <c r="A323" s="45">
        <v>21010103</v>
      </c>
      <c r="B323" s="46" t="s">
        <v>53</v>
      </c>
      <c r="C323" s="106">
        <v>5729815</v>
      </c>
      <c r="D323" s="106">
        <f>'APPENDIX PERS COSTS DETAILS'!F386</f>
        <v>5729815</v>
      </c>
    </row>
    <row r="324" spans="1:4" s="38" customFormat="1" x14ac:dyDescent="0.2">
      <c r="A324" s="42">
        <v>210201</v>
      </c>
      <c r="B324" s="43" t="s">
        <v>54</v>
      </c>
      <c r="C324" s="48"/>
      <c r="D324" s="48"/>
    </row>
    <row r="325" spans="1:4" s="38" customFormat="1" x14ac:dyDescent="0.2">
      <c r="A325" s="45">
        <v>21020101</v>
      </c>
      <c r="B325" s="46" t="s">
        <v>55</v>
      </c>
      <c r="C325" s="49"/>
      <c r="D325" s="49"/>
    </row>
    <row r="326" spans="1:4" s="38" customFormat="1" x14ac:dyDescent="0.2">
      <c r="A326" s="42">
        <v>21020200</v>
      </c>
      <c r="B326" s="43" t="s">
        <v>56</v>
      </c>
      <c r="C326" s="48"/>
      <c r="D326" s="48"/>
    </row>
    <row r="327" spans="1:4" s="38" customFormat="1" x14ac:dyDescent="0.2">
      <c r="A327" s="45">
        <v>21020201</v>
      </c>
      <c r="B327" s="46" t="s">
        <v>122</v>
      </c>
      <c r="C327" s="48"/>
      <c r="D327" s="48"/>
    </row>
    <row r="328" spans="1:4" s="38" customFormat="1" x14ac:dyDescent="0.2">
      <c r="A328" s="45">
        <v>21020202</v>
      </c>
      <c r="B328" s="46" t="s">
        <v>123</v>
      </c>
      <c r="C328" s="48"/>
      <c r="D328" s="48"/>
    </row>
    <row r="329" spans="1:4" s="38" customFormat="1" x14ac:dyDescent="0.2">
      <c r="A329" s="45">
        <v>21020203</v>
      </c>
      <c r="B329" s="46" t="s">
        <v>57</v>
      </c>
      <c r="C329" s="48"/>
      <c r="D329" s="48"/>
    </row>
    <row r="330" spans="1:4" s="38" customFormat="1" x14ac:dyDescent="0.2">
      <c r="A330" s="45">
        <v>21020204</v>
      </c>
      <c r="B330" s="46" t="s">
        <v>58</v>
      </c>
      <c r="C330" s="48"/>
      <c r="D330" s="48"/>
    </row>
    <row r="331" spans="1:4" s="38" customFormat="1" x14ac:dyDescent="0.2">
      <c r="A331" s="45">
        <v>21020205</v>
      </c>
      <c r="B331" s="46" t="s">
        <v>59</v>
      </c>
      <c r="C331" s="48"/>
      <c r="D331" s="48"/>
    </row>
    <row r="332" spans="1:4" s="38" customFormat="1" x14ac:dyDescent="0.2">
      <c r="A332" s="42">
        <v>21030100</v>
      </c>
      <c r="B332" s="43" t="s">
        <v>60</v>
      </c>
      <c r="C332" s="47"/>
      <c r="D332" s="47"/>
    </row>
    <row r="333" spans="1:4" s="38" customFormat="1" x14ac:dyDescent="0.2">
      <c r="A333" s="45">
        <v>21030101</v>
      </c>
      <c r="B333" s="46" t="s">
        <v>61</v>
      </c>
      <c r="C333" s="47"/>
      <c r="D333" s="47"/>
    </row>
    <row r="334" spans="1:4" s="38" customFormat="1" x14ac:dyDescent="0.2">
      <c r="A334" s="45">
        <v>21030102</v>
      </c>
      <c r="B334" s="46" t="s">
        <v>62</v>
      </c>
      <c r="C334" s="47"/>
      <c r="D334" s="47"/>
    </row>
    <row r="335" spans="1:4" s="38" customFormat="1" x14ac:dyDescent="0.2">
      <c r="A335" s="45">
        <v>21030103</v>
      </c>
      <c r="B335" s="46" t="s">
        <v>63</v>
      </c>
      <c r="C335" s="47"/>
      <c r="D335" s="47"/>
    </row>
    <row r="336" spans="1:4" s="38" customFormat="1" x14ac:dyDescent="0.2">
      <c r="A336" s="587"/>
      <c r="B336" s="588" t="s">
        <v>2</v>
      </c>
      <c r="C336" s="107">
        <f>SUM(C318:C335)</f>
        <v>5729815</v>
      </c>
      <c r="D336" s="107">
        <f>SUM(D318:D335)</f>
        <v>5729815</v>
      </c>
    </row>
    <row r="337" spans="1:4" s="51" customFormat="1" x14ac:dyDescent="0.2">
      <c r="A337" s="589"/>
      <c r="B337" s="590"/>
      <c r="C337" s="112"/>
      <c r="D337" s="112"/>
    </row>
    <row r="338" spans="1:4" s="51" customFormat="1" x14ac:dyDescent="0.25">
      <c r="A338" s="3456" t="s">
        <v>155</v>
      </c>
      <c r="B338" s="3456" t="s">
        <v>154</v>
      </c>
      <c r="C338" s="3456"/>
      <c r="D338" s="3456" t="s">
        <v>154</v>
      </c>
    </row>
    <row r="339" spans="1:4" ht="16.5" thickBot="1" x14ac:dyDescent="0.3">
      <c r="A339" s="3457" t="s">
        <v>2768</v>
      </c>
      <c r="B339" s="3457"/>
      <c r="C339" s="3457"/>
      <c r="D339" s="3457"/>
    </row>
    <row r="340" spans="1:4" x14ac:dyDescent="0.25">
      <c r="A340" s="577" t="s">
        <v>0</v>
      </c>
      <c r="B340" s="578"/>
      <c r="C340" s="577" t="s">
        <v>7</v>
      </c>
      <c r="D340" s="579" t="s">
        <v>2447</v>
      </c>
    </row>
    <row r="341" spans="1:4" s="38" customFormat="1" x14ac:dyDescent="0.2">
      <c r="A341" s="580" t="s">
        <v>1</v>
      </c>
      <c r="B341" s="581" t="s">
        <v>5</v>
      </c>
      <c r="C341" s="580" t="s">
        <v>6</v>
      </c>
      <c r="D341" s="580" t="s">
        <v>2448</v>
      </c>
    </row>
    <row r="342" spans="1:4" s="38" customFormat="1" x14ac:dyDescent="0.2">
      <c r="A342" s="582"/>
      <c r="B342" s="583"/>
      <c r="C342" s="580">
        <v>2020</v>
      </c>
      <c r="D342" s="580">
        <v>2021</v>
      </c>
    </row>
    <row r="343" spans="1:4" s="38" customFormat="1" ht="16.5" thickBot="1" x14ac:dyDescent="0.25">
      <c r="A343" s="584"/>
      <c r="B343" s="585"/>
      <c r="C343" s="586" t="s">
        <v>4</v>
      </c>
      <c r="D343" s="586" t="s">
        <v>4</v>
      </c>
    </row>
    <row r="344" spans="1:4" s="38" customFormat="1" x14ac:dyDescent="0.2">
      <c r="A344" s="48"/>
      <c r="B344" s="52" t="s">
        <v>1093</v>
      </c>
      <c r="C344" s="47"/>
      <c r="D344" s="47"/>
    </row>
    <row r="345" spans="1:4" s="38" customFormat="1" x14ac:dyDescent="0.2">
      <c r="A345" s="42">
        <v>21010100</v>
      </c>
      <c r="B345" s="43" t="s">
        <v>50</v>
      </c>
      <c r="C345" s="106">
        <v>245597105.40000004</v>
      </c>
      <c r="D345" s="106">
        <f>'APPENDIX PERS COSTS DETAILS'!F409</f>
        <v>245597105.40000004</v>
      </c>
    </row>
    <row r="346" spans="1:4" s="38" customFormat="1" x14ac:dyDescent="0.2">
      <c r="A346" s="45">
        <v>21010101</v>
      </c>
      <c r="B346" s="46" t="s">
        <v>51</v>
      </c>
      <c r="C346" s="48"/>
      <c r="D346" s="48"/>
    </row>
    <row r="347" spans="1:4" s="38" customFormat="1" x14ac:dyDescent="0.2">
      <c r="A347" s="45">
        <v>21010102</v>
      </c>
      <c r="B347" s="46" t="s">
        <v>52</v>
      </c>
      <c r="C347" s="48"/>
      <c r="D347" s="48"/>
    </row>
    <row r="348" spans="1:4" s="38" customFormat="1" x14ac:dyDescent="0.2">
      <c r="A348" s="45">
        <v>21010103</v>
      </c>
      <c r="B348" s="46" t="s">
        <v>53</v>
      </c>
      <c r="C348" s="106">
        <v>11245165</v>
      </c>
      <c r="D348" s="106">
        <f>'APPENDIX PERS COSTS DETAILS'!F420</f>
        <v>11245165</v>
      </c>
    </row>
    <row r="349" spans="1:4" s="38" customFormat="1" x14ac:dyDescent="0.2">
      <c r="A349" s="42">
        <v>210201</v>
      </c>
      <c r="B349" s="43" t="s">
        <v>54</v>
      </c>
      <c r="C349" s="48"/>
      <c r="D349" s="48"/>
    </row>
    <row r="350" spans="1:4" s="38" customFormat="1" x14ac:dyDescent="0.2">
      <c r="A350" s="45">
        <v>21020101</v>
      </c>
      <c r="B350" s="46" t="s">
        <v>55</v>
      </c>
      <c r="C350" s="49"/>
      <c r="D350" s="49"/>
    </row>
    <row r="351" spans="1:4" s="38" customFormat="1" x14ac:dyDescent="0.2">
      <c r="A351" s="42">
        <v>21020200</v>
      </c>
      <c r="B351" s="43" t="s">
        <v>56</v>
      </c>
      <c r="C351" s="48"/>
      <c r="D351" s="48"/>
    </row>
    <row r="352" spans="1:4" s="38" customFormat="1" x14ac:dyDescent="0.2">
      <c r="A352" s="45">
        <v>21020201</v>
      </c>
      <c r="B352" s="46" t="s">
        <v>122</v>
      </c>
      <c r="C352" s="48"/>
      <c r="D352" s="48"/>
    </row>
    <row r="353" spans="1:4" s="38" customFormat="1" x14ac:dyDescent="0.2">
      <c r="A353" s="45">
        <v>21020202</v>
      </c>
      <c r="B353" s="46" t="s">
        <v>123</v>
      </c>
      <c r="C353" s="48"/>
      <c r="D353" s="48"/>
    </row>
    <row r="354" spans="1:4" s="38" customFormat="1" x14ac:dyDescent="0.2">
      <c r="A354" s="45">
        <v>21020203</v>
      </c>
      <c r="B354" s="46" t="s">
        <v>57</v>
      </c>
      <c r="C354" s="48"/>
      <c r="D354" s="48"/>
    </row>
    <row r="355" spans="1:4" s="38" customFormat="1" x14ac:dyDescent="0.2">
      <c r="A355" s="45">
        <v>21020204</v>
      </c>
      <c r="B355" s="46" t="s">
        <v>58</v>
      </c>
      <c r="C355" s="48"/>
      <c r="D355" s="48"/>
    </row>
    <row r="356" spans="1:4" s="38" customFormat="1" x14ac:dyDescent="0.2">
      <c r="A356" s="45">
        <v>21020205</v>
      </c>
      <c r="B356" s="46" t="s">
        <v>59</v>
      </c>
      <c r="C356" s="48"/>
      <c r="D356" s="48"/>
    </row>
    <row r="357" spans="1:4" s="38" customFormat="1" x14ac:dyDescent="0.2">
      <c r="A357" s="42">
        <v>21030100</v>
      </c>
      <c r="B357" s="43" t="s">
        <v>60</v>
      </c>
      <c r="C357" s="47"/>
      <c r="D357" s="47"/>
    </row>
    <row r="358" spans="1:4" s="38" customFormat="1" x14ac:dyDescent="0.2">
      <c r="A358" s="45">
        <v>21030101</v>
      </c>
      <c r="B358" s="46" t="s">
        <v>61</v>
      </c>
      <c r="C358" s="47"/>
      <c r="D358" s="47"/>
    </row>
    <row r="359" spans="1:4" s="38" customFormat="1" x14ac:dyDescent="0.2">
      <c r="A359" s="45">
        <v>21030102</v>
      </c>
      <c r="B359" s="46" t="s">
        <v>62</v>
      </c>
      <c r="C359" s="47"/>
      <c r="D359" s="47"/>
    </row>
    <row r="360" spans="1:4" s="38" customFormat="1" x14ac:dyDescent="0.2">
      <c r="A360" s="45">
        <v>21030103</v>
      </c>
      <c r="B360" s="46" t="s">
        <v>63</v>
      </c>
      <c r="C360" s="47"/>
      <c r="D360" s="47"/>
    </row>
    <row r="361" spans="1:4" s="38" customFormat="1" x14ac:dyDescent="0.2">
      <c r="A361" s="45"/>
      <c r="B361" s="46"/>
      <c r="C361" s="47"/>
      <c r="D361" s="47"/>
    </row>
    <row r="362" spans="1:4" s="38" customFormat="1" x14ac:dyDescent="0.2">
      <c r="A362" s="587"/>
      <c r="B362" s="588" t="s">
        <v>2</v>
      </c>
      <c r="C362" s="107">
        <f>SUM(C343:C361)</f>
        <v>256842270.40000004</v>
      </c>
      <c r="D362" s="107">
        <f>SUM(D343:D361)</f>
        <v>256842270.40000004</v>
      </c>
    </row>
    <row r="363" spans="1:4" s="51" customFormat="1" x14ac:dyDescent="0.2">
      <c r="A363" s="589"/>
      <c r="B363" s="590"/>
      <c r="C363" s="112"/>
      <c r="D363" s="112"/>
    </row>
    <row r="364" spans="1:4" s="51" customFormat="1" x14ac:dyDescent="0.25">
      <c r="A364" s="3461" t="s">
        <v>1486</v>
      </c>
      <c r="B364" s="3461"/>
      <c r="C364" s="3461"/>
      <c r="D364" s="3461"/>
    </row>
    <row r="365" spans="1:4" ht="16.5" thickBot="1" x14ac:dyDescent="0.3">
      <c r="A365" s="3462" t="s">
        <v>2769</v>
      </c>
      <c r="B365" s="3462"/>
      <c r="C365" s="3462"/>
      <c r="D365" s="3462"/>
    </row>
    <row r="366" spans="1:4" x14ac:dyDescent="0.25">
      <c r="A366" s="577" t="s">
        <v>0</v>
      </c>
      <c r="B366" s="578"/>
      <c r="C366" s="577" t="s">
        <v>7</v>
      </c>
      <c r="D366" s="579" t="s">
        <v>2447</v>
      </c>
    </row>
    <row r="367" spans="1:4" s="38" customFormat="1" x14ac:dyDescent="0.2">
      <c r="A367" s="580" t="s">
        <v>1</v>
      </c>
      <c r="B367" s="581" t="s">
        <v>5</v>
      </c>
      <c r="C367" s="580" t="s">
        <v>6</v>
      </c>
      <c r="D367" s="580" t="s">
        <v>2448</v>
      </c>
    </row>
    <row r="368" spans="1:4" s="38" customFormat="1" x14ac:dyDescent="0.2">
      <c r="A368" s="582"/>
      <c r="B368" s="583"/>
      <c r="C368" s="580">
        <v>2020</v>
      </c>
      <c r="D368" s="580">
        <v>2021</v>
      </c>
    </row>
    <row r="369" spans="1:4" s="38" customFormat="1" ht="16.5" thickBot="1" x14ac:dyDescent="0.25">
      <c r="A369" s="584"/>
      <c r="B369" s="585"/>
      <c r="C369" s="586" t="s">
        <v>4</v>
      </c>
      <c r="D369" s="586" t="s">
        <v>4</v>
      </c>
    </row>
    <row r="370" spans="1:4" s="38" customFormat="1" x14ac:dyDescent="0.2">
      <c r="A370" s="48"/>
      <c r="B370" s="52" t="s">
        <v>1093</v>
      </c>
      <c r="C370" s="47"/>
      <c r="D370" s="47"/>
    </row>
    <row r="371" spans="1:4" s="38" customFormat="1" x14ac:dyDescent="0.2">
      <c r="A371" s="42">
        <v>21010100</v>
      </c>
      <c r="B371" s="43" t="s">
        <v>50</v>
      </c>
      <c r="C371" s="106">
        <v>132583850</v>
      </c>
      <c r="D371" s="106">
        <f>'APPENDIX PERS COSTS DETAILS'!F447</f>
        <v>135539317</v>
      </c>
    </row>
    <row r="372" spans="1:4" s="38" customFormat="1" x14ac:dyDescent="0.2">
      <c r="A372" s="45">
        <v>21010101</v>
      </c>
      <c r="B372" s="46" t="s">
        <v>51</v>
      </c>
      <c r="C372" s="48"/>
      <c r="D372" s="48"/>
    </row>
    <row r="373" spans="1:4" s="38" customFormat="1" x14ac:dyDescent="0.2">
      <c r="A373" s="45">
        <v>21010102</v>
      </c>
      <c r="B373" s="46" t="s">
        <v>52</v>
      </c>
      <c r="C373" s="48"/>
      <c r="D373" s="48"/>
    </row>
    <row r="374" spans="1:4" s="38" customFormat="1" x14ac:dyDescent="0.2">
      <c r="A374" s="45">
        <v>21010103</v>
      </c>
      <c r="B374" s="46" t="s">
        <v>53</v>
      </c>
      <c r="C374" s="106"/>
      <c r="D374" s="106"/>
    </row>
    <row r="375" spans="1:4" s="38" customFormat="1" x14ac:dyDescent="0.2">
      <c r="A375" s="42">
        <v>210201</v>
      </c>
      <c r="B375" s="43" t="s">
        <v>54</v>
      </c>
      <c r="C375" s="48"/>
      <c r="D375" s="48"/>
    </row>
    <row r="376" spans="1:4" s="38" customFormat="1" x14ac:dyDescent="0.2">
      <c r="A376" s="45">
        <v>21020101</v>
      </c>
      <c r="B376" s="46" t="s">
        <v>55</v>
      </c>
      <c r="C376" s="49"/>
      <c r="D376" s="49"/>
    </row>
    <row r="377" spans="1:4" s="38" customFormat="1" x14ac:dyDescent="0.2">
      <c r="A377" s="42">
        <v>21020200</v>
      </c>
      <c r="B377" s="43" t="s">
        <v>56</v>
      </c>
      <c r="C377" s="48"/>
      <c r="D377" s="48"/>
    </row>
    <row r="378" spans="1:4" s="38" customFormat="1" x14ac:dyDescent="0.2">
      <c r="A378" s="45">
        <v>21020201</v>
      </c>
      <c r="B378" s="46" t="s">
        <v>122</v>
      </c>
      <c r="C378" s="48"/>
      <c r="D378" s="48"/>
    </row>
    <row r="379" spans="1:4" s="38" customFormat="1" x14ac:dyDescent="0.2">
      <c r="A379" s="45">
        <v>21020202</v>
      </c>
      <c r="B379" s="46" t="s">
        <v>123</v>
      </c>
      <c r="C379" s="48"/>
      <c r="D379" s="48"/>
    </row>
    <row r="380" spans="1:4" s="38" customFormat="1" x14ac:dyDescent="0.2">
      <c r="A380" s="45">
        <v>21020203</v>
      </c>
      <c r="B380" s="46" t="s">
        <v>57</v>
      </c>
      <c r="C380" s="48"/>
      <c r="D380" s="48"/>
    </row>
    <row r="381" spans="1:4" s="38" customFormat="1" x14ac:dyDescent="0.2">
      <c r="A381" s="45">
        <v>21020204</v>
      </c>
      <c r="B381" s="46" t="s">
        <v>58</v>
      </c>
      <c r="C381" s="48"/>
      <c r="D381" s="48"/>
    </row>
    <row r="382" spans="1:4" s="38" customFormat="1" x14ac:dyDescent="0.2">
      <c r="A382" s="45">
        <v>21020205</v>
      </c>
      <c r="B382" s="46" t="s">
        <v>59</v>
      </c>
      <c r="C382" s="48"/>
      <c r="D382" s="48"/>
    </row>
    <row r="383" spans="1:4" s="38" customFormat="1" x14ac:dyDescent="0.2">
      <c r="A383" s="42">
        <v>21030100</v>
      </c>
      <c r="B383" s="43" t="s">
        <v>60</v>
      </c>
      <c r="C383" s="47"/>
      <c r="D383" s="47"/>
    </row>
    <row r="384" spans="1:4" s="38" customFormat="1" x14ac:dyDescent="0.2">
      <c r="A384" s="45">
        <v>21030101</v>
      </c>
      <c r="B384" s="46" t="s">
        <v>61</v>
      </c>
      <c r="C384" s="47"/>
      <c r="D384" s="47"/>
    </row>
    <row r="385" spans="1:4" s="38" customFormat="1" x14ac:dyDescent="0.2">
      <c r="A385" s="45">
        <v>21030102</v>
      </c>
      <c r="B385" s="46" t="s">
        <v>62</v>
      </c>
      <c r="C385" s="47"/>
      <c r="D385" s="47"/>
    </row>
    <row r="386" spans="1:4" s="38" customFormat="1" x14ac:dyDescent="0.2">
      <c r="A386" s="45">
        <v>21030103</v>
      </c>
      <c r="B386" s="46" t="s">
        <v>63</v>
      </c>
      <c r="C386" s="47"/>
      <c r="D386" s="47"/>
    </row>
    <row r="387" spans="1:4" s="38" customFormat="1" x14ac:dyDescent="0.2">
      <c r="A387" s="45"/>
      <c r="B387" s="46"/>
      <c r="C387" s="47"/>
      <c r="D387" s="47"/>
    </row>
    <row r="388" spans="1:4" s="38" customFormat="1" x14ac:dyDescent="0.2">
      <c r="A388" s="587"/>
      <c r="B388" s="588" t="s">
        <v>2</v>
      </c>
      <c r="C388" s="107">
        <f>SUM(C369:C387)</f>
        <v>132583850</v>
      </c>
      <c r="D388" s="107">
        <f>SUM(D369:D387)</f>
        <v>135539317</v>
      </c>
    </row>
    <row r="389" spans="1:4" s="51" customFormat="1" x14ac:dyDescent="0.2">
      <c r="A389" s="589"/>
      <c r="B389" s="590"/>
      <c r="C389" s="112"/>
      <c r="D389" s="112"/>
    </row>
    <row r="390" spans="1:4" s="51" customFormat="1" x14ac:dyDescent="0.25">
      <c r="A390" s="3461" t="s">
        <v>1480</v>
      </c>
      <c r="B390" s="3461"/>
      <c r="C390" s="3461"/>
      <c r="D390" s="3461"/>
    </row>
    <row r="391" spans="1:4" ht="16.5" thickBot="1" x14ac:dyDescent="0.3">
      <c r="A391" s="3462" t="s">
        <v>2770</v>
      </c>
      <c r="B391" s="3462"/>
      <c r="C391" s="3462"/>
      <c r="D391" s="3462"/>
    </row>
    <row r="392" spans="1:4" x14ac:dyDescent="0.25">
      <c r="A392" s="577" t="s">
        <v>0</v>
      </c>
      <c r="B392" s="578"/>
      <c r="C392" s="577" t="s">
        <v>7</v>
      </c>
      <c r="D392" s="579" t="s">
        <v>2447</v>
      </c>
    </row>
    <row r="393" spans="1:4" s="38" customFormat="1" x14ac:dyDescent="0.2">
      <c r="A393" s="580" t="s">
        <v>1</v>
      </c>
      <c r="B393" s="581" t="s">
        <v>5</v>
      </c>
      <c r="C393" s="580" t="s">
        <v>6</v>
      </c>
      <c r="D393" s="580" t="s">
        <v>2448</v>
      </c>
    </row>
    <row r="394" spans="1:4" s="38" customFormat="1" x14ac:dyDescent="0.2">
      <c r="A394" s="582"/>
      <c r="B394" s="583"/>
      <c r="C394" s="580">
        <v>2020</v>
      </c>
      <c r="D394" s="580">
        <v>2021</v>
      </c>
    </row>
    <row r="395" spans="1:4" s="38" customFormat="1" ht="16.5" thickBot="1" x14ac:dyDescent="0.25">
      <c r="A395" s="584"/>
      <c r="B395" s="585"/>
      <c r="C395" s="586" t="s">
        <v>4</v>
      </c>
      <c r="D395" s="586" t="s">
        <v>4</v>
      </c>
    </row>
    <row r="396" spans="1:4" s="38" customFormat="1" x14ac:dyDescent="0.2">
      <c r="A396" s="48"/>
      <c r="B396" s="52" t="s">
        <v>1093</v>
      </c>
      <c r="C396" s="47"/>
      <c r="D396" s="47"/>
    </row>
    <row r="397" spans="1:4" s="38" customFormat="1" x14ac:dyDescent="0.2">
      <c r="A397" s="42">
        <v>21010100</v>
      </c>
      <c r="B397" s="43" t="s">
        <v>50</v>
      </c>
      <c r="C397" s="106">
        <v>136449543</v>
      </c>
      <c r="D397" s="106">
        <f>'APPENDIX PERS COSTS DETAILS'!F474</f>
        <v>139619833</v>
      </c>
    </row>
    <row r="398" spans="1:4" s="38" customFormat="1" x14ac:dyDescent="0.2">
      <c r="A398" s="45">
        <v>21010101</v>
      </c>
      <c r="B398" s="46" t="s">
        <v>51</v>
      </c>
      <c r="C398" s="48"/>
      <c r="D398" s="48"/>
    </row>
    <row r="399" spans="1:4" s="38" customFormat="1" x14ac:dyDescent="0.2">
      <c r="A399" s="45">
        <v>21010102</v>
      </c>
      <c r="B399" s="46" t="s">
        <v>52</v>
      </c>
      <c r="C399" s="48"/>
      <c r="D399" s="48"/>
    </row>
    <row r="400" spans="1:4" s="38" customFormat="1" x14ac:dyDescent="0.2">
      <c r="A400" s="45">
        <v>21010103</v>
      </c>
      <c r="B400" s="46" t="s">
        <v>53</v>
      </c>
      <c r="C400" s="106"/>
      <c r="D400" s="106"/>
    </row>
    <row r="401" spans="1:4" s="38" customFormat="1" x14ac:dyDescent="0.2">
      <c r="A401" s="42">
        <v>210201</v>
      </c>
      <c r="B401" s="43" t="s">
        <v>54</v>
      </c>
      <c r="C401" s="48"/>
      <c r="D401" s="48"/>
    </row>
    <row r="402" spans="1:4" s="38" customFormat="1" x14ac:dyDescent="0.2">
      <c r="A402" s="45">
        <v>21020101</v>
      </c>
      <c r="B402" s="46" t="s">
        <v>55</v>
      </c>
      <c r="C402" s="49"/>
      <c r="D402" s="49"/>
    </row>
    <row r="403" spans="1:4" s="38" customFormat="1" x14ac:dyDescent="0.2">
      <c r="A403" s="42">
        <v>21020200</v>
      </c>
      <c r="B403" s="43" t="s">
        <v>56</v>
      </c>
      <c r="C403" s="48"/>
      <c r="D403" s="48"/>
    </row>
    <row r="404" spans="1:4" s="38" customFormat="1" x14ac:dyDescent="0.2">
      <c r="A404" s="45">
        <v>21020201</v>
      </c>
      <c r="B404" s="46" t="s">
        <v>122</v>
      </c>
      <c r="C404" s="48"/>
      <c r="D404" s="48"/>
    </row>
    <row r="405" spans="1:4" s="38" customFormat="1" x14ac:dyDescent="0.2">
      <c r="A405" s="45">
        <v>21020202</v>
      </c>
      <c r="B405" s="46" t="s">
        <v>123</v>
      </c>
      <c r="C405" s="48"/>
      <c r="D405" s="48"/>
    </row>
    <row r="406" spans="1:4" s="38" customFormat="1" x14ac:dyDescent="0.2">
      <c r="A406" s="45">
        <v>21020203</v>
      </c>
      <c r="B406" s="46" t="s">
        <v>57</v>
      </c>
      <c r="C406" s="48"/>
      <c r="D406" s="48"/>
    </row>
    <row r="407" spans="1:4" s="38" customFormat="1" x14ac:dyDescent="0.2">
      <c r="A407" s="45">
        <v>21020204</v>
      </c>
      <c r="B407" s="46" t="s">
        <v>58</v>
      </c>
      <c r="C407" s="48"/>
      <c r="D407" s="48"/>
    </row>
    <row r="408" spans="1:4" s="38" customFormat="1" x14ac:dyDescent="0.2">
      <c r="A408" s="45">
        <v>21020205</v>
      </c>
      <c r="B408" s="46" t="s">
        <v>59</v>
      </c>
      <c r="C408" s="48"/>
      <c r="D408" s="48"/>
    </row>
    <row r="409" spans="1:4" s="38" customFormat="1" x14ac:dyDescent="0.2">
      <c r="A409" s="42">
        <v>21030100</v>
      </c>
      <c r="B409" s="43" t="s">
        <v>60</v>
      </c>
      <c r="C409" s="47"/>
      <c r="D409" s="47"/>
    </row>
    <row r="410" spans="1:4" s="38" customFormat="1" x14ac:dyDescent="0.2">
      <c r="A410" s="45">
        <v>21030101</v>
      </c>
      <c r="B410" s="46" t="s">
        <v>61</v>
      </c>
      <c r="C410" s="47"/>
      <c r="D410" s="47"/>
    </row>
    <row r="411" spans="1:4" s="38" customFormat="1" x14ac:dyDescent="0.2">
      <c r="A411" s="45">
        <v>21030102</v>
      </c>
      <c r="B411" s="46" t="s">
        <v>62</v>
      </c>
      <c r="C411" s="47"/>
      <c r="D411" s="47"/>
    </row>
    <row r="412" spans="1:4" s="38" customFormat="1" x14ac:dyDescent="0.2">
      <c r="A412" s="45">
        <v>21030103</v>
      </c>
      <c r="B412" s="46" t="s">
        <v>63</v>
      </c>
      <c r="C412" s="47"/>
      <c r="D412" s="47"/>
    </row>
    <row r="413" spans="1:4" s="38" customFormat="1" x14ac:dyDescent="0.2">
      <c r="A413" s="45"/>
      <c r="B413" s="46"/>
      <c r="C413" s="47"/>
      <c r="D413" s="47"/>
    </row>
    <row r="414" spans="1:4" s="38" customFormat="1" x14ac:dyDescent="0.2">
      <c r="A414" s="587"/>
      <c r="B414" s="588" t="s">
        <v>2</v>
      </c>
      <c r="C414" s="107">
        <f>SUM(C395:C413)</f>
        <v>136449543</v>
      </c>
      <c r="D414" s="107">
        <f>SUM(D395:D413)</f>
        <v>139619833</v>
      </c>
    </row>
    <row r="415" spans="1:4" s="51" customFormat="1" x14ac:dyDescent="0.2">
      <c r="A415" s="589"/>
      <c r="B415" s="590"/>
      <c r="C415" s="112"/>
      <c r="D415" s="112"/>
    </row>
    <row r="416" spans="1:4" s="51" customFormat="1" x14ac:dyDescent="0.2">
      <c r="A416" s="3472" t="s">
        <v>1474</v>
      </c>
      <c r="B416" s="3472"/>
      <c r="C416" s="3472"/>
      <c r="D416" s="3472"/>
    </row>
    <row r="417" spans="1:4" s="51" customFormat="1" ht="16.5" thickBot="1" x14ac:dyDescent="0.25">
      <c r="A417" s="3473" t="s">
        <v>2736</v>
      </c>
      <c r="B417" s="3473"/>
      <c r="C417" s="3473"/>
      <c r="D417" s="3473"/>
    </row>
    <row r="418" spans="1:4" x14ac:dyDescent="0.25">
      <c r="A418" s="577" t="s">
        <v>0</v>
      </c>
      <c r="B418" s="578"/>
      <c r="C418" s="577" t="s">
        <v>7</v>
      </c>
      <c r="D418" s="579" t="s">
        <v>2447</v>
      </c>
    </row>
    <row r="419" spans="1:4" s="38" customFormat="1" x14ac:dyDescent="0.2">
      <c r="A419" s="580" t="s">
        <v>1</v>
      </c>
      <c r="B419" s="581" t="s">
        <v>5</v>
      </c>
      <c r="C419" s="580" t="s">
        <v>6</v>
      </c>
      <c r="D419" s="580" t="s">
        <v>2448</v>
      </c>
    </row>
    <row r="420" spans="1:4" s="38" customFormat="1" x14ac:dyDescent="0.2">
      <c r="A420" s="582"/>
      <c r="B420" s="583"/>
      <c r="C420" s="580">
        <v>2020</v>
      </c>
      <c r="D420" s="580">
        <v>2021</v>
      </c>
    </row>
    <row r="421" spans="1:4" s="38" customFormat="1" ht="16.5" thickBot="1" x14ac:dyDescent="0.25">
      <c r="A421" s="584"/>
      <c r="B421" s="585"/>
      <c r="C421" s="586" t="s">
        <v>4</v>
      </c>
      <c r="D421" s="586" t="s">
        <v>4</v>
      </c>
    </row>
    <row r="422" spans="1:4" s="280" customFormat="1" x14ac:dyDescent="0.25">
      <c r="A422" s="28"/>
      <c r="B422" s="7" t="s">
        <v>1093</v>
      </c>
      <c r="C422" s="29"/>
      <c r="D422" s="29"/>
    </row>
    <row r="423" spans="1:4" s="280" customFormat="1" x14ac:dyDescent="0.25">
      <c r="A423" s="30">
        <v>21010100</v>
      </c>
      <c r="B423" s="31" t="s">
        <v>50</v>
      </c>
      <c r="C423" s="32">
        <v>41352843</v>
      </c>
      <c r="D423" s="108">
        <f>'APPENDIX PERS COSTS DETAILS'!F501</f>
        <v>42575768.299999997</v>
      </c>
    </row>
    <row r="424" spans="1:4" s="280" customFormat="1" x14ac:dyDescent="0.25">
      <c r="A424" s="33">
        <v>21010101</v>
      </c>
      <c r="B424" s="34" t="s">
        <v>51</v>
      </c>
      <c r="C424" s="108"/>
      <c r="D424" s="108"/>
    </row>
    <row r="425" spans="1:4" s="280" customFormat="1" x14ac:dyDescent="0.25">
      <c r="A425" s="33">
        <v>21010102</v>
      </c>
      <c r="B425" s="34" t="s">
        <v>52</v>
      </c>
      <c r="C425" s="36"/>
      <c r="D425" s="36"/>
    </row>
    <row r="426" spans="1:4" s="280" customFormat="1" x14ac:dyDescent="0.25">
      <c r="A426" s="33">
        <v>21010103</v>
      </c>
      <c r="B426" s="34" t="s">
        <v>53</v>
      </c>
      <c r="C426" s="108"/>
      <c r="D426" s="108"/>
    </row>
    <row r="427" spans="1:4" s="280" customFormat="1" x14ac:dyDescent="0.25">
      <c r="A427" s="30">
        <v>210201</v>
      </c>
      <c r="B427" s="31" t="s">
        <v>54</v>
      </c>
      <c r="C427" s="35"/>
      <c r="D427" s="35"/>
    </row>
    <row r="428" spans="1:4" s="280" customFormat="1" x14ac:dyDescent="0.25">
      <c r="A428" s="33">
        <v>21020101</v>
      </c>
      <c r="B428" s="34" t="s">
        <v>55</v>
      </c>
      <c r="C428" s="37"/>
      <c r="D428" s="37"/>
    </row>
    <row r="429" spans="1:4" s="280" customFormat="1" x14ac:dyDescent="0.25">
      <c r="A429" s="30">
        <v>21020200</v>
      </c>
      <c r="B429" s="31" t="s">
        <v>56</v>
      </c>
      <c r="C429" s="36"/>
      <c r="D429" s="36"/>
    </row>
    <row r="430" spans="1:4" s="280" customFormat="1" x14ac:dyDescent="0.25">
      <c r="A430" s="33">
        <v>21020201</v>
      </c>
      <c r="B430" s="34" t="s">
        <v>122</v>
      </c>
      <c r="C430" s="36"/>
      <c r="D430" s="36"/>
    </row>
    <row r="431" spans="1:4" s="280" customFormat="1" x14ac:dyDescent="0.25">
      <c r="A431" s="33">
        <v>21020202</v>
      </c>
      <c r="B431" s="34" t="s">
        <v>123</v>
      </c>
      <c r="C431" s="36"/>
      <c r="D431" s="36"/>
    </row>
    <row r="432" spans="1:4" s="280" customFormat="1" x14ac:dyDescent="0.25">
      <c r="A432" s="33">
        <v>21020203</v>
      </c>
      <c r="B432" s="34" t="s">
        <v>57</v>
      </c>
      <c r="C432" s="36"/>
      <c r="D432" s="36"/>
    </row>
    <row r="433" spans="1:4" s="280" customFormat="1" x14ac:dyDescent="0.25">
      <c r="A433" s="33">
        <v>21020204</v>
      </c>
      <c r="B433" s="34" t="s">
        <v>58</v>
      </c>
      <c r="C433" s="36"/>
      <c r="D433" s="36"/>
    </row>
    <row r="434" spans="1:4" s="280" customFormat="1" x14ac:dyDescent="0.25">
      <c r="A434" s="33">
        <v>21020205</v>
      </c>
      <c r="B434" s="34" t="s">
        <v>59</v>
      </c>
      <c r="C434" s="35"/>
      <c r="D434" s="35"/>
    </row>
    <row r="435" spans="1:4" s="280" customFormat="1" x14ac:dyDescent="0.25">
      <c r="A435" s="30">
        <v>21030100</v>
      </c>
      <c r="B435" s="31" t="s">
        <v>60</v>
      </c>
      <c r="C435" s="35"/>
      <c r="D435" s="35"/>
    </row>
    <row r="436" spans="1:4" s="280" customFormat="1" x14ac:dyDescent="0.25">
      <c r="A436" s="33">
        <v>21030101</v>
      </c>
      <c r="B436" s="34" t="s">
        <v>61</v>
      </c>
      <c r="C436" s="35"/>
      <c r="D436" s="35"/>
    </row>
    <row r="437" spans="1:4" s="280" customFormat="1" x14ac:dyDescent="0.25">
      <c r="A437" s="33">
        <v>21030102</v>
      </c>
      <c r="B437" s="34" t="s">
        <v>62</v>
      </c>
      <c r="C437" s="35"/>
      <c r="D437" s="35"/>
    </row>
    <row r="438" spans="1:4" s="280" customFormat="1" x14ac:dyDescent="0.25">
      <c r="A438" s="33">
        <v>21030103</v>
      </c>
      <c r="B438" s="34" t="s">
        <v>63</v>
      </c>
      <c r="C438" s="35"/>
      <c r="D438" s="35"/>
    </row>
    <row r="439" spans="1:4" s="280" customFormat="1" ht="13.5" customHeight="1" thickBot="1" x14ac:dyDescent="0.3">
      <c r="A439" s="608"/>
      <c r="B439" s="609"/>
      <c r="C439" s="598"/>
      <c r="D439" s="598"/>
    </row>
    <row r="440" spans="1:4" s="280" customFormat="1" ht="16.5" thickBot="1" x14ac:dyDescent="0.3">
      <c r="A440" s="3474" t="s">
        <v>2</v>
      </c>
      <c r="B440" s="3475"/>
      <c r="C440" s="610">
        <f>SUM(C422:C439)</f>
        <v>41352843</v>
      </c>
      <c r="D440" s="610">
        <f>SUM(D422:D439)</f>
        <v>42575768.299999997</v>
      </c>
    </row>
    <row r="441" spans="1:4" s="280" customFormat="1" x14ac:dyDescent="0.25">
      <c r="A441" s="611"/>
      <c r="B441" s="611"/>
      <c r="C441" s="114"/>
      <c r="D441" s="114"/>
    </row>
    <row r="442" spans="1:4" s="280" customFormat="1" x14ac:dyDescent="0.25">
      <c r="A442" s="3461" t="s">
        <v>980</v>
      </c>
      <c r="B442" s="3461"/>
      <c r="C442" s="3461"/>
      <c r="D442" s="3461"/>
    </row>
    <row r="443" spans="1:4" s="280" customFormat="1" ht="16.5" thickBot="1" x14ac:dyDescent="0.3">
      <c r="A443" s="3462" t="s">
        <v>1756</v>
      </c>
      <c r="B443" s="3462"/>
      <c r="C443" s="3462"/>
      <c r="D443" s="3462"/>
    </row>
    <row r="444" spans="1:4" x14ac:dyDescent="0.25">
      <c r="A444" s="577" t="s">
        <v>0</v>
      </c>
      <c r="B444" s="578"/>
      <c r="C444" s="577" t="s">
        <v>7</v>
      </c>
      <c r="D444" s="579" t="s">
        <v>2447</v>
      </c>
    </row>
    <row r="445" spans="1:4" s="38" customFormat="1" x14ac:dyDescent="0.2">
      <c r="A445" s="580" t="s">
        <v>1</v>
      </c>
      <c r="B445" s="581" t="s">
        <v>5</v>
      </c>
      <c r="C445" s="580" t="s">
        <v>6</v>
      </c>
      <c r="D445" s="580" t="s">
        <v>2448</v>
      </c>
    </row>
    <row r="446" spans="1:4" s="38" customFormat="1" x14ac:dyDescent="0.2">
      <c r="A446" s="582"/>
      <c r="B446" s="583"/>
      <c r="C446" s="580">
        <v>2020</v>
      </c>
      <c r="D446" s="580">
        <v>2021</v>
      </c>
    </row>
    <row r="447" spans="1:4" s="38" customFormat="1" ht="16.5" thickBot="1" x14ac:dyDescent="0.25">
      <c r="A447" s="584"/>
      <c r="B447" s="585"/>
      <c r="C447" s="586" t="s">
        <v>4</v>
      </c>
      <c r="D447" s="586" t="s">
        <v>4</v>
      </c>
    </row>
    <row r="448" spans="1:4" s="280" customFormat="1" x14ac:dyDescent="0.25">
      <c r="A448" s="28"/>
      <c r="B448" s="7" t="s">
        <v>1093</v>
      </c>
      <c r="C448" s="29"/>
      <c r="D448" s="29"/>
    </row>
    <row r="449" spans="1:4" s="280" customFormat="1" x14ac:dyDescent="0.25">
      <c r="A449" s="30">
        <v>21010100</v>
      </c>
      <c r="B449" s="31" t="s">
        <v>50</v>
      </c>
      <c r="C449" s="108">
        <v>92529418</v>
      </c>
      <c r="D449" s="108">
        <f>'APPENDIX PERS COSTS DETAILS'!F529</f>
        <v>83451492</v>
      </c>
    </row>
    <row r="450" spans="1:4" s="280" customFormat="1" x14ac:dyDescent="0.25">
      <c r="A450" s="33">
        <v>21010101</v>
      </c>
      <c r="B450" s="34" t="s">
        <v>51</v>
      </c>
      <c r="C450" s="618"/>
      <c r="D450" s="618"/>
    </row>
    <row r="451" spans="1:4" s="280" customFormat="1" x14ac:dyDescent="0.25">
      <c r="A451" s="33">
        <v>21010102</v>
      </c>
      <c r="B451" s="34" t="s">
        <v>52</v>
      </c>
      <c r="C451" s="36"/>
      <c r="D451" s="36"/>
    </row>
    <row r="452" spans="1:4" s="280" customFormat="1" x14ac:dyDescent="0.25">
      <c r="A452" s="33">
        <v>21010103</v>
      </c>
      <c r="B452" s="34" t="s">
        <v>53</v>
      </c>
      <c r="C452" s="108"/>
      <c r="D452" s="108"/>
    </row>
    <row r="453" spans="1:4" s="280" customFormat="1" x14ac:dyDescent="0.25">
      <c r="A453" s="30">
        <v>210201</v>
      </c>
      <c r="B453" s="31" t="s">
        <v>54</v>
      </c>
      <c r="C453" s="35"/>
      <c r="D453" s="35"/>
    </row>
    <row r="454" spans="1:4" s="280" customFormat="1" x14ac:dyDescent="0.25">
      <c r="A454" s="33">
        <v>21020101</v>
      </c>
      <c r="B454" s="34" t="s">
        <v>55</v>
      </c>
      <c r="C454" s="37"/>
      <c r="D454" s="37"/>
    </row>
    <row r="455" spans="1:4" s="280" customFormat="1" x14ac:dyDescent="0.25">
      <c r="A455" s="30">
        <v>21020200</v>
      </c>
      <c r="B455" s="31" t="s">
        <v>56</v>
      </c>
      <c r="C455" s="36"/>
      <c r="D455" s="36"/>
    </row>
    <row r="456" spans="1:4" s="280" customFormat="1" x14ac:dyDescent="0.25">
      <c r="A456" s="33">
        <v>21020201</v>
      </c>
      <c r="B456" s="34" t="s">
        <v>122</v>
      </c>
      <c r="C456" s="36"/>
      <c r="D456" s="36"/>
    </row>
    <row r="457" spans="1:4" s="280" customFormat="1" x14ac:dyDescent="0.25">
      <c r="A457" s="33">
        <v>21020202</v>
      </c>
      <c r="B457" s="34" t="s">
        <v>123</v>
      </c>
      <c r="C457" s="36"/>
      <c r="D457" s="36"/>
    </row>
    <row r="458" spans="1:4" s="280" customFormat="1" x14ac:dyDescent="0.25">
      <c r="A458" s="33">
        <v>21020203</v>
      </c>
      <c r="B458" s="34" t="s">
        <v>57</v>
      </c>
      <c r="C458" s="36"/>
      <c r="D458" s="36"/>
    </row>
    <row r="459" spans="1:4" s="280" customFormat="1" x14ac:dyDescent="0.25">
      <c r="A459" s="33">
        <v>21020204</v>
      </c>
      <c r="B459" s="34" t="s">
        <v>58</v>
      </c>
      <c r="C459" s="36"/>
      <c r="D459" s="36"/>
    </row>
    <row r="460" spans="1:4" s="280" customFormat="1" x14ac:dyDescent="0.25">
      <c r="A460" s="33">
        <v>21020205</v>
      </c>
      <c r="B460" s="34" t="s">
        <v>59</v>
      </c>
      <c r="C460" s="35"/>
      <c r="D460" s="35"/>
    </row>
    <row r="461" spans="1:4" s="280" customFormat="1" x14ac:dyDescent="0.25">
      <c r="A461" s="30">
        <v>21030100</v>
      </c>
      <c r="B461" s="31" t="s">
        <v>60</v>
      </c>
      <c r="C461" s="35"/>
      <c r="D461" s="35"/>
    </row>
    <row r="462" spans="1:4" s="280" customFormat="1" x14ac:dyDescent="0.25">
      <c r="A462" s="33">
        <v>21030101</v>
      </c>
      <c r="B462" s="34" t="s">
        <v>61</v>
      </c>
      <c r="C462" s="35"/>
      <c r="D462" s="35"/>
    </row>
    <row r="463" spans="1:4" s="280" customFormat="1" x14ac:dyDescent="0.25">
      <c r="A463" s="33">
        <v>21030102</v>
      </c>
      <c r="B463" s="34" t="s">
        <v>62</v>
      </c>
      <c r="C463" s="35"/>
      <c r="D463" s="35"/>
    </row>
    <row r="464" spans="1:4" s="280" customFormat="1" x14ac:dyDescent="0.25">
      <c r="A464" s="33">
        <v>21030103</v>
      </c>
      <c r="B464" s="34" t="s">
        <v>63</v>
      </c>
      <c r="C464" s="35"/>
      <c r="D464" s="35"/>
    </row>
    <row r="465" spans="1:4" s="280" customFormat="1" ht="16.5" thickBot="1" x14ac:dyDescent="0.3">
      <c r="A465" s="608"/>
      <c r="B465" s="609"/>
      <c r="C465" s="598"/>
      <c r="D465" s="598"/>
    </row>
    <row r="466" spans="1:4" s="280" customFormat="1" ht="16.5" thickBot="1" x14ac:dyDescent="0.3">
      <c r="A466" s="3474" t="s">
        <v>2</v>
      </c>
      <c r="B466" s="3475"/>
      <c r="C466" s="610">
        <f>SUM(C448:C465)</f>
        <v>92529418</v>
      </c>
      <c r="D466" s="610">
        <f>SUM(D448:D465)</f>
        <v>83451492</v>
      </c>
    </row>
    <row r="467" spans="1:4" s="280" customFormat="1" x14ac:dyDescent="0.25"/>
    <row r="468" spans="1:4" s="280" customFormat="1" x14ac:dyDescent="0.25">
      <c r="A468" s="3456" t="s">
        <v>2737</v>
      </c>
      <c r="B468" s="3456"/>
      <c r="C468" s="3456"/>
      <c r="D468" s="3456"/>
    </row>
    <row r="469" spans="1:4" ht="16.5" thickBot="1" x14ac:dyDescent="0.3">
      <c r="A469" s="3460" t="s">
        <v>2771</v>
      </c>
      <c r="B469" s="3460"/>
      <c r="C469" s="3460"/>
      <c r="D469" s="3460"/>
    </row>
    <row r="470" spans="1:4" x14ac:dyDescent="0.25">
      <c r="A470" s="577" t="s">
        <v>0</v>
      </c>
      <c r="B470" s="578"/>
      <c r="C470" s="577" t="s">
        <v>7</v>
      </c>
      <c r="D470" s="579" t="s">
        <v>2447</v>
      </c>
    </row>
    <row r="471" spans="1:4" s="38" customFormat="1" x14ac:dyDescent="0.2">
      <c r="A471" s="580" t="s">
        <v>1</v>
      </c>
      <c r="B471" s="581" t="s">
        <v>5</v>
      </c>
      <c r="C471" s="580" t="s">
        <v>6</v>
      </c>
      <c r="D471" s="580" t="s">
        <v>2448</v>
      </c>
    </row>
    <row r="472" spans="1:4" s="38" customFormat="1" x14ac:dyDescent="0.2">
      <c r="A472" s="582"/>
      <c r="B472" s="583"/>
      <c r="C472" s="580">
        <v>2020</v>
      </c>
      <c r="D472" s="580">
        <v>2021</v>
      </c>
    </row>
    <row r="473" spans="1:4" s="38" customFormat="1" ht="16.5" thickBot="1" x14ac:dyDescent="0.25">
      <c r="A473" s="584"/>
      <c r="B473" s="585"/>
      <c r="C473" s="586" t="s">
        <v>4</v>
      </c>
      <c r="D473" s="586" t="s">
        <v>4</v>
      </c>
    </row>
    <row r="474" spans="1:4" x14ac:dyDescent="0.25">
      <c r="A474" s="28"/>
      <c r="B474" s="7" t="s">
        <v>1093</v>
      </c>
      <c r="C474" s="29"/>
      <c r="D474" s="29"/>
    </row>
    <row r="475" spans="1:4" x14ac:dyDescent="0.25">
      <c r="A475" s="30">
        <v>21010100</v>
      </c>
      <c r="B475" s="31" t="s">
        <v>50</v>
      </c>
      <c r="C475" s="108">
        <v>0</v>
      </c>
      <c r="D475" s="108">
        <f>'APPENDIX PERS COSTS DETAILS'!F552</f>
        <v>0</v>
      </c>
    </row>
    <row r="476" spans="1:4" x14ac:dyDescent="0.25">
      <c r="A476" s="33">
        <v>21010101</v>
      </c>
      <c r="B476" s="34" t="s">
        <v>51</v>
      </c>
      <c r="C476" s="36"/>
      <c r="D476" s="36"/>
    </row>
    <row r="477" spans="1:4" x14ac:dyDescent="0.25">
      <c r="A477" s="33">
        <v>21010102</v>
      </c>
      <c r="B477" s="34" t="s">
        <v>52</v>
      </c>
      <c r="C477" s="36"/>
      <c r="D477" s="36"/>
    </row>
    <row r="478" spans="1:4" x14ac:dyDescent="0.25">
      <c r="A478" s="33">
        <v>21010103</v>
      </c>
      <c r="B478" s="34" t="s">
        <v>53</v>
      </c>
      <c r="C478" s="108">
        <v>5729815</v>
      </c>
      <c r="D478" s="108">
        <f>'APPENDIX PERS COSTS DETAILS'!F555</f>
        <v>5729815</v>
      </c>
    </row>
    <row r="479" spans="1:4" x14ac:dyDescent="0.25">
      <c r="A479" s="30">
        <v>210201</v>
      </c>
      <c r="B479" s="31" t="s">
        <v>54</v>
      </c>
      <c r="C479" s="36"/>
      <c r="D479" s="36"/>
    </row>
    <row r="480" spans="1:4" x14ac:dyDescent="0.25">
      <c r="A480" s="33">
        <v>21020101</v>
      </c>
      <c r="B480" s="34" t="s">
        <v>55</v>
      </c>
      <c r="C480" s="37"/>
      <c r="D480" s="37"/>
    </row>
    <row r="481" spans="1:4" x14ac:dyDescent="0.25">
      <c r="A481" s="30">
        <v>21020200</v>
      </c>
      <c r="B481" s="31" t="s">
        <v>56</v>
      </c>
      <c r="C481" s="36"/>
      <c r="D481" s="36"/>
    </row>
    <row r="482" spans="1:4" x14ac:dyDescent="0.25">
      <c r="A482" s="33">
        <v>21020201</v>
      </c>
      <c r="B482" s="34" t="s">
        <v>122</v>
      </c>
      <c r="C482" s="36"/>
      <c r="D482" s="36"/>
    </row>
    <row r="483" spans="1:4" x14ac:dyDescent="0.25">
      <c r="A483" s="33">
        <v>21020202</v>
      </c>
      <c r="B483" s="34" t="s">
        <v>123</v>
      </c>
      <c r="C483" s="36"/>
      <c r="D483" s="36"/>
    </row>
    <row r="484" spans="1:4" x14ac:dyDescent="0.25">
      <c r="A484" s="33">
        <v>21020203</v>
      </c>
      <c r="B484" s="34" t="s">
        <v>57</v>
      </c>
      <c r="C484" s="36"/>
      <c r="D484" s="36"/>
    </row>
    <row r="485" spans="1:4" x14ac:dyDescent="0.25">
      <c r="A485" s="33">
        <v>21020204</v>
      </c>
      <c r="B485" s="34" t="s">
        <v>58</v>
      </c>
      <c r="C485" s="36"/>
      <c r="D485" s="36"/>
    </row>
    <row r="486" spans="1:4" x14ac:dyDescent="0.25">
      <c r="A486" s="33">
        <v>21020205</v>
      </c>
      <c r="B486" s="34" t="s">
        <v>59</v>
      </c>
      <c r="C486" s="36"/>
      <c r="D486" s="36"/>
    </row>
    <row r="487" spans="1:4" x14ac:dyDescent="0.25">
      <c r="A487" s="30">
        <v>21030100</v>
      </c>
      <c r="B487" s="31" t="s">
        <v>60</v>
      </c>
      <c r="C487" s="35"/>
      <c r="D487" s="35"/>
    </row>
    <row r="488" spans="1:4" x14ac:dyDescent="0.25">
      <c r="A488" s="33">
        <v>21030101</v>
      </c>
      <c r="B488" s="34" t="s">
        <v>61</v>
      </c>
      <c r="C488" s="35"/>
      <c r="D488" s="35"/>
    </row>
    <row r="489" spans="1:4" x14ac:dyDescent="0.25">
      <c r="A489" s="33">
        <v>21030102</v>
      </c>
      <c r="B489" s="34" t="s">
        <v>62</v>
      </c>
      <c r="C489" s="35"/>
      <c r="D489" s="35"/>
    </row>
    <row r="490" spans="1:4" x14ac:dyDescent="0.25">
      <c r="A490" s="33">
        <v>21030103</v>
      </c>
      <c r="B490" s="34" t="s">
        <v>63</v>
      </c>
      <c r="C490" s="35"/>
      <c r="D490" s="35"/>
    </row>
    <row r="491" spans="1:4" x14ac:dyDescent="0.25">
      <c r="A491" s="593"/>
      <c r="B491" s="594" t="s">
        <v>2</v>
      </c>
      <c r="C491" s="109">
        <f>SUM(C475:C490)</f>
        <v>5729815</v>
      </c>
      <c r="D491" s="109">
        <f>SUM(D475:D490)</f>
        <v>5729815</v>
      </c>
    </row>
    <row r="492" spans="1:4" s="26" customFormat="1" x14ac:dyDescent="0.25">
      <c r="A492" s="27"/>
      <c r="B492" s="27"/>
      <c r="C492" s="27"/>
      <c r="D492" s="27"/>
    </row>
    <row r="493" spans="1:4" x14ac:dyDescent="0.25">
      <c r="A493" s="3456" t="s">
        <v>156</v>
      </c>
      <c r="B493" s="3456"/>
      <c r="C493" s="3456"/>
      <c r="D493" s="3456"/>
    </row>
    <row r="494" spans="1:4" ht="16.5" thickBot="1" x14ac:dyDescent="0.3">
      <c r="A494" s="3457" t="s">
        <v>2772</v>
      </c>
      <c r="B494" s="3457"/>
      <c r="C494" s="3457"/>
      <c r="D494" s="3457"/>
    </row>
    <row r="495" spans="1:4" x14ac:dyDescent="0.25">
      <c r="A495" s="577" t="s">
        <v>0</v>
      </c>
      <c r="B495" s="578"/>
      <c r="C495" s="577" t="s">
        <v>7</v>
      </c>
      <c r="D495" s="579" t="s">
        <v>2447</v>
      </c>
    </row>
    <row r="496" spans="1:4" s="38" customFormat="1" x14ac:dyDescent="0.2">
      <c r="A496" s="580" t="s">
        <v>1</v>
      </c>
      <c r="B496" s="581" t="s">
        <v>5</v>
      </c>
      <c r="C496" s="580" t="s">
        <v>6</v>
      </c>
      <c r="D496" s="580" t="s">
        <v>2448</v>
      </c>
    </row>
    <row r="497" spans="1:4" s="38" customFormat="1" x14ac:dyDescent="0.2">
      <c r="A497" s="582"/>
      <c r="B497" s="583"/>
      <c r="C497" s="580">
        <v>2020</v>
      </c>
      <c r="D497" s="580">
        <v>2021</v>
      </c>
    </row>
    <row r="498" spans="1:4" s="38" customFormat="1" ht="16.5" thickBot="1" x14ac:dyDescent="0.25">
      <c r="A498" s="584"/>
      <c r="B498" s="585"/>
      <c r="C498" s="586" t="s">
        <v>4</v>
      </c>
      <c r="D498" s="586" t="s">
        <v>4</v>
      </c>
    </row>
    <row r="499" spans="1:4" s="38" customFormat="1" x14ac:dyDescent="0.2">
      <c r="A499" s="48"/>
      <c r="B499" s="52" t="s">
        <v>1093</v>
      </c>
      <c r="C499" s="47"/>
      <c r="D499" s="47"/>
    </row>
    <row r="500" spans="1:4" s="38" customFormat="1" x14ac:dyDescent="0.2">
      <c r="A500" s="42">
        <v>21010100</v>
      </c>
      <c r="B500" s="43" t="s">
        <v>50</v>
      </c>
      <c r="C500" s="106">
        <v>0</v>
      </c>
      <c r="D500" s="106">
        <f>'APPENDIX PERS COSTS DETAILS'!F579</f>
        <v>0</v>
      </c>
    </row>
    <row r="501" spans="1:4" s="38" customFormat="1" x14ac:dyDescent="0.2">
      <c r="A501" s="45">
        <v>21010101</v>
      </c>
      <c r="B501" s="46" t="s">
        <v>51</v>
      </c>
      <c r="C501" s="48"/>
      <c r="D501" s="48"/>
    </row>
    <row r="502" spans="1:4" s="38" customFormat="1" x14ac:dyDescent="0.2">
      <c r="A502" s="45">
        <v>21010102</v>
      </c>
      <c r="B502" s="46" t="s">
        <v>52</v>
      </c>
      <c r="C502" s="48"/>
      <c r="D502" s="48"/>
    </row>
    <row r="503" spans="1:4" s="38" customFormat="1" x14ac:dyDescent="0.2">
      <c r="A503" s="45">
        <v>21010103</v>
      </c>
      <c r="B503" s="46" t="s">
        <v>53</v>
      </c>
      <c r="C503" s="106">
        <v>5729815</v>
      </c>
      <c r="D503" s="106">
        <f>'APPENDIX PERS COSTS DETAILS'!F582</f>
        <v>5729815</v>
      </c>
    </row>
    <row r="504" spans="1:4" s="38" customFormat="1" x14ac:dyDescent="0.2">
      <c r="A504" s="42">
        <v>210201</v>
      </c>
      <c r="B504" s="43" t="s">
        <v>54</v>
      </c>
      <c r="C504" s="48"/>
      <c r="D504" s="48"/>
    </row>
    <row r="505" spans="1:4" s="38" customFormat="1" x14ac:dyDescent="0.2">
      <c r="A505" s="45">
        <v>21020101</v>
      </c>
      <c r="B505" s="46" t="s">
        <v>55</v>
      </c>
      <c r="C505" s="49"/>
      <c r="D505" s="49"/>
    </row>
    <row r="506" spans="1:4" s="38" customFormat="1" x14ac:dyDescent="0.2">
      <c r="A506" s="42">
        <v>21020200</v>
      </c>
      <c r="B506" s="43" t="s">
        <v>56</v>
      </c>
      <c r="C506" s="48"/>
      <c r="D506" s="48"/>
    </row>
    <row r="507" spans="1:4" s="38" customFormat="1" x14ac:dyDescent="0.2">
      <c r="A507" s="45">
        <v>21020201</v>
      </c>
      <c r="B507" s="46" t="s">
        <v>122</v>
      </c>
      <c r="C507" s="48"/>
      <c r="D507" s="48"/>
    </row>
    <row r="508" spans="1:4" s="38" customFormat="1" x14ac:dyDescent="0.2">
      <c r="A508" s="45">
        <v>21020202</v>
      </c>
      <c r="B508" s="46" t="s">
        <v>123</v>
      </c>
      <c r="C508" s="48"/>
      <c r="D508" s="48"/>
    </row>
    <row r="509" spans="1:4" s="38" customFormat="1" x14ac:dyDescent="0.2">
      <c r="A509" s="45">
        <v>21020203</v>
      </c>
      <c r="B509" s="46" t="s">
        <v>57</v>
      </c>
      <c r="C509" s="48"/>
      <c r="D509" s="48"/>
    </row>
    <row r="510" spans="1:4" s="38" customFormat="1" x14ac:dyDescent="0.2">
      <c r="A510" s="45">
        <v>21020204</v>
      </c>
      <c r="B510" s="46" t="s">
        <v>58</v>
      </c>
      <c r="C510" s="48"/>
      <c r="D510" s="48"/>
    </row>
    <row r="511" spans="1:4" s="38" customFormat="1" x14ac:dyDescent="0.2">
      <c r="A511" s="45">
        <v>21020205</v>
      </c>
      <c r="B511" s="46" t="s">
        <v>59</v>
      </c>
      <c r="C511" s="48"/>
      <c r="D511" s="48"/>
    </row>
    <row r="512" spans="1:4" s="38" customFormat="1" x14ac:dyDescent="0.2">
      <c r="A512" s="42">
        <v>21030100</v>
      </c>
      <c r="B512" s="43" t="s">
        <v>60</v>
      </c>
      <c r="C512" s="47"/>
      <c r="D512" s="47"/>
    </row>
    <row r="513" spans="1:4" s="38" customFormat="1" x14ac:dyDescent="0.2">
      <c r="A513" s="45">
        <v>21030101</v>
      </c>
      <c r="B513" s="46" t="s">
        <v>61</v>
      </c>
      <c r="C513" s="47"/>
      <c r="D513" s="47"/>
    </row>
    <row r="514" spans="1:4" s="38" customFormat="1" x14ac:dyDescent="0.2">
      <c r="A514" s="45">
        <v>21030102</v>
      </c>
      <c r="B514" s="46" t="s">
        <v>62</v>
      </c>
      <c r="C514" s="47"/>
      <c r="D514" s="47"/>
    </row>
    <row r="515" spans="1:4" s="38" customFormat="1" x14ac:dyDescent="0.2">
      <c r="A515" s="45">
        <v>21030103</v>
      </c>
      <c r="B515" s="46" t="s">
        <v>63</v>
      </c>
      <c r="C515" s="47"/>
      <c r="D515" s="47"/>
    </row>
    <row r="516" spans="1:4" s="38" customFormat="1" x14ac:dyDescent="0.2">
      <c r="A516" s="587"/>
      <c r="B516" s="588" t="s">
        <v>2</v>
      </c>
      <c r="C516" s="107">
        <f>SUM(C498:C515)</f>
        <v>5729815</v>
      </c>
      <c r="D516" s="107">
        <f>SUM(D498:D515)</f>
        <v>5729815</v>
      </c>
    </row>
    <row r="517" spans="1:4" s="51" customFormat="1" x14ac:dyDescent="0.2">
      <c r="A517" s="589"/>
      <c r="B517" s="590"/>
      <c r="C517" s="112"/>
      <c r="D517" s="112"/>
    </row>
    <row r="518" spans="1:4" s="51" customFormat="1" x14ac:dyDescent="0.25">
      <c r="A518" s="3456" t="s">
        <v>1444</v>
      </c>
      <c r="B518" s="3456"/>
      <c r="C518" s="3456"/>
      <c r="D518" s="3456"/>
    </row>
    <row r="519" spans="1:4" ht="16.5" thickBot="1" x14ac:dyDescent="0.3">
      <c r="A519" s="3456" t="s">
        <v>2773</v>
      </c>
      <c r="B519" s="3456"/>
      <c r="C519" s="3456"/>
      <c r="D519" s="3456"/>
    </row>
    <row r="520" spans="1:4" x14ac:dyDescent="0.25">
      <c r="A520" s="577" t="s">
        <v>0</v>
      </c>
      <c r="B520" s="578"/>
      <c r="C520" s="577" t="s">
        <v>7</v>
      </c>
      <c r="D520" s="579" t="s">
        <v>2447</v>
      </c>
    </row>
    <row r="521" spans="1:4" s="38" customFormat="1" x14ac:dyDescent="0.2">
      <c r="A521" s="580" t="s">
        <v>1</v>
      </c>
      <c r="B521" s="581" t="s">
        <v>5</v>
      </c>
      <c r="C521" s="580" t="s">
        <v>6</v>
      </c>
      <c r="D521" s="580" t="s">
        <v>2448</v>
      </c>
    </row>
    <row r="522" spans="1:4" s="38" customFormat="1" x14ac:dyDescent="0.2">
      <c r="A522" s="582"/>
      <c r="B522" s="583"/>
      <c r="C522" s="580">
        <v>2020</v>
      </c>
      <c r="D522" s="580">
        <v>2021</v>
      </c>
    </row>
    <row r="523" spans="1:4" s="38" customFormat="1" ht="16.5" thickBot="1" x14ac:dyDescent="0.25">
      <c r="A523" s="584"/>
      <c r="B523" s="585"/>
      <c r="C523" s="586" t="s">
        <v>4</v>
      </c>
      <c r="D523" s="586" t="s">
        <v>4</v>
      </c>
    </row>
    <row r="524" spans="1:4" x14ac:dyDescent="0.25">
      <c r="A524" s="36"/>
      <c r="B524" s="6" t="s">
        <v>1093</v>
      </c>
      <c r="C524" s="35"/>
      <c r="D524" s="35"/>
    </row>
    <row r="525" spans="1:4" x14ac:dyDescent="0.25">
      <c r="A525" s="30">
        <v>21010100</v>
      </c>
      <c r="B525" s="31" t="s">
        <v>50</v>
      </c>
      <c r="C525" s="108">
        <v>89543185</v>
      </c>
      <c r="D525" s="108">
        <f>'APPENDIX PERS COSTS DETAILS'!F606</f>
        <v>89543185</v>
      </c>
    </row>
    <row r="526" spans="1:4" x14ac:dyDescent="0.25">
      <c r="A526" s="33">
        <v>21010101</v>
      </c>
      <c r="B526" s="34" t="s">
        <v>51</v>
      </c>
      <c r="C526" s="36"/>
      <c r="D526" s="36"/>
    </row>
    <row r="527" spans="1:4" x14ac:dyDescent="0.25">
      <c r="A527" s="33">
        <v>21010102</v>
      </c>
      <c r="B527" s="34" t="s">
        <v>52</v>
      </c>
      <c r="C527" s="36"/>
      <c r="D527" s="36"/>
    </row>
    <row r="528" spans="1:4" x14ac:dyDescent="0.25">
      <c r="A528" s="33">
        <v>21010103</v>
      </c>
      <c r="B528" s="34" t="s">
        <v>53</v>
      </c>
      <c r="C528" s="108">
        <v>11245165</v>
      </c>
      <c r="D528" s="108">
        <f>'APPENDIX PERS COSTS DETAILS'!F611</f>
        <v>11245165</v>
      </c>
    </row>
    <row r="529" spans="1:4" x14ac:dyDescent="0.25">
      <c r="A529" s="30">
        <v>210201</v>
      </c>
      <c r="B529" s="31" t="s">
        <v>54</v>
      </c>
      <c r="C529" s="36"/>
      <c r="D529" s="36"/>
    </row>
    <row r="530" spans="1:4" x14ac:dyDescent="0.25">
      <c r="A530" s="33">
        <v>21020101</v>
      </c>
      <c r="B530" s="34" t="s">
        <v>55</v>
      </c>
      <c r="C530" s="37"/>
      <c r="D530" s="37"/>
    </row>
    <row r="531" spans="1:4" x14ac:dyDescent="0.25">
      <c r="A531" s="30">
        <v>21020200</v>
      </c>
      <c r="B531" s="31" t="s">
        <v>56</v>
      </c>
      <c r="C531" s="36"/>
      <c r="D531" s="36"/>
    </row>
    <row r="532" spans="1:4" x14ac:dyDescent="0.25">
      <c r="A532" s="33">
        <v>21020201</v>
      </c>
      <c r="B532" s="34" t="s">
        <v>122</v>
      </c>
      <c r="C532" s="36"/>
      <c r="D532" s="36"/>
    </row>
    <row r="533" spans="1:4" x14ac:dyDescent="0.25">
      <c r="A533" s="33">
        <v>21020202</v>
      </c>
      <c r="B533" s="34" t="s">
        <v>123</v>
      </c>
      <c r="C533" s="36"/>
      <c r="D533" s="36"/>
    </row>
    <row r="534" spans="1:4" x14ac:dyDescent="0.25">
      <c r="A534" s="33">
        <v>21020203</v>
      </c>
      <c r="B534" s="34" t="s">
        <v>57</v>
      </c>
      <c r="C534" s="36"/>
      <c r="D534" s="36"/>
    </row>
    <row r="535" spans="1:4" x14ac:dyDescent="0.25">
      <c r="A535" s="33">
        <v>21020204</v>
      </c>
      <c r="B535" s="34" t="s">
        <v>58</v>
      </c>
      <c r="C535" s="36"/>
      <c r="D535" s="36"/>
    </row>
    <row r="536" spans="1:4" x14ac:dyDescent="0.25">
      <c r="A536" s="33">
        <v>21020205</v>
      </c>
      <c r="B536" s="34" t="s">
        <v>59</v>
      </c>
      <c r="C536" s="36"/>
      <c r="D536" s="36"/>
    </row>
    <row r="537" spans="1:4" x14ac:dyDescent="0.25">
      <c r="A537" s="30">
        <v>21030100</v>
      </c>
      <c r="B537" s="31" t="s">
        <v>60</v>
      </c>
      <c r="C537" s="35"/>
      <c r="D537" s="35"/>
    </row>
    <row r="538" spans="1:4" x14ac:dyDescent="0.25">
      <c r="A538" s="33">
        <v>21030101</v>
      </c>
      <c r="B538" s="34" t="s">
        <v>61</v>
      </c>
      <c r="C538" s="35"/>
      <c r="D538" s="35"/>
    </row>
    <row r="539" spans="1:4" x14ac:dyDescent="0.25">
      <c r="A539" s="33">
        <v>21030102</v>
      </c>
      <c r="B539" s="34" t="s">
        <v>62</v>
      </c>
      <c r="C539" s="35"/>
      <c r="D539" s="35"/>
    </row>
    <row r="540" spans="1:4" x14ac:dyDescent="0.25">
      <c r="A540" s="33">
        <v>21030103</v>
      </c>
      <c r="B540" s="34" t="s">
        <v>63</v>
      </c>
      <c r="C540" s="35"/>
      <c r="D540" s="35"/>
    </row>
    <row r="541" spans="1:4" x14ac:dyDescent="0.25">
      <c r="A541" s="33"/>
      <c r="B541" s="34"/>
      <c r="C541" s="37"/>
      <c r="D541" s="37"/>
    </row>
    <row r="542" spans="1:4" x14ac:dyDescent="0.25">
      <c r="A542" s="593"/>
      <c r="B542" s="594" t="s">
        <v>2</v>
      </c>
      <c r="C542" s="109">
        <f>SUM(C523:C541)</f>
        <v>100788350</v>
      </c>
      <c r="D542" s="109">
        <f>SUM(D523:D541)</f>
        <v>100788350</v>
      </c>
    </row>
    <row r="543" spans="1:4" s="26" customFormat="1" x14ac:dyDescent="0.25">
      <c r="A543" s="3458"/>
      <c r="B543" s="3458"/>
      <c r="C543" s="3458"/>
      <c r="D543" s="3458"/>
    </row>
    <row r="544" spans="1:4" x14ac:dyDescent="0.25">
      <c r="A544" s="3456" t="s">
        <v>1197</v>
      </c>
      <c r="B544" s="3456"/>
      <c r="C544" s="3456"/>
      <c r="D544" s="3456"/>
    </row>
    <row r="545" spans="1:4" ht="16.5" thickBot="1" x14ac:dyDescent="0.3">
      <c r="A545" s="3457" t="s">
        <v>2774</v>
      </c>
      <c r="B545" s="3457"/>
      <c r="C545" s="3457"/>
      <c r="D545" s="3457"/>
    </row>
    <row r="546" spans="1:4" x14ac:dyDescent="0.25">
      <c r="A546" s="577" t="s">
        <v>0</v>
      </c>
      <c r="B546" s="578"/>
      <c r="C546" s="577" t="s">
        <v>7</v>
      </c>
      <c r="D546" s="579" t="s">
        <v>2447</v>
      </c>
    </row>
    <row r="547" spans="1:4" s="38" customFormat="1" x14ac:dyDescent="0.2">
      <c r="A547" s="580" t="s">
        <v>1</v>
      </c>
      <c r="B547" s="581" t="s">
        <v>5</v>
      </c>
      <c r="C547" s="580" t="s">
        <v>6</v>
      </c>
      <c r="D547" s="580" t="s">
        <v>2448</v>
      </c>
    </row>
    <row r="548" spans="1:4" s="38" customFormat="1" x14ac:dyDescent="0.2">
      <c r="A548" s="582"/>
      <c r="B548" s="583"/>
      <c r="C548" s="580">
        <v>2020</v>
      </c>
      <c r="D548" s="580">
        <v>2021</v>
      </c>
    </row>
    <row r="549" spans="1:4" s="38" customFormat="1" ht="16.5" thickBot="1" x14ac:dyDescent="0.25">
      <c r="A549" s="584"/>
      <c r="B549" s="585"/>
      <c r="C549" s="586" t="s">
        <v>4</v>
      </c>
      <c r="D549" s="586" t="s">
        <v>4</v>
      </c>
    </row>
    <row r="550" spans="1:4" s="38" customFormat="1" x14ac:dyDescent="0.2">
      <c r="A550" s="48"/>
      <c r="B550" s="52" t="s">
        <v>1093</v>
      </c>
      <c r="C550" s="47"/>
      <c r="D550" s="47"/>
    </row>
    <row r="551" spans="1:4" s="38" customFormat="1" x14ac:dyDescent="0.2">
      <c r="A551" s="42">
        <v>21010100</v>
      </c>
      <c r="B551" s="43" t="s">
        <v>50</v>
      </c>
      <c r="C551" s="106">
        <v>287928565</v>
      </c>
      <c r="D551" s="106">
        <f>'APPENDIX PERS COSTS DETAILS'!F634</f>
        <v>118597663</v>
      </c>
    </row>
    <row r="552" spans="1:4" s="38" customFormat="1" x14ac:dyDescent="0.2">
      <c r="A552" s="45">
        <v>21010101</v>
      </c>
      <c r="B552" s="46" t="s">
        <v>51</v>
      </c>
      <c r="C552" s="48"/>
      <c r="D552" s="48"/>
    </row>
    <row r="553" spans="1:4" s="38" customFormat="1" x14ac:dyDescent="0.2">
      <c r="A553" s="45">
        <v>21010102</v>
      </c>
      <c r="B553" s="46" t="s">
        <v>52</v>
      </c>
      <c r="C553" s="48"/>
      <c r="D553" s="48"/>
    </row>
    <row r="554" spans="1:4" s="38" customFormat="1" x14ac:dyDescent="0.2">
      <c r="A554" s="45">
        <v>21010103</v>
      </c>
      <c r="B554" s="46" t="s">
        <v>53</v>
      </c>
      <c r="C554" s="106">
        <v>5428235</v>
      </c>
      <c r="D554" s="106">
        <f>'APPENDIX PERS COSTS DETAILS'!F644</f>
        <v>5428235</v>
      </c>
    </row>
    <row r="555" spans="1:4" s="38" customFormat="1" x14ac:dyDescent="0.2">
      <c r="A555" s="42">
        <v>210201</v>
      </c>
      <c r="B555" s="43" t="s">
        <v>54</v>
      </c>
      <c r="C555" s="48"/>
      <c r="D555" s="48"/>
    </row>
    <row r="556" spans="1:4" s="38" customFormat="1" x14ac:dyDescent="0.2">
      <c r="A556" s="45">
        <v>21020101</v>
      </c>
      <c r="B556" s="46" t="s">
        <v>55</v>
      </c>
      <c r="C556" s="49"/>
      <c r="D556" s="49"/>
    </row>
    <row r="557" spans="1:4" s="38" customFormat="1" x14ac:dyDescent="0.2">
      <c r="A557" s="42">
        <v>21020200</v>
      </c>
      <c r="B557" s="43" t="s">
        <v>56</v>
      </c>
      <c r="C557" s="48"/>
      <c r="D557" s="48"/>
    </row>
    <row r="558" spans="1:4" s="38" customFormat="1" x14ac:dyDescent="0.2">
      <c r="A558" s="45">
        <v>21020201</v>
      </c>
      <c r="B558" s="46" t="s">
        <v>122</v>
      </c>
      <c r="C558" s="48"/>
      <c r="D558" s="48"/>
    </row>
    <row r="559" spans="1:4" s="38" customFormat="1" x14ac:dyDescent="0.2">
      <c r="A559" s="45">
        <v>21020202</v>
      </c>
      <c r="B559" s="46" t="s">
        <v>123</v>
      </c>
      <c r="C559" s="48"/>
      <c r="D559" s="48"/>
    </row>
    <row r="560" spans="1:4" s="38" customFormat="1" x14ac:dyDescent="0.2">
      <c r="A560" s="45">
        <v>21020203</v>
      </c>
      <c r="B560" s="46" t="s">
        <v>57</v>
      </c>
      <c r="C560" s="48"/>
      <c r="D560" s="48"/>
    </row>
    <row r="561" spans="1:4" s="38" customFormat="1" x14ac:dyDescent="0.2">
      <c r="A561" s="45">
        <v>21020204</v>
      </c>
      <c r="B561" s="46" t="s">
        <v>58</v>
      </c>
      <c r="C561" s="48"/>
      <c r="D561" s="48"/>
    </row>
    <row r="562" spans="1:4" s="38" customFormat="1" x14ac:dyDescent="0.2">
      <c r="A562" s="45">
        <v>21020205</v>
      </c>
      <c r="B562" s="46" t="s">
        <v>59</v>
      </c>
      <c r="C562" s="48"/>
      <c r="D562" s="48"/>
    </row>
    <row r="563" spans="1:4" s="38" customFormat="1" x14ac:dyDescent="0.2">
      <c r="A563" s="42">
        <v>21030100</v>
      </c>
      <c r="B563" s="43" t="s">
        <v>60</v>
      </c>
      <c r="C563" s="47"/>
      <c r="D563" s="47"/>
    </row>
    <row r="564" spans="1:4" s="38" customFormat="1" x14ac:dyDescent="0.2">
      <c r="A564" s="45">
        <v>21030101</v>
      </c>
      <c r="B564" s="46" t="s">
        <v>1534</v>
      </c>
      <c r="C564" s="106">
        <v>6200000000</v>
      </c>
      <c r="D564" s="1952">
        <f>'APPENDIX PERS COSTS DETAILS'!F636</f>
        <v>6000000000</v>
      </c>
    </row>
    <row r="565" spans="1:4" s="38" customFormat="1" x14ac:dyDescent="0.2">
      <c r="A565" s="45">
        <v>21030102</v>
      </c>
      <c r="B565" s="46" t="s">
        <v>1536</v>
      </c>
      <c r="C565" s="106">
        <v>5000000000</v>
      </c>
      <c r="D565" s="1952">
        <f>'APPENDIX PERS COSTS DETAILS'!F635</f>
        <v>6000000000</v>
      </c>
    </row>
    <row r="566" spans="1:4" s="38" customFormat="1" x14ac:dyDescent="0.2">
      <c r="A566" s="45">
        <v>21030105</v>
      </c>
      <c r="B566" s="46" t="s">
        <v>2738</v>
      </c>
      <c r="C566" s="106">
        <v>50000000</v>
      </c>
      <c r="D566" s="1952">
        <f>'APPENDIX PERS COSTS DETAILS'!F639</f>
        <v>10000000</v>
      </c>
    </row>
    <row r="567" spans="1:4" s="38" customFormat="1" x14ac:dyDescent="0.2">
      <c r="A567" s="45">
        <v>21030106</v>
      </c>
      <c r="B567" s="595" t="s">
        <v>2739</v>
      </c>
      <c r="C567" s="596">
        <v>36000000</v>
      </c>
      <c r="D567" s="1952">
        <f>'APPENDIX PERS COSTS DETAILS'!F640</f>
        <v>36000000</v>
      </c>
    </row>
    <row r="568" spans="1:4" s="38" customFormat="1" ht="16.5" thickBot="1" x14ac:dyDescent="0.25">
      <c r="A568" s="45">
        <v>21030107</v>
      </c>
      <c r="B568" s="48" t="s">
        <v>2740</v>
      </c>
      <c r="C568" s="106">
        <v>100000000</v>
      </c>
      <c r="D568" s="1952">
        <f>'APPENDIX PERS COSTS DETAILS'!F638</f>
        <v>30000000</v>
      </c>
    </row>
    <row r="569" spans="1:4" s="38" customFormat="1" ht="16.5" thickBot="1" x14ac:dyDescent="0.25">
      <c r="A569" s="587"/>
      <c r="B569" s="597" t="s">
        <v>2</v>
      </c>
      <c r="C569" s="128">
        <f>SUM(C549:C568)</f>
        <v>11679356800</v>
      </c>
      <c r="D569" s="128">
        <f>SUM(D549:D568)</f>
        <v>12200025898</v>
      </c>
    </row>
    <row r="570" spans="1:4" s="51" customFormat="1" x14ac:dyDescent="0.2">
      <c r="A570" s="589"/>
      <c r="B570" s="590"/>
      <c r="C570" s="112"/>
      <c r="D570" s="112"/>
    </row>
    <row r="571" spans="1:4" s="51" customFormat="1" x14ac:dyDescent="0.2">
      <c r="A571" s="3470" t="s">
        <v>2741</v>
      </c>
      <c r="B571" s="3470"/>
      <c r="C571" s="3470"/>
      <c r="D571" s="3470"/>
    </row>
    <row r="572" spans="1:4" s="612" customFormat="1" ht="16.5" thickBot="1" x14ac:dyDescent="0.3">
      <c r="A572" s="3456" t="s">
        <v>2742</v>
      </c>
      <c r="B572" s="3456"/>
      <c r="C572" s="3456"/>
      <c r="D572" s="3456"/>
    </row>
    <row r="573" spans="1:4" x14ac:dyDescent="0.25">
      <c r="A573" s="577" t="s">
        <v>0</v>
      </c>
      <c r="B573" s="578"/>
      <c r="C573" s="577" t="s">
        <v>7</v>
      </c>
      <c r="D573" s="579" t="s">
        <v>2447</v>
      </c>
    </row>
    <row r="574" spans="1:4" s="38" customFormat="1" x14ac:dyDescent="0.2">
      <c r="A574" s="580" t="s">
        <v>1</v>
      </c>
      <c r="B574" s="581" t="s">
        <v>5</v>
      </c>
      <c r="C574" s="580" t="s">
        <v>6</v>
      </c>
      <c r="D574" s="580" t="s">
        <v>2448</v>
      </c>
    </row>
    <row r="575" spans="1:4" s="38" customFormat="1" x14ac:dyDescent="0.2">
      <c r="A575" s="582"/>
      <c r="B575" s="583"/>
      <c r="C575" s="580">
        <v>2020</v>
      </c>
      <c r="D575" s="580">
        <v>2021</v>
      </c>
    </row>
    <row r="576" spans="1:4" s="38" customFormat="1" ht="16.5" thickBot="1" x14ac:dyDescent="0.25">
      <c r="A576" s="584"/>
      <c r="B576" s="585"/>
      <c r="C576" s="586" t="s">
        <v>4</v>
      </c>
      <c r="D576" s="586" t="s">
        <v>4</v>
      </c>
    </row>
    <row r="577" spans="1:4" x14ac:dyDescent="0.25">
      <c r="A577" s="28"/>
      <c r="B577" s="7" t="s">
        <v>1093</v>
      </c>
      <c r="C577" s="29"/>
      <c r="D577" s="29"/>
    </row>
    <row r="578" spans="1:4" x14ac:dyDescent="0.25">
      <c r="A578" s="30">
        <v>21010100</v>
      </c>
      <c r="B578" s="31" t="s">
        <v>50</v>
      </c>
      <c r="C578" s="108">
        <v>0</v>
      </c>
      <c r="D578" s="108">
        <f>'APPENDIX PERS COSTS DETAILS'!F668</f>
        <v>0</v>
      </c>
    </row>
    <row r="579" spans="1:4" x14ac:dyDescent="0.25">
      <c r="A579" s="33">
        <v>21010101</v>
      </c>
      <c r="B579" s="34" t="s">
        <v>51</v>
      </c>
      <c r="C579" s="36"/>
      <c r="D579" s="36"/>
    </row>
    <row r="580" spans="1:4" x14ac:dyDescent="0.25">
      <c r="A580" s="33">
        <v>21010102</v>
      </c>
      <c r="B580" s="34" t="s">
        <v>52</v>
      </c>
      <c r="C580" s="36"/>
      <c r="D580" s="36"/>
    </row>
    <row r="581" spans="1:4" x14ac:dyDescent="0.25">
      <c r="A581" s="33">
        <v>21010103</v>
      </c>
      <c r="B581" s="34" t="s">
        <v>53</v>
      </c>
      <c r="C581" s="108">
        <v>5729815</v>
      </c>
      <c r="D581" s="108">
        <f>'APPENDIX PERS COSTS DETAILS'!F671</f>
        <v>5729815</v>
      </c>
    </row>
    <row r="582" spans="1:4" x14ac:dyDescent="0.25">
      <c r="A582" s="30">
        <v>210201</v>
      </c>
      <c r="B582" s="31" t="s">
        <v>54</v>
      </c>
      <c r="C582" s="36"/>
      <c r="D582" s="36"/>
    </row>
    <row r="583" spans="1:4" x14ac:dyDescent="0.25">
      <c r="A583" s="33">
        <v>21020101</v>
      </c>
      <c r="B583" s="34" t="s">
        <v>55</v>
      </c>
      <c r="C583" s="37"/>
      <c r="D583" s="37"/>
    </row>
    <row r="584" spans="1:4" x14ac:dyDescent="0.25">
      <c r="A584" s="30">
        <v>21020200</v>
      </c>
      <c r="B584" s="31" t="s">
        <v>56</v>
      </c>
      <c r="C584" s="36"/>
      <c r="D584" s="36"/>
    </row>
    <row r="585" spans="1:4" x14ac:dyDescent="0.25">
      <c r="A585" s="33">
        <v>21020201</v>
      </c>
      <c r="B585" s="34" t="s">
        <v>122</v>
      </c>
      <c r="C585" s="36"/>
      <c r="D585" s="36"/>
    </row>
    <row r="586" spans="1:4" x14ac:dyDescent="0.25">
      <c r="A586" s="33">
        <v>21020202</v>
      </c>
      <c r="B586" s="34" t="s">
        <v>123</v>
      </c>
      <c r="C586" s="36"/>
      <c r="D586" s="36"/>
    </row>
    <row r="587" spans="1:4" x14ac:dyDescent="0.25">
      <c r="A587" s="33">
        <v>21020203</v>
      </c>
      <c r="B587" s="34" t="s">
        <v>57</v>
      </c>
      <c r="C587" s="36"/>
      <c r="D587" s="36"/>
    </row>
    <row r="588" spans="1:4" x14ac:dyDescent="0.25">
      <c r="A588" s="33">
        <v>21020204</v>
      </c>
      <c r="B588" s="34" t="s">
        <v>58</v>
      </c>
      <c r="C588" s="36"/>
      <c r="D588" s="36"/>
    </row>
    <row r="589" spans="1:4" x14ac:dyDescent="0.25">
      <c r="A589" s="33">
        <v>21020205</v>
      </c>
      <c r="B589" s="34" t="s">
        <v>59</v>
      </c>
      <c r="C589" s="36"/>
      <c r="D589" s="36"/>
    </row>
    <row r="590" spans="1:4" x14ac:dyDescent="0.25">
      <c r="A590" s="30">
        <v>21030100</v>
      </c>
      <c r="B590" s="31" t="s">
        <v>60</v>
      </c>
      <c r="C590" s="35"/>
      <c r="D590" s="35"/>
    </row>
    <row r="591" spans="1:4" x14ac:dyDescent="0.25">
      <c r="A591" s="33">
        <v>21030101</v>
      </c>
      <c r="B591" s="34" t="s">
        <v>61</v>
      </c>
      <c r="C591" s="35"/>
      <c r="D591" s="35"/>
    </row>
    <row r="592" spans="1:4" x14ac:dyDescent="0.25">
      <c r="A592" s="33">
        <v>21030102</v>
      </c>
      <c r="B592" s="34" t="s">
        <v>62</v>
      </c>
      <c r="C592" s="35"/>
      <c r="D592" s="35"/>
    </row>
    <row r="593" spans="1:4" x14ac:dyDescent="0.25">
      <c r="A593" s="33">
        <v>21030103</v>
      </c>
      <c r="B593" s="34" t="s">
        <v>63</v>
      </c>
      <c r="C593" s="35"/>
      <c r="D593" s="35"/>
    </row>
    <row r="594" spans="1:4" x14ac:dyDescent="0.25">
      <c r="A594" s="33"/>
      <c r="B594" s="34"/>
      <c r="C594" s="35"/>
      <c r="D594" s="35"/>
    </row>
    <row r="595" spans="1:4" x14ac:dyDescent="0.25">
      <c r="A595" s="593"/>
      <c r="B595" s="594" t="s">
        <v>2</v>
      </c>
      <c r="C595" s="109">
        <f>SUM(C578:C593)</f>
        <v>5729815</v>
      </c>
      <c r="D595" s="109">
        <f>SUM(D578:D593)</f>
        <v>5729815</v>
      </c>
    </row>
    <row r="596" spans="1:4" s="26" customFormat="1" x14ac:dyDescent="0.25">
      <c r="A596" s="27"/>
      <c r="B596" s="27"/>
      <c r="C596" s="27"/>
      <c r="D596" s="27"/>
    </row>
    <row r="597" spans="1:4" x14ac:dyDescent="0.25">
      <c r="A597" s="3456" t="s">
        <v>1457</v>
      </c>
      <c r="B597" s="3456"/>
      <c r="C597" s="3456"/>
      <c r="D597" s="3456"/>
    </row>
    <row r="598" spans="1:4" ht="16.5" thickBot="1" x14ac:dyDescent="0.3">
      <c r="A598" s="3457" t="s">
        <v>2775</v>
      </c>
      <c r="B598" s="3457"/>
      <c r="C598" s="3457"/>
      <c r="D598" s="3457"/>
    </row>
    <row r="599" spans="1:4" x14ac:dyDescent="0.25">
      <c r="A599" s="577" t="s">
        <v>0</v>
      </c>
      <c r="B599" s="578"/>
      <c r="C599" s="577" t="s">
        <v>7</v>
      </c>
      <c r="D599" s="579" t="s">
        <v>2447</v>
      </c>
    </row>
    <row r="600" spans="1:4" s="38" customFormat="1" x14ac:dyDescent="0.2">
      <c r="A600" s="580" t="s">
        <v>1</v>
      </c>
      <c r="B600" s="581" t="s">
        <v>5</v>
      </c>
      <c r="C600" s="580" t="s">
        <v>6</v>
      </c>
      <c r="D600" s="580" t="s">
        <v>2448</v>
      </c>
    </row>
    <row r="601" spans="1:4" s="38" customFormat="1" x14ac:dyDescent="0.2">
      <c r="A601" s="582"/>
      <c r="B601" s="583"/>
      <c r="C601" s="580">
        <v>2020</v>
      </c>
      <c r="D601" s="580">
        <v>2021</v>
      </c>
    </row>
    <row r="602" spans="1:4" s="38" customFormat="1" ht="16.5" thickBot="1" x14ac:dyDescent="0.25">
      <c r="A602" s="584"/>
      <c r="B602" s="585"/>
      <c r="C602" s="586" t="s">
        <v>4</v>
      </c>
      <c r="D602" s="586" t="s">
        <v>4</v>
      </c>
    </row>
    <row r="603" spans="1:4" x14ac:dyDescent="0.25">
      <c r="A603" s="48"/>
      <c r="B603" s="52" t="s">
        <v>1093</v>
      </c>
      <c r="C603" s="47"/>
      <c r="D603" s="47"/>
    </row>
    <row r="604" spans="1:4" s="38" customFormat="1" x14ac:dyDescent="0.2">
      <c r="A604" s="42">
        <v>21010100</v>
      </c>
      <c r="B604" s="43" t="s">
        <v>50</v>
      </c>
      <c r="C604" s="106">
        <v>109782835</v>
      </c>
      <c r="D604" s="106">
        <f>'APPENDIX PERS COSTS DETAILS'!F698</f>
        <v>136019328</v>
      </c>
    </row>
    <row r="605" spans="1:4" s="38" customFormat="1" x14ac:dyDescent="0.2">
      <c r="A605" s="45">
        <v>21010101</v>
      </c>
      <c r="B605" s="46" t="s">
        <v>51</v>
      </c>
      <c r="C605" s="48"/>
      <c r="D605" s="48"/>
    </row>
    <row r="606" spans="1:4" s="38" customFormat="1" x14ac:dyDescent="0.2">
      <c r="A606" s="45">
        <v>21010102</v>
      </c>
      <c r="B606" s="46" t="s">
        <v>52</v>
      </c>
      <c r="C606" s="48"/>
      <c r="D606" s="48"/>
    </row>
    <row r="607" spans="1:4" s="38" customFormat="1" x14ac:dyDescent="0.2">
      <c r="A607" s="45">
        <v>21010103</v>
      </c>
      <c r="B607" s="46" t="s">
        <v>53</v>
      </c>
      <c r="C607" s="106">
        <v>5428235</v>
      </c>
      <c r="D607" s="106">
        <f>'APPENDIX PERS COSTS DETAILS'!F701</f>
        <v>12666413</v>
      </c>
    </row>
    <row r="608" spans="1:4" s="38" customFormat="1" x14ac:dyDescent="0.2">
      <c r="A608" s="42">
        <v>210201</v>
      </c>
      <c r="B608" s="43" t="s">
        <v>54</v>
      </c>
      <c r="C608" s="48"/>
      <c r="D608" s="48"/>
    </row>
    <row r="609" spans="1:4" s="38" customFormat="1" x14ac:dyDescent="0.2">
      <c r="A609" s="45">
        <v>21020101</v>
      </c>
      <c r="B609" s="46" t="s">
        <v>55</v>
      </c>
      <c r="C609" s="49"/>
      <c r="D609" s="49"/>
    </row>
    <row r="610" spans="1:4" s="38" customFormat="1" x14ac:dyDescent="0.2">
      <c r="A610" s="42">
        <v>21020200</v>
      </c>
      <c r="B610" s="43" t="s">
        <v>56</v>
      </c>
      <c r="C610" s="48"/>
      <c r="D610" s="48"/>
    </row>
    <row r="611" spans="1:4" s="38" customFormat="1" x14ac:dyDescent="0.2">
      <c r="A611" s="45">
        <v>21020201</v>
      </c>
      <c r="B611" s="46" t="s">
        <v>122</v>
      </c>
      <c r="C611" s="48"/>
      <c r="D611" s="48"/>
    </row>
    <row r="612" spans="1:4" s="38" customFormat="1" x14ac:dyDescent="0.2">
      <c r="A612" s="45">
        <v>21020202</v>
      </c>
      <c r="B612" s="46" t="s">
        <v>123</v>
      </c>
      <c r="C612" s="48"/>
      <c r="D612" s="48"/>
    </row>
    <row r="613" spans="1:4" s="38" customFormat="1" x14ac:dyDescent="0.2">
      <c r="A613" s="45">
        <v>21020203</v>
      </c>
      <c r="B613" s="46" t="s">
        <v>57</v>
      </c>
      <c r="C613" s="48"/>
      <c r="D613" s="48"/>
    </row>
    <row r="614" spans="1:4" s="38" customFormat="1" x14ac:dyDescent="0.2">
      <c r="A614" s="45">
        <v>21020204</v>
      </c>
      <c r="B614" s="46" t="s">
        <v>58</v>
      </c>
      <c r="C614" s="48"/>
      <c r="D614" s="48"/>
    </row>
    <row r="615" spans="1:4" s="38" customFormat="1" x14ac:dyDescent="0.2">
      <c r="A615" s="45">
        <v>21020205</v>
      </c>
      <c r="B615" s="46" t="s">
        <v>59</v>
      </c>
      <c r="C615" s="48"/>
      <c r="D615" s="48"/>
    </row>
    <row r="616" spans="1:4" s="38" customFormat="1" x14ac:dyDescent="0.2">
      <c r="A616" s="42">
        <v>21030100</v>
      </c>
      <c r="B616" s="43" t="s">
        <v>60</v>
      </c>
      <c r="C616" s="47"/>
      <c r="D616" s="47"/>
    </row>
    <row r="617" spans="1:4" s="38" customFormat="1" x14ac:dyDescent="0.2">
      <c r="A617" s="45">
        <v>21030101</v>
      </c>
      <c r="B617" s="46" t="s">
        <v>61</v>
      </c>
      <c r="C617" s="47"/>
      <c r="D617" s="47"/>
    </row>
    <row r="618" spans="1:4" s="38" customFormat="1" x14ac:dyDescent="0.2">
      <c r="A618" s="45">
        <v>21030102</v>
      </c>
      <c r="B618" s="46" t="s">
        <v>62</v>
      </c>
      <c r="C618" s="47"/>
      <c r="D618" s="47"/>
    </row>
    <row r="619" spans="1:4" s="38" customFormat="1" x14ac:dyDescent="0.2">
      <c r="A619" s="45">
        <v>21030103</v>
      </c>
      <c r="B619" s="46" t="s">
        <v>63</v>
      </c>
      <c r="C619" s="47"/>
      <c r="D619" s="47"/>
    </row>
    <row r="620" spans="1:4" s="38" customFormat="1" x14ac:dyDescent="0.2">
      <c r="A620" s="45"/>
      <c r="B620" s="46"/>
      <c r="C620" s="47"/>
      <c r="D620" s="47"/>
    </row>
    <row r="621" spans="1:4" s="38" customFormat="1" x14ac:dyDescent="0.2">
      <c r="A621" s="587"/>
      <c r="B621" s="588" t="s">
        <v>2</v>
      </c>
      <c r="C621" s="107">
        <f>SUM(C602:C620)</f>
        <v>115211070</v>
      </c>
      <c r="D621" s="107">
        <f>SUM(D602:D620)</f>
        <v>148685741</v>
      </c>
    </row>
    <row r="622" spans="1:4" s="51" customFormat="1" x14ac:dyDescent="0.25">
      <c r="A622" s="3458"/>
      <c r="B622" s="3458"/>
      <c r="C622" s="3458"/>
      <c r="D622" s="3458"/>
    </row>
    <row r="623" spans="1:4" x14ac:dyDescent="0.25">
      <c r="A623" s="3456" t="s">
        <v>1458</v>
      </c>
      <c r="B623" s="3456"/>
      <c r="C623" s="3456"/>
      <c r="D623" s="3456"/>
    </row>
    <row r="624" spans="1:4" ht="16.5" thickBot="1" x14ac:dyDescent="0.3">
      <c r="A624" s="3457" t="s">
        <v>2776</v>
      </c>
      <c r="B624" s="3457"/>
      <c r="C624" s="3457"/>
      <c r="D624" s="3457"/>
    </row>
    <row r="625" spans="1:4" x14ac:dyDescent="0.25">
      <c r="A625" s="577" t="s">
        <v>0</v>
      </c>
      <c r="B625" s="578"/>
      <c r="C625" s="577" t="s">
        <v>7</v>
      </c>
      <c r="D625" s="579" t="s">
        <v>2447</v>
      </c>
    </row>
    <row r="626" spans="1:4" s="38" customFormat="1" x14ac:dyDescent="0.2">
      <c r="A626" s="580" t="s">
        <v>1</v>
      </c>
      <c r="B626" s="581" t="s">
        <v>5</v>
      </c>
      <c r="C626" s="580" t="s">
        <v>6</v>
      </c>
      <c r="D626" s="580" t="s">
        <v>2448</v>
      </c>
    </row>
    <row r="627" spans="1:4" s="38" customFormat="1" x14ac:dyDescent="0.2">
      <c r="A627" s="582"/>
      <c r="B627" s="583"/>
      <c r="C627" s="580">
        <v>2020</v>
      </c>
      <c r="D627" s="580">
        <v>2021</v>
      </c>
    </row>
    <row r="628" spans="1:4" s="38" customFormat="1" ht="16.5" thickBot="1" x14ac:dyDescent="0.25">
      <c r="A628" s="584"/>
      <c r="B628" s="585"/>
      <c r="C628" s="586" t="s">
        <v>4</v>
      </c>
      <c r="D628" s="586" t="s">
        <v>4</v>
      </c>
    </row>
    <row r="629" spans="1:4" s="38" customFormat="1" x14ac:dyDescent="0.2">
      <c r="A629" s="48"/>
      <c r="B629" s="52" t="s">
        <v>1093</v>
      </c>
      <c r="C629" s="47"/>
      <c r="D629" s="47"/>
    </row>
    <row r="630" spans="1:4" s="38" customFormat="1" x14ac:dyDescent="0.2">
      <c r="A630" s="42">
        <v>21010100</v>
      </c>
      <c r="B630" s="43" t="s">
        <v>50</v>
      </c>
      <c r="C630" s="106">
        <v>165693040</v>
      </c>
      <c r="D630" s="106">
        <f>'APPENDIX PERS COSTS DETAILS'!F725</f>
        <v>165693040</v>
      </c>
    </row>
    <row r="631" spans="1:4" s="38" customFormat="1" x14ac:dyDescent="0.2">
      <c r="A631" s="45">
        <v>21010101</v>
      </c>
      <c r="B631" s="46" t="s">
        <v>51</v>
      </c>
      <c r="C631" s="48"/>
      <c r="D631" s="48"/>
    </row>
    <row r="632" spans="1:4" s="38" customFormat="1" x14ac:dyDescent="0.2">
      <c r="A632" s="45">
        <v>21010102</v>
      </c>
      <c r="B632" s="46" t="s">
        <v>52</v>
      </c>
      <c r="C632" s="48"/>
      <c r="D632" s="48"/>
    </row>
    <row r="633" spans="1:4" s="38" customFormat="1" x14ac:dyDescent="0.2">
      <c r="A633" s="45">
        <v>21010103</v>
      </c>
      <c r="B633" s="46" t="s">
        <v>53</v>
      </c>
      <c r="C633" s="106">
        <v>18094648</v>
      </c>
      <c r="D633" s="106">
        <f>'APPENDIX PERS COSTS DETAILS'!F729</f>
        <v>18094648</v>
      </c>
    </row>
    <row r="634" spans="1:4" s="38" customFormat="1" x14ac:dyDescent="0.2">
      <c r="A634" s="42">
        <v>210201</v>
      </c>
      <c r="B634" s="43" t="s">
        <v>54</v>
      </c>
      <c r="C634" s="48"/>
      <c r="D634" s="48"/>
    </row>
    <row r="635" spans="1:4" s="38" customFormat="1" x14ac:dyDescent="0.2">
      <c r="A635" s="45">
        <v>21020101</v>
      </c>
      <c r="B635" s="46" t="s">
        <v>55</v>
      </c>
      <c r="C635" s="49"/>
      <c r="D635" s="49"/>
    </row>
    <row r="636" spans="1:4" s="38" customFormat="1" x14ac:dyDescent="0.2">
      <c r="A636" s="42">
        <v>21020200</v>
      </c>
      <c r="B636" s="43" t="s">
        <v>56</v>
      </c>
      <c r="C636" s="48"/>
      <c r="D636" s="48"/>
    </row>
    <row r="637" spans="1:4" s="38" customFormat="1" x14ac:dyDescent="0.2">
      <c r="A637" s="45">
        <v>21020201</v>
      </c>
      <c r="B637" s="46" t="s">
        <v>122</v>
      </c>
      <c r="C637" s="48"/>
      <c r="D637" s="48"/>
    </row>
    <row r="638" spans="1:4" s="38" customFormat="1" x14ac:dyDescent="0.2">
      <c r="A638" s="45">
        <v>21020202</v>
      </c>
      <c r="B638" s="46" t="s">
        <v>123</v>
      </c>
      <c r="C638" s="48"/>
      <c r="D638" s="48"/>
    </row>
    <row r="639" spans="1:4" s="38" customFormat="1" x14ac:dyDescent="0.2">
      <c r="A639" s="45">
        <v>21020203</v>
      </c>
      <c r="B639" s="46" t="s">
        <v>57</v>
      </c>
      <c r="C639" s="48"/>
      <c r="D639" s="48"/>
    </row>
    <row r="640" spans="1:4" s="38" customFormat="1" x14ac:dyDescent="0.2">
      <c r="A640" s="45">
        <v>21020204</v>
      </c>
      <c r="B640" s="46" t="s">
        <v>58</v>
      </c>
      <c r="C640" s="48"/>
      <c r="D640" s="48"/>
    </row>
    <row r="641" spans="1:4" s="38" customFormat="1" x14ac:dyDescent="0.2">
      <c r="A641" s="45">
        <v>21020205</v>
      </c>
      <c r="B641" s="46" t="s">
        <v>59</v>
      </c>
      <c r="C641" s="48"/>
      <c r="D641" s="48"/>
    </row>
    <row r="642" spans="1:4" s="38" customFormat="1" x14ac:dyDescent="0.2">
      <c r="A642" s="42">
        <v>21030100</v>
      </c>
      <c r="B642" s="43" t="s">
        <v>60</v>
      </c>
      <c r="C642" s="47"/>
      <c r="D642" s="47"/>
    </row>
    <row r="643" spans="1:4" s="38" customFormat="1" x14ac:dyDescent="0.2">
      <c r="A643" s="45">
        <v>21030101</v>
      </c>
      <c r="B643" s="46" t="s">
        <v>61</v>
      </c>
      <c r="C643" s="47"/>
      <c r="D643" s="47"/>
    </row>
    <row r="644" spans="1:4" s="38" customFormat="1" x14ac:dyDescent="0.2">
      <c r="A644" s="45">
        <v>21030102</v>
      </c>
      <c r="B644" s="46" t="s">
        <v>62</v>
      </c>
      <c r="C644" s="47"/>
      <c r="D644" s="47"/>
    </row>
    <row r="645" spans="1:4" s="38" customFormat="1" x14ac:dyDescent="0.2">
      <c r="A645" s="45">
        <v>21030103</v>
      </c>
      <c r="B645" s="46" t="s">
        <v>63</v>
      </c>
      <c r="C645" s="47"/>
      <c r="D645" s="47"/>
    </row>
    <row r="646" spans="1:4" s="38" customFormat="1" ht="16.5" thickBot="1" x14ac:dyDescent="0.25">
      <c r="A646" s="45"/>
      <c r="B646" s="46"/>
      <c r="C646" s="1953"/>
      <c r="D646" s="1953"/>
    </row>
    <row r="647" spans="1:4" s="38" customFormat="1" ht="16.5" thickBot="1" x14ac:dyDescent="0.25">
      <c r="A647" s="587"/>
      <c r="B647" s="597" t="s">
        <v>2</v>
      </c>
      <c r="C647" s="1954">
        <f>SUM(C628:C646)</f>
        <v>183787688</v>
      </c>
      <c r="D647" s="128">
        <f>SUM(D628:D646)</f>
        <v>183787688</v>
      </c>
    </row>
    <row r="648" spans="1:4" s="51" customFormat="1" x14ac:dyDescent="0.25">
      <c r="A648" s="3458"/>
      <c r="B648" s="3458"/>
      <c r="C648" s="3458"/>
      <c r="D648" s="3458"/>
    </row>
    <row r="649" spans="1:4" x14ac:dyDescent="0.25">
      <c r="A649" s="3456" t="s">
        <v>157</v>
      </c>
      <c r="B649" s="3456"/>
      <c r="C649" s="3456"/>
      <c r="D649" s="3456"/>
    </row>
    <row r="650" spans="1:4" ht="16.5" thickBot="1" x14ac:dyDescent="0.3">
      <c r="A650" s="3457" t="s">
        <v>2777</v>
      </c>
      <c r="B650" s="3457"/>
      <c r="C650" s="3457"/>
      <c r="D650" s="3457"/>
    </row>
    <row r="651" spans="1:4" x14ac:dyDescent="0.25">
      <c r="A651" s="577" t="s">
        <v>0</v>
      </c>
      <c r="B651" s="578"/>
      <c r="C651" s="577" t="s">
        <v>7</v>
      </c>
      <c r="D651" s="579" t="s">
        <v>2447</v>
      </c>
    </row>
    <row r="652" spans="1:4" s="38" customFormat="1" x14ac:dyDescent="0.2">
      <c r="A652" s="580" t="s">
        <v>1</v>
      </c>
      <c r="B652" s="581" t="s">
        <v>5</v>
      </c>
      <c r="C652" s="580" t="s">
        <v>6</v>
      </c>
      <c r="D652" s="580" t="s">
        <v>2448</v>
      </c>
    </row>
    <row r="653" spans="1:4" s="38" customFormat="1" x14ac:dyDescent="0.2">
      <c r="A653" s="582"/>
      <c r="B653" s="583"/>
      <c r="C653" s="580">
        <v>2020</v>
      </c>
      <c r="D653" s="580">
        <v>2021</v>
      </c>
    </row>
    <row r="654" spans="1:4" s="38" customFormat="1" ht="16.5" thickBot="1" x14ac:dyDescent="0.25">
      <c r="A654" s="584"/>
      <c r="B654" s="585"/>
      <c r="C654" s="586" t="s">
        <v>4</v>
      </c>
      <c r="D654" s="586" t="s">
        <v>4</v>
      </c>
    </row>
    <row r="655" spans="1:4" x14ac:dyDescent="0.25">
      <c r="A655" s="36"/>
      <c r="B655" s="6" t="s">
        <v>1093</v>
      </c>
      <c r="C655" s="35"/>
      <c r="D655" s="35"/>
    </row>
    <row r="656" spans="1:4" x14ac:dyDescent="0.25">
      <c r="A656" s="30">
        <v>21010100</v>
      </c>
      <c r="B656" s="31" t="s">
        <v>50</v>
      </c>
      <c r="C656" s="108">
        <v>33202523.48</v>
      </c>
      <c r="D656" s="108">
        <f>'APPENDIX PERS COSTS DETAILS'!F753</f>
        <v>33202523.48</v>
      </c>
    </row>
    <row r="657" spans="1:4" x14ac:dyDescent="0.25">
      <c r="A657" s="33">
        <v>21010101</v>
      </c>
      <c r="B657" s="34" t="s">
        <v>51</v>
      </c>
      <c r="C657" s="36"/>
      <c r="D657" s="36"/>
    </row>
    <row r="658" spans="1:4" x14ac:dyDescent="0.25">
      <c r="A658" s="33">
        <v>21010102</v>
      </c>
      <c r="B658" s="34" t="s">
        <v>52</v>
      </c>
      <c r="C658" s="36"/>
      <c r="D658" s="36"/>
    </row>
    <row r="659" spans="1:4" x14ac:dyDescent="0.25">
      <c r="A659" s="33">
        <v>21010103</v>
      </c>
      <c r="B659" s="34" t="s">
        <v>53</v>
      </c>
      <c r="C659" s="108">
        <v>43580615</v>
      </c>
      <c r="D659" s="108">
        <f>'APPENDIX PERS COSTS DETAILS'!F759</f>
        <v>43580615</v>
      </c>
    </row>
    <row r="660" spans="1:4" x14ac:dyDescent="0.25">
      <c r="A660" s="30">
        <v>210201</v>
      </c>
      <c r="B660" s="31" t="s">
        <v>54</v>
      </c>
      <c r="C660" s="36"/>
      <c r="D660" s="36"/>
    </row>
    <row r="661" spans="1:4" x14ac:dyDescent="0.25">
      <c r="A661" s="33">
        <v>21020101</v>
      </c>
      <c r="B661" s="34" t="s">
        <v>55</v>
      </c>
      <c r="C661" s="37"/>
      <c r="D661" s="37"/>
    </row>
    <row r="662" spans="1:4" x14ac:dyDescent="0.25">
      <c r="A662" s="30">
        <v>21020200</v>
      </c>
      <c r="B662" s="31" t="s">
        <v>56</v>
      </c>
      <c r="C662" s="36"/>
      <c r="D662" s="36"/>
    </row>
    <row r="663" spans="1:4" x14ac:dyDescent="0.25">
      <c r="A663" s="33">
        <v>21020201</v>
      </c>
      <c r="B663" s="34" t="s">
        <v>122</v>
      </c>
      <c r="C663" s="36"/>
      <c r="D663" s="36"/>
    </row>
    <row r="664" spans="1:4" x14ac:dyDescent="0.25">
      <c r="A664" s="33">
        <v>21020202</v>
      </c>
      <c r="B664" s="34" t="s">
        <v>123</v>
      </c>
      <c r="C664" s="36"/>
      <c r="D664" s="36"/>
    </row>
    <row r="665" spans="1:4" x14ac:dyDescent="0.25">
      <c r="A665" s="33">
        <v>21020203</v>
      </c>
      <c r="B665" s="34" t="s">
        <v>57</v>
      </c>
      <c r="C665" s="36"/>
      <c r="D665" s="36"/>
    </row>
    <row r="666" spans="1:4" x14ac:dyDescent="0.25">
      <c r="A666" s="33">
        <v>21020204</v>
      </c>
      <c r="B666" s="34" t="s">
        <v>58</v>
      </c>
      <c r="C666" s="36"/>
      <c r="D666" s="36"/>
    </row>
    <row r="667" spans="1:4" x14ac:dyDescent="0.25">
      <c r="A667" s="33">
        <v>21020205</v>
      </c>
      <c r="B667" s="34" t="s">
        <v>59</v>
      </c>
      <c r="C667" s="36"/>
      <c r="D667" s="36"/>
    </row>
    <row r="668" spans="1:4" x14ac:dyDescent="0.25">
      <c r="A668" s="30">
        <v>21030100</v>
      </c>
      <c r="B668" s="31" t="s">
        <v>60</v>
      </c>
      <c r="C668" s="35"/>
      <c r="D668" s="35"/>
    </row>
    <row r="669" spans="1:4" x14ac:dyDescent="0.25">
      <c r="A669" s="33">
        <v>21030101</v>
      </c>
      <c r="B669" s="34" t="s">
        <v>61</v>
      </c>
      <c r="C669" s="35"/>
      <c r="D669" s="35"/>
    </row>
    <row r="670" spans="1:4" x14ac:dyDescent="0.25">
      <c r="A670" s="33">
        <v>21030102</v>
      </c>
      <c r="B670" s="34" t="s">
        <v>62</v>
      </c>
      <c r="C670" s="35"/>
      <c r="D670" s="35"/>
    </row>
    <row r="671" spans="1:4" x14ac:dyDescent="0.25">
      <c r="A671" s="33">
        <v>21030103</v>
      </c>
      <c r="B671" s="34" t="s">
        <v>63</v>
      </c>
      <c r="C671" s="35"/>
      <c r="D671" s="35"/>
    </row>
    <row r="672" spans="1:4" ht="16.5" thickBot="1" x14ac:dyDescent="0.3">
      <c r="A672" s="33"/>
      <c r="B672" s="34"/>
      <c r="C672" s="598"/>
      <c r="D672" s="55"/>
    </row>
    <row r="673" spans="1:4" ht="16.5" thickBot="1" x14ac:dyDescent="0.3">
      <c r="A673" s="599"/>
      <c r="B673" s="600" t="s">
        <v>2</v>
      </c>
      <c r="C673" s="601">
        <f>SUM(C654:C672)</f>
        <v>76783138.480000004</v>
      </c>
      <c r="D673" s="602">
        <f>SUM(D654:D672)</f>
        <v>76783138.480000004</v>
      </c>
    </row>
    <row r="674" spans="1:4" s="26" customFormat="1" x14ac:dyDescent="0.25">
      <c r="A674" s="3458"/>
      <c r="B674" s="3458"/>
      <c r="C674" s="3458"/>
      <c r="D674" s="3458"/>
    </row>
    <row r="675" spans="1:4" x14ac:dyDescent="0.25">
      <c r="A675" s="3456" t="s">
        <v>158</v>
      </c>
      <c r="B675" s="3456"/>
      <c r="C675" s="3456"/>
      <c r="D675" s="3456"/>
    </row>
    <row r="676" spans="1:4" ht="16.5" thickBot="1" x14ac:dyDescent="0.3">
      <c r="A676" s="3457" t="s">
        <v>2778</v>
      </c>
      <c r="B676" s="3457"/>
      <c r="C676" s="3457"/>
      <c r="D676" s="3457"/>
    </row>
    <row r="677" spans="1:4" x14ac:dyDescent="0.25">
      <c r="A677" s="577" t="s">
        <v>0</v>
      </c>
      <c r="B677" s="578"/>
      <c r="C677" s="577" t="s">
        <v>7</v>
      </c>
      <c r="D677" s="579" t="s">
        <v>2447</v>
      </c>
    </row>
    <row r="678" spans="1:4" s="38" customFormat="1" x14ac:dyDescent="0.2">
      <c r="A678" s="580" t="s">
        <v>1</v>
      </c>
      <c r="B678" s="581" t="s">
        <v>5</v>
      </c>
      <c r="C678" s="580" t="s">
        <v>6</v>
      </c>
      <c r="D678" s="580" t="s">
        <v>2448</v>
      </c>
    </row>
    <row r="679" spans="1:4" s="38" customFormat="1" x14ac:dyDescent="0.2">
      <c r="A679" s="582"/>
      <c r="B679" s="583"/>
      <c r="C679" s="580">
        <v>2020</v>
      </c>
      <c r="D679" s="580">
        <v>2021</v>
      </c>
    </row>
    <row r="680" spans="1:4" s="38" customFormat="1" ht="16.5" thickBot="1" x14ac:dyDescent="0.25">
      <c r="A680" s="584"/>
      <c r="B680" s="585"/>
      <c r="C680" s="586" t="s">
        <v>4</v>
      </c>
      <c r="D680" s="586" t="s">
        <v>4</v>
      </c>
    </row>
    <row r="681" spans="1:4" x14ac:dyDescent="0.25">
      <c r="A681" s="36"/>
      <c r="B681" s="6" t="s">
        <v>1093</v>
      </c>
      <c r="C681" s="35"/>
      <c r="D681" s="35"/>
    </row>
    <row r="682" spans="1:4" x14ac:dyDescent="0.25">
      <c r="A682" s="30">
        <v>21010100</v>
      </c>
      <c r="B682" s="31" t="s">
        <v>50</v>
      </c>
      <c r="C682" s="108">
        <f>'APPENDIX PERS COSTS DETAILS'!D783</f>
        <v>32247550</v>
      </c>
      <c r="D682" s="108">
        <f>'APPENDIX PERS COSTS DETAILS'!F783</f>
        <v>31686285</v>
      </c>
    </row>
    <row r="683" spans="1:4" x14ac:dyDescent="0.25">
      <c r="A683" s="33">
        <v>21010101</v>
      </c>
      <c r="B683" s="34" t="s">
        <v>51</v>
      </c>
      <c r="C683" s="36"/>
      <c r="D683" s="36"/>
    </row>
    <row r="684" spans="1:4" x14ac:dyDescent="0.25">
      <c r="A684" s="33">
        <v>21010102</v>
      </c>
      <c r="B684" s="34" t="s">
        <v>52</v>
      </c>
      <c r="C684" s="36"/>
      <c r="D684" s="36"/>
    </row>
    <row r="685" spans="1:4" x14ac:dyDescent="0.25">
      <c r="A685" s="33">
        <v>21010103</v>
      </c>
      <c r="B685" s="34" t="s">
        <v>53</v>
      </c>
      <c r="C685" s="108">
        <v>45640615</v>
      </c>
      <c r="D685" s="108">
        <f>'APPENDIX PERS COSTS DETAILS'!F789</f>
        <v>45640615</v>
      </c>
    </row>
    <row r="686" spans="1:4" x14ac:dyDescent="0.25">
      <c r="A686" s="30">
        <v>210201</v>
      </c>
      <c r="B686" s="31" t="s">
        <v>54</v>
      </c>
      <c r="C686" s="36"/>
      <c r="D686" s="36"/>
    </row>
    <row r="687" spans="1:4" x14ac:dyDescent="0.25">
      <c r="A687" s="33">
        <v>21020101</v>
      </c>
      <c r="B687" s="34" t="s">
        <v>55</v>
      </c>
      <c r="C687" s="37"/>
      <c r="D687" s="37"/>
    </row>
    <row r="688" spans="1:4" x14ac:dyDescent="0.25">
      <c r="A688" s="30">
        <v>21020200</v>
      </c>
      <c r="B688" s="31" t="s">
        <v>56</v>
      </c>
      <c r="C688" s="36"/>
      <c r="D688" s="36"/>
    </row>
    <row r="689" spans="1:4" x14ac:dyDescent="0.25">
      <c r="A689" s="33">
        <v>21020201</v>
      </c>
      <c r="B689" s="34" t="s">
        <v>122</v>
      </c>
      <c r="C689" s="36"/>
      <c r="D689" s="36"/>
    </row>
    <row r="690" spans="1:4" x14ac:dyDescent="0.25">
      <c r="A690" s="33">
        <v>21020202</v>
      </c>
      <c r="B690" s="34" t="s">
        <v>123</v>
      </c>
      <c r="C690" s="36"/>
      <c r="D690" s="36"/>
    </row>
    <row r="691" spans="1:4" x14ac:dyDescent="0.25">
      <c r="A691" s="33">
        <v>21020203</v>
      </c>
      <c r="B691" s="34" t="s">
        <v>57</v>
      </c>
      <c r="C691" s="36"/>
      <c r="D691" s="36"/>
    </row>
    <row r="692" spans="1:4" x14ac:dyDescent="0.25">
      <c r="A692" s="33">
        <v>21020204</v>
      </c>
      <c r="B692" s="34" t="s">
        <v>58</v>
      </c>
      <c r="C692" s="36"/>
      <c r="D692" s="36"/>
    </row>
    <row r="693" spans="1:4" x14ac:dyDescent="0.25">
      <c r="A693" s="33">
        <v>21020205</v>
      </c>
      <c r="B693" s="34" t="s">
        <v>59</v>
      </c>
      <c r="C693" s="36"/>
      <c r="D693" s="36"/>
    </row>
    <row r="694" spans="1:4" x14ac:dyDescent="0.25">
      <c r="A694" s="30">
        <v>21030100</v>
      </c>
      <c r="B694" s="31" t="s">
        <v>60</v>
      </c>
      <c r="C694" s="35"/>
      <c r="D694" s="35"/>
    </row>
    <row r="695" spans="1:4" x14ac:dyDescent="0.25">
      <c r="A695" s="33">
        <v>21030101</v>
      </c>
      <c r="B695" s="34" t="s">
        <v>61</v>
      </c>
      <c r="C695" s="35"/>
      <c r="D695" s="35"/>
    </row>
    <row r="696" spans="1:4" x14ac:dyDescent="0.25">
      <c r="A696" s="33">
        <v>21030102</v>
      </c>
      <c r="B696" s="34" t="s">
        <v>62</v>
      </c>
      <c r="C696" s="35"/>
      <c r="D696" s="35"/>
    </row>
    <row r="697" spans="1:4" x14ac:dyDescent="0.25">
      <c r="A697" s="33">
        <v>21030103</v>
      </c>
      <c r="B697" s="34" t="s">
        <v>63</v>
      </c>
      <c r="C697" s="35"/>
      <c r="D697" s="35"/>
    </row>
    <row r="698" spans="1:4" x14ac:dyDescent="0.25">
      <c r="A698" s="33"/>
      <c r="B698" s="54"/>
      <c r="C698" s="37"/>
      <c r="D698" s="37"/>
    </row>
    <row r="699" spans="1:4" x14ac:dyDescent="0.25">
      <c r="A699" s="599"/>
      <c r="B699" s="594" t="s">
        <v>2</v>
      </c>
      <c r="C699" s="109">
        <f>SUM(C680:C698)</f>
        <v>77888165</v>
      </c>
      <c r="D699" s="109">
        <f>SUM(D680:D698)</f>
        <v>77326900</v>
      </c>
    </row>
    <row r="700" spans="1:4" s="26" customFormat="1" x14ac:dyDescent="0.25">
      <c r="A700" s="603"/>
      <c r="B700" s="604"/>
      <c r="C700" s="114"/>
      <c r="D700" s="114"/>
    </row>
    <row r="701" spans="1:4" x14ac:dyDescent="0.25">
      <c r="A701" s="3456" t="s">
        <v>1035</v>
      </c>
      <c r="B701" s="3456"/>
      <c r="C701" s="3456"/>
      <c r="D701" s="3456"/>
    </row>
    <row r="702" spans="1:4" ht="16.5" thickBot="1" x14ac:dyDescent="0.3">
      <c r="A702" s="3457" t="s">
        <v>2779</v>
      </c>
      <c r="B702" s="3457"/>
      <c r="C702" s="3457"/>
      <c r="D702" s="3457"/>
    </row>
    <row r="703" spans="1:4" x14ac:dyDescent="0.25">
      <c r="A703" s="577" t="s">
        <v>0</v>
      </c>
      <c r="B703" s="578"/>
      <c r="C703" s="577" t="s">
        <v>7</v>
      </c>
      <c r="D703" s="579" t="s">
        <v>2447</v>
      </c>
    </row>
    <row r="704" spans="1:4" s="38" customFormat="1" x14ac:dyDescent="0.2">
      <c r="A704" s="580" t="s">
        <v>1</v>
      </c>
      <c r="B704" s="581" t="s">
        <v>5</v>
      </c>
      <c r="C704" s="580" t="s">
        <v>6</v>
      </c>
      <c r="D704" s="580" t="s">
        <v>2448</v>
      </c>
    </row>
    <row r="705" spans="1:4" s="38" customFormat="1" x14ac:dyDescent="0.2">
      <c r="A705" s="582"/>
      <c r="B705" s="583"/>
      <c r="C705" s="580">
        <v>2020</v>
      </c>
      <c r="D705" s="580">
        <v>2021</v>
      </c>
    </row>
    <row r="706" spans="1:4" s="38" customFormat="1" ht="16.5" thickBot="1" x14ac:dyDescent="0.25">
      <c r="A706" s="584"/>
      <c r="B706" s="585"/>
      <c r="C706" s="586" t="s">
        <v>4</v>
      </c>
      <c r="D706" s="586" t="s">
        <v>4</v>
      </c>
    </row>
    <row r="707" spans="1:4" x14ac:dyDescent="0.25">
      <c r="A707" s="48"/>
      <c r="B707" s="52" t="s">
        <v>1093</v>
      </c>
      <c r="C707" s="47"/>
      <c r="D707" s="47"/>
    </row>
    <row r="708" spans="1:4" x14ac:dyDescent="0.25">
      <c r="A708" s="42">
        <v>21010100</v>
      </c>
      <c r="B708" s="43" t="s">
        <v>50</v>
      </c>
      <c r="C708" s="106">
        <v>32236455</v>
      </c>
      <c r="D708" s="106">
        <f>'APPENDIX PERS COSTS DETAILS'!F813</f>
        <v>24169333.079999998</v>
      </c>
    </row>
    <row r="709" spans="1:4" x14ac:dyDescent="0.25">
      <c r="A709" s="45">
        <v>21010101</v>
      </c>
      <c r="B709" s="46" t="s">
        <v>51</v>
      </c>
      <c r="C709" s="36"/>
      <c r="D709" s="36"/>
    </row>
    <row r="710" spans="1:4" x14ac:dyDescent="0.25">
      <c r="A710" s="45">
        <v>21010102</v>
      </c>
      <c r="B710" s="46" t="s">
        <v>52</v>
      </c>
      <c r="C710" s="48"/>
      <c r="D710" s="48"/>
    </row>
    <row r="711" spans="1:4" x14ac:dyDescent="0.25">
      <c r="A711" s="45">
        <v>21010103</v>
      </c>
      <c r="B711" s="46" t="s">
        <v>53</v>
      </c>
      <c r="C711" s="106">
        <v>11376000</v>
      </c>
      <c r="D711" s="106">
        <f>'APPENDIX PERS COSTS DETAILS'!F818</f>
        <v>11376000</v>
      </c>
    </row>
    <row r="712" spans="1:4" x14ac:dyDescent="0.25">
      <c r="A712" s="42">
        <v>210201</v>
      </c>
      <c r="B712" s="43" t="s">
        <v>54</v>
      </c>
      <c r="C712" s="48"/>
      <c r="D712" s="48"/>
    </row>
    <row r="713" spans="1:4" x14ac:dyDescent="0.25">
      <c r="A713" s="45">
        <v>21020101</v>
      </c>
      <c r="B713" s="46" t="s">
        <v>55</v>
      </c>
      <c r="C713" s="49"/>
      <c r="D713" s="49"/>
    </row>
    <row r="714" spans="1:4" x14ac:dyDescent="0.25">
      <c r="A714" s="42">
        <v>21020200</v>
      </c>
      <c r="B714" s="43" t="s">
        <v>56</v>
      </c>
      <c r="C714" s="48"/>
      <c r="D714" s="48"/>
    </row>
    <row r="715" spans="1:4" x14ac:dyDescent="0.25">
      <c r="A715" s="45">
        <v>21020201</v>
      </c>
      <c r="B715" s="46" t="s">
        <v>122</v>
      </c>
      <c r="C715" s="48"/>
      <c r="D715" s="48"/>
    </row>
    <row r="716" spans="1:4" x14ac:dyDescent="0.25">
      <c r="A716" s="45">
        <v>21020202</v>
      </c>
      <c r="B716" s="46" t="s">
        <v>123</v>
      </c>
      <c r="C716" s="48"/>
      <c r="D716" s="48"/>
    </row>
    <row r="717" spans="1:4" x14ac:dyDescent="0.25">
      <c r="A717" s="45">
        <v>21020203</v>
      </c>
      <c r="B717" s="46" t="s">
        <v>57</v>
      </c>
      <c r="C717" s="48"/>
      <c r="D717" s="48"/>
    </row>
    <row r="718" spans="1:4" x14ac:dyDescent="0.25">
      <c r="A718" s="45">
        <v>21020204</v>
      </c>
      <c r="B718" s="46" t="s">
        <v>58</v>
      </c>
      <c r="C718" s="48"/>
      <c r="D718" s="48"/>
    </row>
    <row r="719" spans="1:4" x14ac:dyDescent="0.25">
      <c r="A719" s="45">
        <v>21020205</v>
      </c>
      <c r="B719" s="46" t="s">
        <v>59</v>
      </c>
      <c r="C719" s="48"/>
      <c r="D719" s="48"/>
    </row>
    <row r="720" spans="1:4" x14ac:dyDescent="0.25">
      <c r="A720" s="42">
        <v>21030100</v>
      </c>
      <c r="B720" s="43" t="s">
        <v>60</v>
      </c>
      <c r="C720" s="47"/>
      <c r="D720" s="47"/>
    </row>
    <row r="721" spans="1:4" x14ac:dyDescent="0.25">
      <c r="A721" s="45">
        <v>21030101</v>
      </c>
      <c r="B721" s="46" t="s">
        <v>61</v>
      </c>
      <c r="C721" s="47"/>
      <c r="D721" s="47"/>
    </row>
    <row r="722" spans="1:4" x14ac:dyDescent="0.25">
      <c r="A722" s="45">
        <v>21030102</v>
      </c>
      <c r="B722" s="46" t="s">
        <v>62</v>
      </c>
      <c r="C722" s="47"/>
      <c r="D722" s="47"/>
    </row>
    <row r="723" spans="1:4" x14ac:dyDescent="0.25">
      <c r="A723" s="45">
        <v>21030103</v>
      </c>
      <c r="B723" s="46" t="s">
        <v>63</v>
      </c>
      <c r="C723" s="47"/>
      <c r="D723" s="47"/>
    </row>
    <row r="724" spans="1:4" x14ac:dyDescent="0.25">
      <c r="A724" s="45"/>
      <c r="B724" s="46"/>
      <c r="C724" s="49"/>
      <c r="D724" s="49"/>
    </row>
    <row r="725" spans="1:4" x14ac:dyDescent="0.25">
      <c r="A725" s="605"/>
      <c r="B725" s="588" t="s">
        <v>2</v>
      </c>
      <c r="C725" s="107">
        <f>SUM(C708:C724)</f>
        <v>43612455</v>
      </c>
      <c r="D725" s="107">
        <f>SUM(D708:D724)</f>
        <v>35545333.079999998</v>
      </c>
    </row>
    <row r="726" spans="1:4" s="26" customFormat="1" x14ac:dyDescent="0.25">
      <c r="A726" s="603"/>
      <c r="B726" s="604"/>
      <c r="C726" s="114"/>
      <c r="D726" s="114"/>
    </row>
    <row r="727" spans="1:4" x14ac:dyDescent="0.25">
      <c r="A727" s="3456" t="s">
        <v>1780</v>
      </c>
      <c r="B727" s="3456"/>
      <c r="C727" s="3456"/>
      <c r="D727" s="3456"/>
    </row>
    <row r="728" spans="1:4" ht="16.5" thickBot="1" x14ac:dyDescent="0.3">
      <c r="A728" s="3457" t="s">
        <v>2780</v>
      </c>
      <c r="B728" s="3457"/>
      <c r="C728" s="3457"/>
      <c r="D728" s="3457"/>
    </row>
    <row r="729" spans="1:4" x14ac:dyDescent="0.25">
      <c r="A729" s="577" t="s">
        <v>0</v>
      </c>
      <c r="B729" s="578"/>
      <c r="C729" s="577" t="s">
        <v>7</v>
      </c>
      <c r="D729" s="579" t="s">
        <v>2447</v>
      </c>
    </row>
    <row r="730" spans="1:4" s="38" customFormat="1" x14ac:dyDescent="0.2">
      <c r="A730" s="580" t="s">
        <v>1</v>
      </c>
      <c r="B730" s="581" t="s">
        <v>5</v>
      </c>
      <c r="C730" s="580" t="s">
        <v>6</v>
      </c>
      <c r="D730" s="580" t="s">
        <v>2448</v>
      </c>
    </row>
    <row r="731" spans="1:4" s="38" customFormat="1" x14ac:dyDescent="0.2">
      <c r="A731" s="582"/>
      <c r="B731" s="583"/>
      <c r="C731" s="580">
        <v>2020</v>
      </c>
      <c r="D731" s="580">
        <v>2021</v>
      </c>
    </row>
    <row r="732" spans="1:4" s="38" customFormat="1" ht="16.5" thickBot="1" x14ac:dyDescent="0.25">
      <c r="A732" s="584"/>
      <c r="B732" s="585"/>
      <c r="C732" s="586" t="s">
        <v>4</v>
      </c>
      <c r="D732" s="586" t="s">
        <v>4</v>
      </c>
    </row>
    <row r="733" spans="1:4" x14ac:dyDescent="0.25">
      <c r="A733" s="36"/>
      <c r="B733" s="6" t="s">
        <v>1093</v>
      </c>
      <c r="C733" s="35"/>
      <c r="D733" s="35"/>
    </row>
    <row r="734" spans="1:4" x14ac:dyDescent="0.25">
      <c r="A734" s="30">
        <v>21010100</v>
      </c>
      <c r="B734" s="31" t="s">
        <v>50</v>
      </c>
      <c r="C734" s="108">
        <v>49451085</v>
      </c>
      <c r="D734" s="108">
        <f>'APPENDIX PERS COSTS DETAILS'!F843</f>
        <v>49451085</v>
      </c>
    </row>
    <row r="735" spans="1:4" x14ac:dyDescent="0.25">
      <c r="A735" s="33">
        <v>21010101</v>
      </c>
      <c r="B735" s="34" t="s">
        <v>51</v>
      </c>
      <c r="C735" s="36"/>
      <c r="D735" s="36"/>
    </row>
    <row r="736" spans="1:4" x14ac:dyDescent="0.25">
      <c r="A736" s="33">
        <v>21010102</v>
      </c>
      <c r="B736" s="34" t="s">
        <v>52</v>
      </c>
      <c r="C736" s="36"/>
      <c r="D736" s="36"/>
    </row>
    <row r="737" spans="1:4" x14ac:dyDescent="0.25">
      <c r="A737" s="33">
        <v>21010103</v>
      </c>
      <c r="B737" s="34" t="s">
        <v>53</v>
      </c>
      <c r="C737" s="108">
        <v>40212380</v>
      </c>
      <c r="D737" s="108">
        <f>'APPENDIX PERS COSTS DETAILS'!F847:F847</f>
        <v>40212380</v>
      </c>
    </row>
    <row r="738" spans="1:4" x14ac:dyDescent="0.25">
      <c r="A738" s="30">
        <v>210201</v>
      </c>
      <c r="B738" s="31" t="s">
        <v>54</v>
      </c>
      <c r="C738" s="36"/>
      <c r="D738" s="36"/>
    </row>
    <row r="739" spans="1:4" x14ac:dyDescent="0.25">
      <c r="A739" s="33">
        <v>21020101</v>
      </c>
      <c r="B739" s="34" t="s">
        <v>55</v>
      </c>
      <c r="C739" s="37"/>
      <c r="D739" s="37"/>
    </row>
    <row r="740" spans="1:4" x14ac:dyDescent="0.25">
      <c r="A740" s="30">
        <v>21020200</v>
      </c>
      <c r="B740" s="31" t="s">
        <v>56</v>
      </c>
      <c r="C740" s="36"/>
      <c r="D740" s="36"/>
    </row>
    <row r="741" spans="1:4" x14ac:dyDescent="0.25">
      <c r="A741" s="33">
        <v>21020201</v>
      </c>
      <c r="B741" s="34" t="s">
        <v>122</v>
      </c>
      <c r="C741" s="36"/>
      <c r="D741" s="36"/>
    </row>
    <row r="742" spans="1:4" x14ac:dyDescent="0.25">
      <c r="A742" s="33">
        <v>21020202</v>
      </c>
      <c r="B742" s="34" t="s">
        <v>123</v>
      </c>
      <c r="C742" s="36"/>
      <c r="D742" s="36"/>
    </row>
    <row r="743" spans="1:4" x14ac:dyDescent="0.25">
      <c r="A743" s="33">
        <v>21020203</v>
      </c>
      <c r="B743" s="34" t="s">
        <v>57</v>
      </c>
      <c r="C743" s="36"/>
      <c r="D743" s="36"/>
    </row>
    <row r="744" spans="1:4" x14ac:dyDescent="0.25">
      <c r="A744" s="33">
        <v>21020204</v>
      </c>
      <c r="B744" s="34" t="s">
        <v>58</v>
      </c>
      <c r="C744" s="36"/>
      <c r="D744" s="36"/>
    </row>
    <row r="745" spans="1:4" x14ac:dyDescent="0.25">
      <c r="A745" s="33">
        <v>21020205</v>
      </c>
      <c r="B745" s="34" t="s">
        <v>59</v>
      </c>
      <c r="C745" s="36"/>
      <c r="D745" s="36"/>
    </row>
    <row r="746" spans="1:4" x14ac:dyDescent="0.25">
      <c r="A746" s="30">
        <v>21030100</v>
      </c>
      <c r="B746" s="31" t="s">
        <v>60</v>
      </c>
      <c r="C746" s="35"/>
      <c r="D746" s="35"/>
    </row>
    <row r="747" spans="1:4" x14ac:dyDescent="0.25">
      <c r="A747" s="33">
        <v>21030101</v>
      </c>
      <c r="B747" s="34" t="s">
        <v>61</v>
      </c>
      <c r="C747" s="35"/>
      <c r="D747" s="35"/>
    </row>
    <row r="748" spans="1:4" x14ac:dyDescent="0.25">
      <c r="A748" s="33">
        <v>21030102</v>
      </c>
      <c r="B748" s="34" t="s">
        <v>62</v>
      </c>
      <c r="C748" s="35"/>
      <c r="D748" s="35"/>
    </row>
    <row r="749" spans="1:4" x14ac:dyDescent="0.25">
      <c r="A749" s="33">
        <v>21030103</v>
      </c>
      <c r="B749" s="34" t="s">
        <v>63</v>
      </c>
      <c r="C749" s="35"/>
      <c r="D749" s="35"/>
    </row>
    <row r="750" spans="1:4" x14ac:dyDescent="0.25">
      <c r="A750" s="33"/>
      <c r="B750" s="54"/>
      <c r="C750" s="37"/>
      <c r="D750" s="55"/>
    </row>
    <row r="751" spans="1:4" x14ac:dyDescent="0.25">
      <c r="A751" s="599"/>
      <c r="B751" s="594" t="s">
        <v>2</v>
      </c>
      <c r="C751" s="109">
        <f>SUM(C732:C750)</f>
        <v>89663465</v>
      </c>
      <c r="D751" s="109">
        <f>SUM(D732:D750)</f>
        <v>89663465</v>
      </c>
    </row>
    <row r="752" spans="1:4" s="26" customFormat="1" x14ac:dyDescent="0.25">
      <c r="A752" s="603"/>
      <c r="B752" s="604"/>
      <c r="C752" s="114"/>
      <c r="D752" s="114"/>
    </row>
    <row r="753" spans="1:4" x14ac:dyDescent="0.25">
      <c r="A753" s="3456" t="s">
        <v>160</v>
      </c>
      <c r="B753" s="3456"/>
      <c r="C753" s="3456"/>
      <c r="D753" s="3456"/>
    </row>
    <row r="754" spans="1:4" ht="16.5" thickBot="1" x14ac:dyDescent="0.3">
      <c r="A754" s="3457" t="s">
        <v>2781</v>
      </c>
      <c r="B754" s="3457"/>
      <c r="C754" s="3457"/>
      <c r="D754" s="3457"/>
    </row>
    <row r="755" spans="1:4" x14ac:dyDescent="0.25">
      <c r="A755" s="577" t="s">
        <v>0</v>
      </c>
      <c r="B755" s="578"/>
      <c r="C755" s="577" t="s">
        <v>7</v>
      </c>
      <c r="D755" s="579" t="s">
        <v>2447</v>
      </c>
    </row>
    <row r="756" spans="1:4" s="38" customFormat="1" x14ac:dyDescent="0.2">
      <c r="A756" s="580" t="s">
        <v>1</v>
      </c>
      <c r="B756" s="581" t="s">
        <v>5</v>
      </c>
      <c r="C756" s="580" t="s">
        <v>6</v>
      </c>
      <c r="D756" s="580" t="s">
        <v>2448</v>
      </c>
    </row>
    <row r="757" spans="1:4" s="38" customFormat="1" x14ac:dyDescent="0.2">
      <c r="A757" s="582"/>
      <c r="B757" s="583"/>
      <c r="C757" s="580">
        <v>2020</v>
      </c>
      <c r="D757" s="580">
        <v>2021</v>
      </c>
    </row>
    <row r="758" spans="1:4" s="38" customFormat="1" ht="16.5" thickBot="1" x14ac:dyDescent="0.25">
      <c r="A758" s="584"/>
      <c r="B758" s="585"/>
      <c r="C758" s="586" t="s">
        <v>4</v>
      </c>
      <c r="D758" s="586" t="s">
        <v>4</v>
      </c>
    </row>
    <row r="759" spans="1:4" x14ac:dyDescent="0.25">
      <c r="A759" s="36"/>
      <c r="B759" s="6" t="s">
        <v>1093</v>
      </c>
      <c r="C759" s="35"/>
      <c r="D759" s="35"/>
    </row>
    <row r="760" spans="1:4" x14ac:dyDescent="0.25">
      <c r="A760" s="30">
        <v>21010100</v>
      </c>
      <c r="B760" s="31" t="s">
        <v>50</v>
      </c>
      <c r="C760" s="108">
        <v>937978378</v>
      </c>
      <c r="D760" s="108">
        <f>'APPENDIX PERS COSTS DETAILS'!F871</f>
        <v>529605358</v>
      </c>
    </row>
    <row r="761" spans="1:4" x14ac:dyDescent="0.25">
      <c r="A761" s="33">
        <v>21010101</v>
      </c>
      <c r="B761" s="34" t="s">
        <v>51</v>
      </c>
      <c r="C761" s="36"/>
      <c r="D761" s="36"/>
    </row>
    <row r="762" spans="1:4" x14ac:dyDescent="0.25">
      <c r="A762" s="33">
        <v>21010102</v>
      </c>
      <c r="B762" s="34" t="s">
        <v>52</v>
      </c>
      <c r="C762" s="36"/>
      <c r="D762" s="36"/>
    </row>
    <row r="763" spans="1:4" x14ac:dyDescent="0.25">
      <c r="A763" s="33">
        <v>21010103</v>
      </c>
      <c r="B763" s="34" t="s">
        <v>53</v>
      </c>
      <c r="C763" s="108">
        <v>11158050</v>
      </c>
      <c r="D763" s="108">
        <f>'APPENDIX PERS COSTS DETAILS'!F880</f>
        <v>11158050</v>
      </c>
    </row>
    <row r="764" spans="1:4" x14ac:dyDescent="0.25">
      <c r="A764" s="30">
        <v>210201</v>
      </c>
      <c r="B764" s="31" t="s">
        <v>54</v>
      </c>
      <c r="C764" s="36"/>
      <c r="D764" s="36"/>
    </row>
    <row r="765" spans="1:4" x14ac:dyDescent="0.25">
      <c r="A765" s="33">
        <v>21020101</v>
      </c>
      <c r="B765" s="34" t="s">
        <v>55</v>
      </c>
      <c r="C765" s="37"/>
      <c r="D765" s="37"/>
    </row>
    <row r="766" spans="1:4" x14ac:dyDescent="0.25">
      <c r="A766" s="30">
        <v>21020200</v>
      </c>
      <c r="B766" s="31" t="s">
        <v>56</v>
      </c>
      <c r="C766" s="36"/>
      <c r="D766" s="36"/>
    </row>
    <row r="767" spans="1:4" x14ac:dyDescent="0.25">
      <c r="A767" s="33">
        <v>21020201</v>
      </c>
      <c r="B767" s="34" t="s">
        <v>122</v>
      </c>
      <c r="C767" s="36"/>
      <c r="D767" s="36"/>
    </row>
    <row r="768" spans="1:4" x14ac:dyDescent="0.25">
      <c r="A768" s="33">
        <v>21020202</v>
      </c>
      <c r="B768" s="34" t="s">
        <v>123</v>
      </c>
      <c r="C768" s="36"/>
      <c r="D768" s="36"/>
    </row>
    <row r="769" spans="1:4" x14ac:dyDescent="0.25">
      <c r="A769" s="33">
        <v>21020203</v>
      </c>
      <c r="B769" s="34" t="s">
        <v>57</v>
      </c>
      <c r="C769" s="36"/>
      <c r="D769" s="36"/>
    </row>
    <row r="770" spans="1:4" x14ac:dyDescent="0.25">
      <c r="A770" s="33">
        <v>21020204</v>
      </c>
      <c r="B770" s="34" t="s">
        <v>58</v>
      </c>
      <c r="C770" s="36"/>
      <c r="D770" s="36"/>
    </row>
    <row r="771" spans="1:4" x14ac:dyDescent="0.25">
      <c r="A771" s="33">
        <v>21020205</v>
      </c>
      <c r="B771" s="34" t="s">
        <v>59</v>
      </c>
      <c r="C771" s="36"/>
      <c r="D771" s="36"/>
    </row>
    <row r="772" spans="1:4" x14ac:dyDescent="0.25">
      <c r="A772" s="30">
        <v>21030100</v>
      </c>
      <c r="B772" s="31" t="s">
        <v>60</v>
      </c>
      <c r="C772" s="35"/>
      <c r="D772" s="35"/>
    </row>
    <row r="773" spans="1:4" x14ac:dyDescent="0.25">
      <c r="A773" s="33">
        <v>21030101</v>
      </c>
      <c r="B773" s="34" t="s">
        <v>61</v>
      </c>
      <c r="C773" s="35"/>
      <c r="D773" s="35"/>
    </row>
    <row r="774" spans="1:4" x14ac:dyDescent="0.25">
      <c r="A774" s="33">
        <v>21030102</v>
      </c>
      <c r="B774" s="34" t="s">
        <v>62</v>
      </c>
      <c r="C774" s="35"/>
      <c r="D774" s="35"/>
    </row>
    <row r="775" spans="1:4" x14ac:dyDescent="0.25">
      <c r="A775" s="33">
        <v>21030103</v>
      </c>
      <c r="B775" s="34" t="s">
        <v>63</v>
      </c>
      <c r="C775" s="35"/>
      <c r="D775" s="35"/>
    </row>
    <row r="776" spans="1:4" x14ac:dyDescent="0.25">
      <c r="A776" s="33"/>
      <c r="B776" s="34"/>
      <c r="C776" s="37"/>
      <c r="D776" s="37"/>
    </row>
    <row r="777" spans="1:4" x14ac:dyDescent="0.25">
      <c r="A777" s="593"/>
      <c r="B777" s="594" t="s">
        <v>2</v>
      </c>
      <c r="C777" s="109">
        <f>SUM(C758:C776)</f>
        <v>949136428</v>
      </c>
      <c r="D777" s="109">
        <f>SUM(D758:D776)</f>
        <v>540763408</v>
      </c>
    </row>
    <row r="778" spans="1:4" s="26" customFormat="1" x14ac:dyDescent="0.25">
      <c r="A778" s="603"/>
      <c r="B778" s="604"/>
      <c r="C778" s="114"/>
      <c r="D778" s="114"/>
    </row>
    <row r="779" spans="1:4" s="26" customFormat="1" x14ac:dyDescent="0.25">
      <c r="A779" s="3456" t="s">
        <v>1396</v>
      </c>
      <c r="B779" s="3456"/>
      <c r="C779" s="3456"/>
      <c r="D779" s="3456"/>
    </row>
    <row r="780" spans="1:4" ht="16.5" thickBot="1" x14ac:dyDescent="0.3">
      <c r="A780" s="3457" t="s">
        <v>2782</v>
      </c>
      <c r="B780" s="3457"/>
      <c r="C780" s="3457"/>
      <c r="D780" s="3457"/>
    </row>
    <row r="781" spans="1:4" x14ac:dyDescent="0.25">
      <c r="A781" s="577" t="s">
        <v>0</v>
      </c>
      <c r="B781" s="578"/>
      <c r="C781" s="577" t="s">
        <v>7</v>
      </c>
      <c r="D781" s="579" t="s">
        <v>2447</v>
      </c>
    </row>
    <row r="782" spans="1:4" s="38" customFormat="1" x14ac:dyDescent="0.2">
      <c r="A782" s="580" t="s">
        <v>1</v>
      </c>
      <c r="B782" s="581" t="s">
        <v>5</v>
      </c>
      <c r="C782" s="580" t="s">
        <v>6</v>
      </c>
      <c r="D782" s="580" t="s">
        <v>2448</v>
      </c>
    </row>
    <row r="783" spans="1:4" s="38" customFormat="1" x14ac:dyDescent="0.2">
      <c r="A783" s="582"/>
      <c r="B783" s="583"/>
      <c r="C783" s="580">
        <v>2020</v>
      </c>
      <c r="D783" s="580">
        <v>2021</v>
      </c>
    </row>
    <row r="784" spans="1:4" s="38" customFormat="1" ht="16.5" thickBot="1" x14ac:dyDescent="0.25">
      <c r="A784" s="584"/>
      <c r="B784" s="585"/>
      <c r="C784" s="586" t="s">
        <v>4</v>
      </c>
      <c r="D784" s="586" t="s">
        <v>4</v>
      </c>
    </row>
    <row r="785" spans="1:4" x14ac:dyDescent="0.25">
      <c r="A785" s="36"/>
      <c r="B785" s="6" t="s">
        <v>1093</v>
      </c>
      <c r="C785" s="35"/>
      <c r="D785" s="35"/>
    </row>
    <row r="786" spans="1:4" x14ac:dyDescent="0.25">
      <c r="A786" s="30">
        <v>21010100</v>
      </c>
      <c r="B786" s="31" t="s">
        <v>50</v>
      </c>
      <c r="C786" s="108">
        <f>'APPENDIX PERS COSTS DETAILS'!D874</f>
        <v>77144135</v>
      </c>
      <c r="D786" s="108">
        <f>'APPENDIX PERS COSTS DETAILS'!F908</f>
        <v>77775618</v>
      </c>
    </row>
    <row r="787" spans="1:4" x14ac:dyDescent="0.25">
      <c r="A787" s="33">
        <v>21010101</v>
      </c>
      <c r="B787" s="34" t="s">
        <v>51</v>
      </c>
      <c r="C787" s="36"/>
      <c r="D787" s="36"/>
    </row>
    <row r="788" spans="1:4" x14ac:dyDescent="0.25">
      <c r="A788" s="33">
        <v>21010102</v>
      </c>
      <c r="B788" s="34" t="s">
        <v>52</v>
      </c>
      <c r="C788" s="36"/>
      <c r="D788" s="36"/>
    </row>
    <row r="789" spans="1:4" x14ac:dyDescent="0.25">
      <c r="A789" s="33">
        <v>21010103</v>
      </c>
      <c r="B789" s="34" t="s">
        <v>53</v>
      </c>
      <c r="C789" s="108"/>
      <c r="D789" s="108"/>
    </row>
    <row r="790" spans="1:4" x14ac:dyDescent="0.25">
      <c r="A790" s="30">
        <v>210201</v>
      </c>
      <c r="B790" s="31" t="s">
        <v>54</v>
      </c>
      <c r="C790" s="36"/>
      <c r="D790" s="36"/>
    </row>
    <row r="791" spans="1:4" x14ac:dyDescent="0.25">
      <c r="A791" s="33">
        <v>21020101</v>
      </c>
      <c r="B791" s="34" t="s">
        <v>55</v>
      </c>
      <c r="C791" s="37"/>
      <c r="D791" s="37"/>
    </row>
    <row r="792" spans="1:4" x14ac:dyDescent="0.25">
      <c r="A792" s="30">
        <v>21020200</v>
      </c>
      <c r="B792" s="31" t="s">
        <v>56</v>
      </c>
      <c r="C792" s="36"/>
      <c r="D792" s="36"/>
    </row>
    <row r="793" spans="1:4" x14ac:dyDescent="0.25">
      <c r="A793" s="33">
        <v>21020201</v>
      </c>
      <c r="B793" s="34" t="s">
        <v>122</v>
      </c>
      <c r="C793" s="36"/>
      <c r="D793" s="36"/>
    </row>
    <row r="794" spans="1:4" x14ac:dyDescent="0.25">
      <c r="A794" s="33">
        <v>21020202</v>
      </c>
      <c r="B794" s="34" t="s">
        <v>123</v>
      </c>
      <c r="C794" s="36"/>
      <c r="D794" s="36"/>
    </row>
    <row r="795" spans="1:4" x14ac:dyDescent="0.25">
      <c r="A795" s="33">
        <v>21020203</v>
      </c>
      <c r="B795" s="34" t="s">
        <v>57</v>
      </c>
      <c r="C795" s="36"/>
      <c r="D795" s="36"/>
    </row>
    <row r="796" spans="1:4" x14ac:dyDescent="0.25">
      <c r="A796" s="33">
        <v>21020204</v>
      </c>
      <c r="B796" s="34" t="s">
        <v>58</v>
      </c>
      <c r="C796" s="36"/>
      <c r="D796" s="36"/>
    </row>
    <row r="797" spans="1:4" x14ac:dyDescent="0.25">
      <c r="A797" s="33">
        <v>21020205</v>
      </c>
      <c r="B797" s="34" t="s">
        <v>59</v>
      </c>
      <c r="C797" s="36"/>
      <c r="D797" s="36"/>
    </row>
    <row r="798" spans="1:4" x14ac:dyDescent="0.25">
      <c r="A798" s="30">
        <v>21030100</v>
      </c>
      <c r="B798" s="31" t="s">
        <v>60</v>
      </c>
      <c r="C798" s="35"/>
      <c r="D798" s="35"/>
    </row>
    <row r="799" spans="1:4" x14ac:dyDescent="0.25">
      <c r="A799" s="33">
        <v>21030101</v>
      </c>
      <c r="B799" s="34" t="s">
        <v>61</v>
      </c>
      <c r="C799" s="35"/>
      <c r="D799" s="35"/>
    </row>
    <row r="800" spans="1:4" x14ac:dyDescent="0.25">
      <c r="A800" s="33">
        <v>21030102</v>
      </c>
      <c r="B800" s="34" t="s">
        <v>62</v>
      </c>
      <c r="C800" s="35"/>
      <c r="D800" s="35"/>
    </row>
    <row r="801" spans="1:4" x14ac:dyDescent="0.25">
      <c r="A801" s="33">
        <v>21030103</v>
      </c>
      <c r="B801" s="34" t="s">
        <v>63</v>
      </c>
      <c r="C801" s="35"/>
      <c r="D801" s="35"/>
    </row>
    <row r="802" spans="1:4" x14ac:dyDescent="0.25">
      <c r="A802" s="33"/>
      <c r="B802" s="34"/>
      <c r="C802" s="37"/>
      <c r="D802" s="37"/>
    </row>
    <row r="803" spans="1:4" x14ac:dyDescent="0.25">
      <c r="A803" s="593"/>
      <c r="B803" s="594" t="s">
        <v>2</v>
      </c>
      <c r="C803" s="109">
        <f>SUM(C784:C802)</f>
        <v>77144135</v>
      </c>
      <c r="D803" s="109">
        <f>SUM(D784:D802)</f>
        <v>77775618</v>
      </c>
    </row>
    <row r="804" spans="1:4" s="26" customFormat="1" x14ac:dyDescent="0.25">
      <c r="A804" s="603"/>
      <c r="B804" s="604"/>
      <c r="C804" s="114"/>
      <c r="D804" s="114"/>
    </row>
    <row r="805" spans="1:4" s="26" customFormat="1" x14ac:dyDescent="0.25">
      <c r="A805" s="3456" t="s">
        <v>2709</v>
      </c>
      <c r="B805" s="3456"/>
      <c r="C805" s="3456"/>
      <c r="D805" s="3456"/>
    </row>
    <row r="806" spans="1:4" ht="16.5" thickBot="1" x14ac:dyDescent="0.3">
      <c r="A806" s="3457" t="s">
        <v>2783</v>
      </c>
      <c r="B806" s="3457"/>
      <c r="C806" s="3457"/>
      <c r="D806" s="3457"/>
    </row>
    <row r="807" spans="1:4" x14ac:dyDescent="0.25">
      <c r="A807" s="577" t="s">
        <v>0</v>
      </c>
      <c r="B807" s="578"/>
      <c r="C807" s="577" t="s">
        <v>7</v>
      </c>
      <c r="D807" s="579" t="s">
        <v>2447</v>
      </c>
    </row>
    <row r="808" spans="1:4" s="38" customFormat="1" x14ac:dyDescent="0.2">
      <c r="A808" s="580" t="s">
        <v>1</v>
      </c>
      <c r="B808" s="581" t="s">
        <v>5</v>
      </c>
      <c r="C808" s="580" t="s">
        <v>6</v>
      </c>
      <c r="D808" s="580" t="s">
        <v>2448</v>
      </c>
    </row>
    <row r="809" spans="1:4" s="38" customFormat="1" x14ac:dyDescent="0.2">
      <c r="A809" s="582"/>
      <c r="B809" s="583"/>
      <c r="C809" s="580">
        <v>2020</v>
      </c>
      <c r="D809" s="580">
        <v>2021</v>
      </c>
    </row>
    <row r="810" spans="1:4" s="38" customFormat="1" ht="16.5" thickBot="1" x14ac:dyDescent="0.25">
      <c r="A810" s="584"/>
      <c r="B810" s="585"/>
      <c r="C810" s="586" t="s">
        <v>4</v>
      </c>
      <c r="D810" s="586" t="s">
        <v>4</v>
      </c>
    </row>
    <row r="811" spans="1:4" x14ac:dyDescent="0.25">
      <c r="A811" s="36"/>
      <c r="B811" s="6" t="s">
        <v>1093</v>
      </c>
      <c r="C811" s="35"/>
      <c r="D811" s="35"/>
    </row>
    <row r="812" spans="1:4" x14ac:dyDescent="0.25">
      <c r="A812" s="30">
        <v>21010100</v>
      </c>
      <c r="B812" s="31" t="s">
        <v>50</v>
      </c>
      <c r="C812" s="108">
        <f>'APPENDIX PERS COSTS DETAILS'!D933</f>
        <v>315981155</v>
      </c>
      <c r="D812" s="108">
        <f>'APPENDIX PERS COSTS DETAILS'!F933</f>
        <v>330597402</v>
      </c>
    </row>
    <row r="813" spans="1:4" x14ac:dyDescent="0.25">
      <c r="A813" s="33">
        <v>21010101</v>
      </c>
      <c r="B813" s="34" t="s">
        <v>51</v>
      </c>
      <c r="C813" s="36"/>
      <c r="D813" s="36"/>
    </row>
    <row r="814" spans="1:4" x14ac:dyDescent="0.25">
      <c r="A814" s="33">
        <v>21010102</v>
      </c>
      <c r="B814" s="34" t="s">
        <v>52</v>
      </c>
      <c r="C814" s="36"/>
      <c r="D814" s="36"/>
    </row>
    <row r="815" spans="1:4" x14ac:dyDescent="0.25">
      <c r="A815" s="33">
        <v>21010103</v>
      </c>
      <c r="B815" s="34" t="s">
        <v>53</v>
      </c>
      <c r="C815" s="108"/>
      <c r="D815" s="108"/>
    </row>
    <row r="816" spans="1:4" x14ac:dyDescent="0.25">
      <c r="A816" s="30">
        <v>210201</v>
      </c>
      <c r="B816" s="31" t="s">
        <v>54</v>
      </c>
      <c r="C816" s="36"/>
      <c r="D816" s="36"/>
    </row>
    <row r="817" spans="1:4" x14ac:dyDescent="0.25">
      <c r="A817" s="33">
        <v>21020101</v>
      </c>
      <c r="B817" s="34" t="s">
        <v>55</v>
      </c>
      <c r="C817" s="37"/>
      <c r="D817" s="37"/>
    </row>
    <row r="818" spans="1:4" x14ac:dyDescent="0.25">
      <c r="A818" s="30">
        <v>21020200</v>
      </c>
      <c r="B818" s="31" t="s">
        <v>56</v>
      </c>
      <c r="C818" s="36"/>
      <c r="D818" s="36"/>
    </row>
    <row r="819" spans="1:4" x14ac:dyDescent="0.25">
      <c r="A819" s="33">
        <v>21020201</v>
      </c>
      <c r="B819" s="34" t="s">
        <v>122</v>
      </c>
      <c r="C819" s="36"/>
      <c r="D819" s="36"/>
    </row>
    <row r="820" spans="1:4" x14ac:dyDescent="0.25">
      <c r="A820" s="33">
        <v>21020202</v>
      </c>
      <c r="B820" s="34" t="s">
        <v>123</v>
      </c>
      <c r="C820" s="36"/>
      <c r="D820" s="36"/>
    </row>
    <row r="821" spans="1:4" x14ac:dyDescent="0.25">
      <c r="A821" s="33">
        <v>21020203</v>
      </c>
      <c r="B821" s="34" t="s">
        <v>57</v>
      </c>
      <c r="C821" s="36"/>
      <c r="D821" s="36"/>
    </row>
    <row r="822" spans="1:4" x14ac:dyDescent="0.25">
      <c r="A822" s="33">
        <v>21020204</v>
      </c>
      <c r="B822" s="34" t="s">
        <v>58</v>
      </c>
      <c r="C822" s="36"/>
      <c r="D822" s="36"/>
    </row>
    <row r="823" spans="1:4" x14ac:dyDescent="0.25">
      <c r="A823" s="33">
        <v>21020205</v>
      </c>
      <c r="B823" s="34" t="s">
        <v>59</v>
      </c>
      <c r="C823" s="36"/>
      <c r="D823" s="36"/>
    </row>
    <row r="824" spans="1:4" x14ac:dyDescent="0.25">
      <c r="A824" s="30">
        <v>21030100</v>
      </c>
      <c r="B824" s="31" t="s">
        <v>60</v>
      </c>
      <c r="C824" s="35"/>
      <c r="D824" s="35"/>
    </row>
    <row r="825" spans="1:4" x14ac:dyDescent="0.25">
      <c r="A825" s="33">
        <v>21030101</v>
      </c>
      <c r="B825" s="34" t="s">
        <v>61</v>
      </c>
      <c r="C825" s="35"/>
      <c r="D825" s="35"/>
    </row>
    <row r="826" spans="1:4" x14ac:dyDescent="0.25">
      <c r="A826" s="33">
        <v>21030102</v>
      </c>
      <c r="B826" s="34" t="s">
        <v>62</v>
      </c>
      <c r="C826" s="35"/>
      <c r="D826" s="35"/>
    </row>
    <row r="827" spans="1:4" x14ac:dyDescent="0.25">
      <c r="A827" s="33">
        <v>21030103</v>
      </c>
      <c r="B827" s="34" t="s">
        <v>63</v>
      </c>
      <c r="C827" s="35"/>
      <c r="D827" s="35"/>
    </row>
    <row r="828" spans="1:4" x14ac:dyDescent="0.25">
      <c r="A828" s="33"/>
      <c r="B828" s="34"/>
      <c r="C828" s="37"/>
      <c r="D828" s="37"/>
    </row>
    <row r="829" spans="1:4" x14ac:dyDescent="0.25">
      <c r="A829" s="593"/>
      <c r="B829" s="594" t="s">
        <v>2</v>
      </c>
      <c r="C829" s="109">
        <f>SUM(C810:C828)</f>
        <v>315981155</v>
      </c>
      <c r="D829" s="109">
        <f>SUM(D810:D828)</f>
        <v>330597402</v>
      </c>
    </row>
    <row r="830" spans="1:4" s="26" customFormat="1" x14ac:dyDescent="0.25">
      <c r="A830" s="3458"/>
      <c r="B830" s="3458"/>
      <c r="C830" s="3458"/>
      <c r="D830" s="3458"/>
    </row>
    <row r="831" spans="1:4" x14ac:dyDescent="0.25">
      <c r="A831" s="3456" t="s">
        <v>979</v>
      </c>
      <c r="B831" s="3456"/>
      <c r="C831" s="3456"/>
      <c r="D831" s="3456"/>
    </row>
    <row r="832" spans="1:4" ht="16.5" thickBot="1" x14ac:dyDescent="0.3">
      <c r="A832" s="3457" t="s">
        <v>1200</v>
      </c>
      <c r="B832" s="3457"/>
      <c r="C832" s="3457"/>
      <c r="D832" s="3457"/>
    </row>
    <row r="833" spans="1:4" x14ac:dyDescent="0.25">
      <c r="A833" s="577" t="s">
        <v>0</v>
      </c>
      <c r="B833" s="578"/>
      <c r="C833" s="577" t="s">
        <v>7</v>
      </c>
      <c r="D833" s="579" t="s">
        <v>2447</v>
      </c>
    </row>
    <row r="834" spans="1:4" s="38" customFormat="1" x14ac:dyDescent="0.2">
      <c r="A834" s="580" t="s">
        <v>1</v>
      </c>
      <c r="B834" s="581" t="s">
        <v>5</v>
      </c>
      <c r="C834" s="580" t="s">
        <v>6</v>
      </c>
      <c r="D834" s="580" t="s">
        <v>2448</v>
      </c>
    </row>
    <row r="835" spans="1:4" s="38" customFormat="1" x14ac:dyDescent="0.2">
      <c r="A835" s="582"/>
      <c r="B835" s="583"/>
      <c r="C835" s="580">
        <v>2020</v>
      </c>
      <c r="D835" s="580">
        <v>2021</v>
      </c>
    </row>
    <row r="836" spans="1:4" s="38" customFormat="1" ht="16.5" thickBot="1" x14ac:dyDescent="0.25">
      <c r="A836" s="584"/>
      <c r="B836" s="585"/>
      <c r="C836" s="586" t="s">
        <v>4</v>
      </c>
      <c r="D836" s="586" t="s">
        <v>4</v>
      </c>
    </row>
    <row r="837" spans="1:4" x14ac:dyDescent="0.25">
      <c r="A837" s="36"/>
      <c r="B837" s="6" t="s">
        <v>1093</v>
      </c>
      <c r="C837" s="35"/>
      <c r="D837" s="35"/>
    </row>
    <row r="838" spans="1:4" x14ac:dyDescent="0.25">
      <c r="A838" s="30">
        <v>21010100</v>
      </c>
      <c r="B838" s="31" t="s">
        <v>50</v>
      </c>
      <c r="C838" s="108">
        <f>'APPENDIX PERS COSTS DETAILS'!D957</f>
        <v>0</v>
      </c>
      <c r="D838" s="108">
        <f>'APPENDIX PERS COSTS DETAILS'!F957</f>
        <v>8400000</v>
      </c>
    </row>
    <row r="839" spans="1:4" x14ac:dyDescent="0.25">
      <c r="A839" s="33">
        <v>21010101</v>
      </c>
      <c r="B839" s="34" t="s">
        <v>51</v>
      </c>
      <c r="C839" s="36"/>
      <c r="D839" s="36"/>
    </row>
    <row r="840" spans="1:4" x14ac:dyDescent="0.25">
      <c r="A840" s="33">
        <v>21010102</v>
      </c>
      <c r="B840" s="34" t="s">
        <v>52</v>
      </c>
      <c r="C840" s="36"/>
      <c r="D840" s="36"/>
    </row>
    <row r="841" spans="1:4" x14ac:dyDescent="0.25">
      <c r="A841" s="33">
        <v>21010103</v>
      </c>
      <c r="B841" s="34" t="s">
        <v>53</v>
      </c>
      <c r="C841" s="108">
        <f>'APPENDIX PERS COSTS DETAILS'!D960</f>
        <v>5729815</v>
      </c>
      <c r="D841" s="108">
        <f>'APPENDIX PERS COSTS DETAILS'!F960</f>
        <v>5729815</v>
      </c>
    </row>
    <row r="842" spans="1:4" x14ac:dyDescent="0.25">
      <c r="A842" s="30">
        <v>210201</v>
      </c>
      <c r="B842" s="31" t="s">
        <v>54</v>
      </c>
      <c r="C842" s="36"/>
      <c r="D842" s="36"/>
    </row>
    <row r="843" spans="1:4" x14ac:dyDescent="0.25">
      <c r="A843" s="33">
        <v>21020101</v>
      </c>
      <c r="B843" s="34" t="s">
        <v>55</v>
      </c>
      <c r="C843" s="37"/>
      <c r="D843" s="37"/>
    </row>
    <row r="844" spans="1:4" x14ac:dyDescent="0.25">
      <c r="A844" s="30">
        <v>21020200</v>
      </c>
      <c r="B844" s="31" t="s">
        <v>56</v>
      </c>
      <c r="C844" s="36"/>
      <c r="D844" s="36"/>
    </row>
    <row r="845" spans="1:4" x14ac:dyDescent="0.25">
      <c r="A845" s="33">
        <v>21020201</v>
      </c>
      <c r="B845" s="34" t="s">
        <v>122</v>
      </c>
      <c r="C845" s="36"/>
      <c r="D845" s="36"/>
    </row>
    <row r="846" spans="1:4" x14ac:dyDescent="0.25">
      <c r="A846" s="33">
        <v>21020202</v>
      </c>
      <c r="B846" s="34" t="s">
        <v>123</v>
      </c>
      <c r="C846" s="36"/>
      <c r="D846" s="36"/>
    </row>
    <row r="847" spans="1:4" x14ac:dyDescent="0.25">
      <c r="A847" s="33">
        <v>21020203</v>
      </c>
      <c r="B847" s="34" t="s">
        <v>57</v>
      </c>
      <c r="C847" s="36"/>
      <c r="D847" s="36"/>
    </row>
    <row r="848" spans="1:4" x14ac:dyDescent="0.25">
      <c r="A848" s="33">
        <v>21020204</v>
      </c>
      <c r="B848" s="34" t="s">
        <v>58</v>
      </c>
      <c r="C848" s="36"/>
      <c r="D848" s="36"/>
    </row>
    <row r="849" spans="1:4" x14ac:dyDescent="0.25">
      <c r="A849" s="33">
        <v>21020205</v>
      </c>
      <c r="B849" s="34" t="s">
        <v>59</v>
      </c>
      <c r="C849" s="36"/>
      <c r="D849" s="36"/>
    </row>
    <row r="850" spans="1:4" x14ac:dyDescent="0.25">
      <c r="A850" s="30">
        <v>21030100</v>
      </c>
      <c r="B850" s="31" t="s">
        <v>60</v>
      </c>
      <c r="C850" s="35"/>
      <c r="D850" s="35"/>
    </row>
    <row r="851" spans="1:4" x14ac:dyDescent="0.25">
      <c r="A851" s="33">
        <v>21030101</v>
      </c>
      <c r="B851" s="34" t="s">
        <v>61</v>
      </c>
      <c r="C851" s="35"/>
      <c r="D851" s="35"/>
    </row>
    <row r="852" spans="1:4" x14ac:dyDescent="0.25">
      <c r="A852" s="33">
        <v>21030102</v>
      </c>
      <c r="B852" s="34" t="s">
        <v>62</v>
      </c>
      <c r="C852" s="35"/>
      <c r="D852" s="35"/>
    </row>
    <row r="853" spans="1:4" x14ac:dyDescent="0.25">
      <c r="A853" s="33">
        <v>21030103</v>
      </c>
      <c r="B853" s="34" t="s">
        <v>63</v>
      </c>
      <c r="C853" s="35"/>
      <c r="D853" s="35"/>
    </row>
    <row r="854" spans="1:4" x14ac:dyDescent="0.25">
      <c r="A854" s="33"/>
      <c r="B854" s="34"/>
      <c r="C854" s="37"/>
      <c r="D854" s="37"/>
    </row>
    <row r="855" spans="1:4" x14ac:dyDescent="0.25">
      <c r="A855" s="599"/>
      <c r="B855" s="607" t="s">
        <v>2</v>
      </c>
      <c r="C855" s="109">
        <f>SUM(C836:C854)</f>
        <v>5729815</v>
      </c>
      <c r="D855" s="109">
        <f>SUM(D836:D854)</f>
        <v>14129815</v>
      </c>
    </row>
    <row r="856" spans="1:4" s="26" customFormat="1" x14ac:dyDescent="0.25">
      <c r="A856" s="3458"/>
      <c r="B856" s="3458"/>
      <c r="C856" s="3458"/>
      <c r="D856" s="3458"/>
    </row>
    <row r="857" spans="1:4" x14ac:dyDescent="0.25">
      <c r="A857" s="3456" t="s">
        <v>1124</v>
      </c>
      <c r="B857" s="3456"/>
      <c r="C857" s="3456"/>
      <c r="D857" s="3456"/>
    </row>
    <row r="858" spans="1:4" ht="16.5" thickBot="1" x14ac:dyDescent="0.3">
      <c r="A858" s="3456" t="s">
        <v>2784</v>
      </c>
      <c r="B858" s="3456"/>
      <c r="C858" s="3456"/>
      <c r="D858" s="3456"/>
    </row>
    <row r="859" spans="1:4" x14ac:dyDescent="0.25">
      <c r="A859" s="577" t="s">
        <v>0</v>
      </c>
      <c r="B859" s="578"/>
      <c r="C859" s="577" t="s">
        <v>7</v>
      </c>
      <c r="D859" s="579" t="s">
        <v>2447</v>
      </c>
    </row>
    <row r="860" spans="1:4" s="38" customFormat="1" x14ac:dyDescent="0.2">
      <c r="A860" s="580" t="s">
        <v>1</v>
      </c>
      <c r="B860" s="581" t="s">
        <v>5</v>
      </c>
      <c r="C860" s="580" t="s">
        <v>6</v>
      </c>
      <c r="D860" s="580" t="s">
        <v>2448</v>
      </c>
    </row>
    <row r="861" spans="1:4" s="38" customFormat="1" x14ac:dyDescent="0.2">
      <c r="A861" s="582"/>
      <c r="B861" s="583"/>
      <c r="C861" s="580">
        <v>2020</v>
      </c>
      <c r="D861" s="580">
        <v>2021</v>
      </c>
    </row>
    <row r="862" spans="1:4" s="38" customFormat="1" ht="16.5" thickBot="1" x14ac:dyDescent="0.25">
      <c r="A862" s="584"/>
      <c r="B862" s="585"/>
      <c r="C862" s="586" t="s">
        <v>4</v>
      </c>
      <c r="D862" s="586" t="s">
        <v>4</v>
      </c>
    </row>
    <row r="863" spans="1:4" x14ac:dyDescent="0.25">
      <c r="A863" s="36"/>
      <c r="B863" s="6" t="s">
        <v>1093</v>
      </c>
      <c r="C863" s="35"/>
      <c r="D863" s="35"/>
    </row>
    <row r="864" spans="1:4" x14ac:dyDescent="0.25">
      <c r="A864" s="30">
        <v>21010100</v>
      </c>
      <c r="B864" s="31" t="s">
        <v>50</v>
      </c>
      <c r="C864" s="108">
        <f>'APPENDIX PERS COSTS DETAILS'!D984</f>
        <v>35846115</v>
      </c>
      <c r="D864" s="108">
        <f>'APPENDIX PERS COSTS DETAILS'!F984</f>
        <v>35846115</v>
      </c>
    </row>
    <row r="865" spans="1:4" x14ac:dyDescent="0.25">
      <c r="A865" s="33">
        <v>21010101</v>
      </c>
      <c r="B865" s="34" t="s">
        <v>51</v>
      </c>
      <c r="C865" s="36"/>
      <c r="D865" s="36"/>
    </row>
    <row r="866" spans="1:4" x14ac:dyDescent="0.25">
      <c r="A866" s="33">
        <v>21010102</v>
      </c>
      <c r="B866" s="34" t="s">
        <v>52</v>
      </c>
      <c r="C866" s="36"/>
      <c r="D866" s="36"/>
    </row>
    <row r="867" spans="1:4" x14ac:dyDescent="0.25">
      <c r="A867" s="33">
        <v>21010103</v>
      </c>
      <c r="B867" s="34" t="s">
        <v>53</v>
      </c>
      <c r="C867" s="108">
        <f>'APPENDIX PERS COSTS DETAILS'!D989</f>
        <v>11245165</v>
      </c>
      <c r="D867" s="108">
        <f>'APPENDIX PERS COSTS DETAILS'!F989</f>
        <v>11245165</v>
      </c>
    </row>
    <row r="868" spans="1:4" x14ac:dyDescent="0.25">
      <c r="A868" s="30">
        <v>210201</v>
      </c>
      <c r="B868" s="31" t="s">
        <v>54</v>
      </c>
      <c r="C868" s="36"/>
      <c r="D868" s="36"/>
    </row>
    <row r="869" spans="1:4" x14ac:dyDescent="0.25">
      <c r="A869" s="33">
        <v>21020101</v>
      </c>
      <c r="B869" s="34" t="s">
        <v>55</v>
      </c>
      <c r="C869" s="37"/>
      <c r="D869" s="37"/>
    </row>
    <row r="870" spans="1:4" x14ac:dyDescent="0.25">
      <c r="A870" s="30">
        <v>21020200</v>
      </c>
      <c r="B870" s="31" t="s">
        <v>56</v>
      </c>
      <c r="C870" s="36"/>
      <c r="D870" s="36"/>
    </row>
    <row r="871" spans="1:4" x14ac:dyDescent="0.25">
      <c r="A871" s="33">
        <v>21020201</v>
      </c>
      <c r="B871" s="34" t="s">
        <v>122</v>
      </c>
      <c r="C871" s="36"/>
      <c r="D871" s="36"/>
    </row>
    <row r="872" spans="1:4" x14ac:dyDescent="0.25">
      <c r="A872" s="33">
        <v>21020202</v>
      </c>
      <c r="B872" s="34" t="s">
        <v>123</v>
      </c>
      <c r="C872" s="36"/>
      <c r="D872" s="36"/>
    </row>
    <row r="873" spans="1:4" x14ac:dyDescent="0.25">
      <c r="A873" s="33">
        <v>21020203</v>
      </c>
      <c r="B873" s="34" t="s">
        <v>57</v>
      </c>
      <c r="C873" s="36"/>
      <c r="D873" s="36"/>
    </row>
    <row r="874" spans="1:4" x14ac:dyDescent="0.25">
      <c r="A874" s="33">
        <v>21020204</v>
      </c>
      <c r="B874" s="34" t="s">
        <v>58</v>
      </c>
      <c r="C874" s="36"/>
      <c r="D874" s="36"/>
    </row>
    <row r="875" spans="1:4" x14ac:dyDescent="0.25">
      <c r="A875" s="33">
        <v>21020205</v>
      </c>
      <c r="B875" s="34" t="s">
        <v>59</v>
      </c>
      <c r="C875" s="36"/>
      <c r="D875" s="36"/>
    </row>
    <row r="876" spans="1:4" x14ac:dyDescent="0.25">
      <c r="A876" s="30">
        <v>21030100</v>
      </c>
      <c r="B876" s="31" t="s">
        <v>60</v>
      </c>
      <c r="C876" s="35"/>
      <c r="D876" s="35"/>
    </row>
    <row r="877" spans="1:4" x14ac:dyDescent="0.25">
      <c r="A877" s="33">
        <v>21030101</v>
      </c>
      <c r="B877" s="34" t="s">
        <v>61</v>
      </c>
      <c r="C877" s="35"/>
      <c r="D877" s="35"/>
    </row>
    <row r="878" spans="1:4" x14ac:dyDescent="0.25">
      <c r="A878" s="33">
        <v>21030102</v>
      </c>
      <c r="B878" s="34" t="s">
        <v>62</v>
      </c>
      <c r="C878" s="35"/>
      <c r="D878" s="35"/>
    </row>
    <row r="879" spans="1:4" x14ac:dyDescent="0.25">
      <c r="A879" s="33">
        <v>21030103</v>
      </c>
      <c r="B879" s="34" t="s">
        <v>63</v>
      </c>
      <c r="C879" s="35"/>
      <c r="D879" s="35"/>
    </row>
    <row r="880" spans="1:4" ht="16.5" thickBot="1" x14ac:dyDescent="0.3">
      <c r="A880" s="53"/>
      <c r="B880" s="54"/>
      <c r="C880" s="55"/>
      <c r="D880" s="55"/>
    </row>
    <row r="881" spans="1:4" x14ac:dyDescent="0.25">
      <c r="A881" s="593"/>
      <c r="B881" s="594" t="s">
        <v>2</v>
      </c>
      <c r="C881" s="109">
        <f>SUM(C862:C880)</f>
        <v>47091280</v>
      </c>
      <c r="D881" s="109">
        <f>SUM(D862:D880)</f>
        <v>47091280</v>
      </c>
    </row>
    <row r="882" spans="1:4" s="26" customFormat="1" x14ac:dyDescent="0.25">
      <c r="A882" s="3458"/>
      <c r="B882" s="3458"/>
      <c r="C882" s="3458"/>
      <c r="D882" s="3458"/>
    </row>
    <row r="883" spans="1:4" x14ac:dyDescent="0.25">
      <c r="A883" s="3456" t="s">
        <v>1117</v>
      </c>
      <c r="B883" s="3456"/>
      <c r="C883" s="3456"/>
      <c r="D883" s="3456"/>
    </row>
    <row r="884" spans="1:4" ht="16.5" thickBot="1" x14ac:dyDescent="0.3">
      <c r="A884" s="3457" t="s">
        <v>2785</v>
      </c>
      <c r="B884" s="3457"/>
      <c r="C884" s="3457"/>
      <c r="D884" s="3457"/>
    </row>
    <row r="885" spans="1:4" x14ac:dyDescent="0.25">
      <c r="A885" s="577" t="s">
        <v>0</v>
      </c>
      <c r="B885" s="578"/>
      <c r="C885" s="577" t="s">
        <v>7</v>
      </c>
      <c r="D885" s="579" t="s">
        <v>2447</v>
      </c>
    </row>
    <row r="886" spans="1:4" s="38" customFormat="1" x14ac:dyDescent="0.2">
      <c r="A886" s="580" t="s">
        <v>1</v>
      </c>
      <c r="B886" s="581" t="s">
        <v>5</v>
      </c>
      <c r="C886" s="580" t="s">
        <v>6</v>
      </c>
      <c r="D886" s="580" t="s">
        <v>2448</v>
      </c>
    </row>
    <row r="887" spans="1:4" s="38" customFormat="1" x14ac:dyDescent="0.2">
      <c r="A887" s="582"/>
      <c r="B887" s="583"/>
      <c r="C887" s="580">
        <v>2020</v>
      </c>
      <c r="D887" s="580">
        <v>2021</v>
      </c>
    </row>
    <row r="888" spans="1:4" s="38" customFormat="1" ht="16.5" thickBot="1" x14ac:dyDescent="0.25">
      <c r="A888" s="584"/>
      <c r="B888" s="585"/>
      <c r="C888" s="586" t="s">
        <v>4</v>
      </c>
      <c r="D888" s="586" t="s">
        <v>4</v>
      </c>
    </row>
    <row r="889" spans="1:4" s="38" customFormat="1" x14ac:dyDescent="0.2">
      <c r="A889" s="48"/>
      <c r="B889" s="52" t="s">
        <v>1093</v>
      </c>
      <c r="C889" s="47"/>
      <c r="D889" s="47"/>
    </row>
    <row r="890" spans="1:4" s="38" customFormat="1" x14ac:dyDescent="0.2">
      <c r="A890" s="42">
        <v>21010100</v>
      </c>
      <c r="B890" s="43" t="s">
        <v>50</v>
      </c>
      <c r="C890" s="106">
        <f>'APPENDIX PERS COSTS DETAILS'!D1013</f>
        <v>25933340</v>
      </c>
      <c r="D890" s="106">
        <f>'APPENDIX PERS COSTS DETAILS'!F1013</f>
        <v>32130716</v>
      </c>
    </row>
    <row r="891" spans="1:4" s="38" customFormat="1" x14ac:dyDescent="0.2">
      <c r="A891" s="45">
        <v>21010101</v>
      </c>
      <c r="B891" s="46" t="s">
        <v>51</v>
      </c>
      <c r="C891" s="48"/>
      <c r="D891" s="48"/>
    </row>
    <row r="892" spans="1:4" s="38" customFormat="1" x14ac:dyDescent="0.2">
      <c r="A892" s="45">
        <v>21010102</v>
      </c>
      <c r="B892" s="46" t="s">
        <v>52</v>
      </c>
      <c r="C892" s="48"/>
      <c r="D892" s="48"/>
    </row>
    <row r="893" spans="1:4" s="38" customFormat="1" x14ac:dyDescent="0.2">
      <c r="A893" s="45">
        <v>21010103</v>
      </c>
      <c r="B893" s="46" t="s">
        <v>53</v>
      </c>
      <c r="C893" s="106">
        <f>'APPENDIX PERS COSTS DETAILS'!D1018</f>
        <v>11245165</v>
      </c>
      <c r="D893" s="106">
        <f>'APPENDIX PERS COSTS DETAILS'!F1018</f>
        <v>11245165</v>
      </c>
    </row>
    <row r="894" spans="1:4" s="38" customFormat="1" x14ac:dyDescent="0.2">
      <c r="A894" s="42">
        <v>210201</v>
      </c>
      <c r="B894" s="43" t="s">
        <v>54</v>
      </c>
      <c r="C894" s="48"/>
      <c r="D894" s="48"/>
    </row>
    <row r="895" spans="1:4" s="38" customFormat="1" x14ac:dyDescent="0.2">
      <c r="A895" s="45">
        <v>21020101</v>
      </c>
      <c r="B895" s="46" t="s">
        <v>55</v>
      </c>
      <c r="C895" s="49"/>
      <c r="D895" s="49"/>
    </row>
    <row r="896" spans="1:4" s="38" customFormat="1" x14ac:dyDescent="0.2">
      <c r="A896" s="42">
        <v>21020200</v>
      </c>
      <c r="B896" s="43" t="s">
        <v>56</v>
      </c>
      <c r="C896" s="48"/>
      <c r="D896" s="48"/>
    </row>
    <row r="897" spans="1:4" s="38" customFormat="1" x14ac:dyDescent="0.2">
      <c r="A897" s="45">
        <v>21020201</v>
      </c>
      <c r="B897" s="46" t="s">
        <v>122</v>
      </c>
      <c r="C897" s="48"/>
      <c r="D897" s="48"/>
    </row>
    <row r="898" spans="1:4" s="38" customFormat="1" x14ac:dyDescent="0.2">
      <c r="A898" s="45">
        <v>21020202</v>
      </c>
      <c r="B898" s="46" t="s">
        <v>123</v>
      </c>
      <c r="C898" s="48"/>
      <c r="D898" s="48"/>
    </row>
    <row r="899" spans="1:4" s="38" customFormat="1" x14ac:dyDescent="0.2">
      <c r="A899" s="45">
        <v>21020203</v>
      </c>
      <c r="B899" s="46" t="s">
        <v>57</v>
      </c>
      <c r="C899" s="48"/>
      <c r="D899" s="48"/>
    </row>
    <row r="900" spans="1:4" s="38" customFormat="1" x14ac:dyDescent="0.2">
      <c r="A900" s="45">
        <v>21020204</v>
      </c>
      <c r="B900" s="46" t="s">
        <v>58</v>
      </c>
      <c r="C900" s="48"/>
      <c r="D900" s="48"/>
    </row>
    <row r="901" spans="1:4" s="38" customFormat="1" x14ac:dyDescent="0.2">
      <c r="A901" s="45">
        <v>21020205</v>
      </c>
      <c r="B901" s="46" t="s">
        <v>59</v>
      </c>
      <c r="C901" s="48"/>
      <c r="D901" s="48"/>
    </row>
    <row r="902" spans="1:4" s="38" customFormat="1" x14ac:dyDescent="0.2">
      <c r="A902" s="42">
        <v>21030100</v>
      </c>
      <c r="B902" s="43" t="s">
        <v>60</v>
      </c>
      <c r="C902" s="47"/>
      <c r="D902" s="47"/>
    </row>
    <row r="903" spans="1:4" s="38" customFormat="1" x14ac:dyDescent="0.2">
      <c r="A903" s="45">
        <v>21030101</v>
      </c>
      <c r="B903" s="46" t="s">
        <v>61</v>
      </c>
      <c r="C903" s="47"/>
      <c r="D903" s="47"/>
    </row>
    <row r="904" spans="1:4" s="38" customFormat="1" x14ac:dyDescent="0.2">
      <c r="A904" s="45">
        <v>21030102</v>
      </c>
      <c r="B904" s="46" t="s">
        <v>62</v>
      </c>
      <c r="C904" s="1955"/>
      <c r="D904" s="47"/>
    </row>
    <row r="905" spans="1:4" s="38" customFormat="1" x14ac:dyDescent="0.2">
      <c r="A905" s="45">
        <v>21030103</v>
      </c>
      <c r="B905" s="46" t="s">
        <v>63</v>
      </c>
      <c r="C905" s="1955"/>
      <c r="D905" s="47"/>
    </row>
    <row r="906" spans="1:4" s="38" customFormat="1" ht="16.5" thickBot="1" x14ac:dyDescent="0.25">
      <c r="A906" s="45"/>
      <c r="B906" s="46"/>
      <c r="C906" s="1953"/>
      <c r="D906" s="1956"/>
    </row>
    <row r="907" spans="1:4" s="38" customFormat="1" ht="16.5" thickBot="1" x14ac:dyDescent="0.25">
      <c r="A907" s="605"/>
      <c r="B907" s="1957" t="s">
        <v>2</v>
      </c>
      <c r="C907" s="1958">
        <f>SUM(C888:C906)</f>
        <v>37178505</v>
      </c>
      <c r="D907" s="1959">
        <f>SUM(D888:D906)</f>
        <v>43375881</v>
      </c>
    </row>
    <row r="908" spans="1:4" s="51" customFormat="1" x14ac:dyDescent="0.25">
      <c r="A908" s="3458"/>
      <c r="B908" s="3458"/>
      <c r="C908" s="3458"/>
      <c r="D908" s="3458"/>
    </row>
    <row r="909" spans="1:4" x14ac:dyDescent="0.25">
      <c r="A909" s="3456" t="s">
        <v>161</v>
      </c>
      <c r="B909" s="3456"/>
      <c r="C909" s="3456"/>
      <c r="D909" s="3456"/>
    </row>
    <row r="910" spans="1:4" ht="16.5" thickBot="1" x14ac:dyDescent="0.3">
      <c r="A910" s="3457" t="s">
        <v>2786</v>
      </c>
      <c r="B910" s="3457"/>
      <c r="C910" s="3457"/>
      <c r="D910" s="3457"/>
    </row>
    <row r="911" spans="1:4" x14ac:dyDescent="0.25">
      <c r="A911" s="577" t="s">
        <v>0</v>
      </c>
      <c r="B911" s="578"/>
      <c r="C911" s="577" t="s">
        <v>7</v>
      </c>
      <c r="D911" s="579" t="s">
        <v>2447</v>
      </c>
    </row>
    <row r="912" spans="1:4" s="38" customFormat="1" x14ac:dyDescent="0.2">
      <c r="A912" s="580" t="s">
        <v>1</v>
      </c>
      <c r="B912" s="581" t="s">
        <v>5</v>
      </c>
      <c r="C912" s="580" t="s">
        <v>6</v>
      </c>
      <c r="D912" s="580" t="s">
        <v>2448</v>
      </c>
    </row>
    <row r="913" spans="1:4" s="38" customFormat="1" x14ac:dyDescent="0.2">
      <c r="A913" s="582"/>
      <c r="B913" s="583"/>
      <c r="C913" s="580">
        <v>2020</v>
      </c>
      <c r="D913" s="580">
        <v>2021</v>
      </c>
    </row>
    <row r="914" spans="1:4" s="38" customFormat="1" ht="16.5" thickBot="1" x14ac:dyDescent="0.25">
      <c r="A914" s="584"/>
      <c r="B914" s="585"/>
      <c r="C914" s="586" t="s">
        <v>4</v>
      </c>
      <c r="D914" s="586" t="s">
        <v>4</v>
      </c>
    </row>
    <row r="915" spans="1:4" x14ac:dyDescent="0.25">
      <c r="A915" s="36"/>
      <c r="B915" s="6" t="s">
        <v>1093</v>
      </c>
      <c r="C915" s="35"/>
      <c r="D915" s="35"/>
    </row>
    <row r="916" spans="1:4" x14ac:dyDescent="0.25">
      <c r="A916" s="30">
        <v>21010100</v>
      </c>
      <c r="B916" s="31" t="s">
        <v>50</v>
      </c>
      <c r="C916" s="108">
        <f>'APPENDIX PERS COSTS DETAILS'!D1042</f>
        <v>161640945</v>
      </c>
      <c r="D916" s="108">
        <f>'APPENDIX PERS COSTS DETAILS'!F1042</f>
        <v>160228634</v>
      </c>
    </row>
    <row r="917" spans="1:4" x14ac:dyDescent="0.25">
      <c r="A917" s="33">
        <v>21010101</v>
      </c>
      <c r="B917" s="34" t="s">
        <v>51</v>
      </c>
      <c r="C917" s="36"/>
      <c r="D917" s="36"/>
    </row>
    <row r="918" spans="1:4" x14ac:dyDescent="0.25">
      <c r="A918" s="33">
        <v>21010102</v>
      </c>
      <c r="B918" s="34" t="s">
        <v>52</v>
      </c>
      <c r="C918" s="36"/>
      <c r="D918" s="36"/>
    </row>
    <row r="919" spans="1:4" x14ac:dyDescent="0.25">
      <c r="A919" s="33">
        <v>21010103</v>
      </c>
      <c r="B919" s="34" t="s">
        <v>53</v>
      </c>
      <c r="C919" s="108">
        <f>'APPENDIX PERS COSTS DETAILS'!D1045</f>
        <v>5428235</v>
      </c>
      <c r="D919" s="108">
        <f>'APPENDIX PERS COSTS DETAILS'!F1045</f>
        <v>5428235</v>
      </c>
    </row>
    <row r="920" spans="1:4" x14ac:dyDescent="0.25">
      <c r="A920" s="30">
        <v>210201</v>
      </c>
      <c r="B920" s="31" t="s">
        <v>54</v>
      </c>
      <c r="C920" s="36"/>
      <c r="D920" s="36"/>
    </row>
    <row r="921" spans="1:4" x14ac:dyDescent="0.25">
      <c r="A921" s="33">
        <v>21020101</v>
      </c>
      <c r="B921" s="34" t="s">
        <v>55</v>
      </c>
      <c r="C921" s="37"/>
      <c r="D921" s="37"/>
    </row>
    <row r="922" spans="1:4" x14ac:dyDescent="0.25">
      <c r="A922" s="30">
        <v>21020200</v>
      </c>
      <c r="B922" s="31" t="s">
        <v>56</v>
      </c>
      <c r="C922" s="36"/>
      <c r="D922" s="36"/>
    </row>
    <row r="923" spans="1:4" x14ac:dyDescent="0.25">
      <c r="A923" s="33">
        <v>21020201</v>
      </c>
      <c r="B923" s="34" t="s">
        <v>122</v>
      </c>
      <c r="C923" s="36"/>
      <c r="D923" s="36"/>
    </row>
    <row r="924" spans="1:4" x14ac:dyDescent="0.25">
      <c r="A924" s="33">
        <v>21020202</v>
      </c>
      <c r="B924" s="34" t="s">
        <v>123</v>
      </c>
      <c r="C924" s="36"/>
      <c r="D924" s="36"/>
    </row>
    <row r="925" spans="1:4" x14ac:dyDescent="0.25">
      <c r="A925" s="33">
        <v>21020203</v>
      </c>
      <c r="B925" s="34" t="s">
        <v>57</v>
      </c>
      <c r="C925" s="36"/>
      <c r="D925" s="36"/>
    </row>
    <row r="926" spans="1:4" x14ac:dyDescent="0.25">
      <c r="A926" s="33">
        <v>21020204</v>
      </c>
      <c r="B926" s="34" t="s">
        <v>58</v>
      </c>
      <c r="C926" s="36"/>
      <c r="D926" s="36"/>
    </row>
    <row r="927" spans="1:4" x14ac:dyDescent="0.25">
      <c r="A927" s="33">
        <v>21020205</v>
      </c>
      <c r="B927" s="34" t="s">
        <v>59</v>
      </c>
      <c r="C927" s="36"/>
      <c r="D927" s="36"/>
    </row>
    <row r="928" spans="1:4" x14ac:dyDescent="0.25">
      <c r="A928" s="30">
        <v>21030100</v>
      </c>
      <c r="B928" s="31" t="s">
        <v>60</v>
      </c>
      <c r="C928" s="35"/>
      <c r="D928" s="35"/>
    </row>
    <row r="929" spans="1:4" x14ac:dyDescent="0.25">
      <c r="A929" s="33">
        <v>21030101</v>
      </c>
      <c r="B929" s="34" t="s">
        <v>61</v>
      </c>
      <c r="C929" s="35"/>
      <c r="D929" s="35"/>
    </row>
    <row r="930" spans="1:4" x14ac:dyDescent="0.25">
      <c r="A930" s="33">
        <v>21030102</v>
      </c>
      <c r="B930" s="34" t="s">
        <v>62</v>
      </c>
      <c r="C930" s="35"/>
      <c r="D930" s="35"/>
    </row>
    <row r="931" spans="1:4" x14ac:dyDescent="0.25">
      <c r="A931" s="33">
        <v>21030103</v>
      </c>
      <c r="B931" s="34" t="s">
        <v>63</v>
      </c>
      <c r="C931" s="35"/>
      <c r="D931" s="35"/>
    </row>
    <row r="932" spans="1:4" ht="16.5" thickBot="1" x14ac:dyDescent="0.3">
      <c r="A932" s="33"/>
      <c r="B932" s="34"/>
      <c r="C932" s="598"/>
      <c r="D932" s="598"/>
    </row>
    <row r="933" spans="1:4" ht="16.5" thickBot="1" x14ac:dyDescent="0.3">
      <c r="A933" s="599"/>
      <c r="B933" s="1960" t="s">
        <v>2</v>
      </c>
      <c r="C933" s="601">
        <f>SUM(C914:C932)</f>
        <v>167069180</v>
      </c>
      <c r="D933" s="1961">
        <f>SUM(D914:D932)</f>
        <v>165656869</v>
      </c>
    </row>
    <row r="934" spans="1:4" s="26" customFormat="1" x14ac:dyDescent="0.25">
      <c r="A934" s="3458"/>
      <c r="B934" s="3458"/>
      <c r="C934" s="3458"/>
      <c r="D934" s="3458"/>
    </row>
    <row r="935" spans="1:4" x14ac:dyDescent="0.25">
      <c r="A935" s="3456" t="s">
        <v>1398</v>
      </c>
      <c r="B935" s="3456"/>
      <c r="C935" s="3456"/>
      <c r="D935" s="3456"/>
    </row>
    <row r="936" spans="1:4" ht="16.5" thickBot="1" x14ac:dyDescent="0.3">
      <c r="A936" s="3457" t="s">
        <v>2787</v>
      </c>
      <c r="B936" s="3457"/>
      <c r="C936" s="3457"/>
      <c r="D936" s="3457"/>
    </row>
    <row r="937" spans="1:4" x14ac:dyDescent="0.25">
      <c r="A937" s="577" t="s">
        <v>0</v>
      </c>
      <c r="B937" s="578"/>
      <c r="C937" s="577" t="s">
        <v>7</v>
      </c>
      <c r="D937" s="579" t="s">
        <v>2447</v>
      </c>
    </row>
    <row r="938" spans="1:4" s="38" customFormat="1" x14ac:dyDescent="0.2">
      <c r="A938" s="580" t="s">
        <v>1</v>
      </c>
      <c r="B938" s="581" t="s">
        <v>5</v>
      </c>
      <c r="C938" s="580" t="s">
        <v>6</v>
      </c>
      <c r="D938" s="580" t="s">
        <v>2448</v>
      </c>
    </row>
    <row r="939" spans="1:4" s="38" customFormat="1" x14ac:dyDescent="0.2">
      <c r="A939" s="582"/>
      <c r="B939" s="583"/>
      <c r="C939" s="580">
        <v>2020</v>
      </c>
      <c r="D939" s="580">
        <v>2021</v>
      </c>
    </row>
    <row r="940" spans="1:4" s="38" customFormat="1" ht="16.5" thickBot="1" x14ac:dyDescent="0.25">
      <c r="A940" s="584"/>
      <c r="B940" s="585"/>
      <c r="C940" s="586" t="s">
        <v>4</v>
      </c>
      <c r="D940" s="586" t="s">
        <v>4</v>
      </c>
    </row>
    <row r="941" spans="1:4" x14ac:dyDescent="0.25">
      <c r="A941" s="36"/>
      <c r="B941" s="6" t="s">
        <v>1093</v>
      </c>
      <c r="C941" s="35"/>
      <c r="D941" s="35"/>
    </row>
    <row r="942" spans="1:4" x14ac:dyDescent="0.25">
      <c r="A942" s="30">
        <v>21010100</v>
      </c>
      <c r="B942" s="31" t="s">
        <v>50</v>
      </c>
      <c r="C942" s="108">
        <f>'APPENDIX PERS COSTS DETAILS'!D1068</f>
        <v>73068130</v>
      </c>
      <c r="D942" s="108">
        <f>'APPENDIX PERS COSTS DETAILS'!F1068</f>
        <v>88042420</v>
      </c>
    </row>
    <row r="943" spans="1:4" x14ac:dyDescent="0.25">
      <c r="A943" s="33">
        <v>21010101</v>
      </c>
      <c r="B943" s="34" t="s">
        <v>51</v>
      </c>
      <c r="C943" s="36"/>
      <c r="D943" s="36"/>
    </row>
    <row r="944" spans="1:4" x14ac:dyDescent="0.25">
      <c r="A944" s="33">
        <v>21010102</v>
      </c>
      <c r="B944" s="34" t="s">
        <v>52</v>
      </c>
      <c r="C944" s="36"/>
      <c r="D944" s="36"/>
    </row>
    <row r="945" spans="1:4" x14ac:dyDescent="0.25">
      <c r="A945" s="33">
        <v>21010103</v>
      </c>
      <c r="B945" s="34" t="s">
        <v>53</v>
      </c>
      <c r="C945" s="108">
        <f>'APPENDIX PERS COSTS DETAILS'!D1076</f>
        <v>11245165</v>
      </c>
      <c r="D945" s="108">
        <f>'APPENDIX PERS COSTS DETAILS'!F1076</f>
        <v>11245165</v>
      </c>
    </row>
    <row r="946" spans="1:4" x14ac:dyDescent="0.25">
      <c r="A946" s="30">
        <v>210201</v>
      </c>
      <c r="B946" s="31" t="s">
        <v>54</v>
      </c>
      <c r="C946" s="36"/>
      <c r="D946" s="36"/>
    </row>
    <row r="947" spans="1:4" x14ac:dyDescent="0.25">
      <c r="A947" s="33">
        <v>21020101</v>
      </c>
      <c r="B947" s="34" t="s">
        <v>55</v>
      </c>
      <c r="C947" s="37"/>
      <c r="D947" s="37"/>
    </row>
    <row r="948" spans="1:4" x14ac:dyDescent="0.25">
      <c r="A948" s="30">
        <v>21020200</v>
      </c>
      <c r="B948" s="31" t="s">
        <v>56</v>
      </c>
      <c r="C948" s="36"/>
      <c r="D948" s="36"/>
    </row>
    <row r="949" spans="1:4" x14ac:dyDescent="0.25">
      <c r="A949" s="33">
        <v>21020201</v>
      </c>
      <c r="B949" s="34" t="s">
        <v>122</v>
      </c>
      <c r="C949" s="36"/>
      <c r="D949" s="36"/>
    </row>
    <row r="950" spans="1:4" x14ac:dyDescent="0.25">
      <c r="A950" s="33">
        <v>21020202</v>
      </c>
      <c r="B950" s="34" t="s">
        <v>123</v>
      </c>
      <c r="C950" s="36"/>
      <c r="D950" s="36"/>
    </row>
    <row r="951" spans="1:4" x14ac:dyDescent="0.25">
      <c r="A951" s="33">
        <v>21020203</v>
      </c>
      <c r="B951" s="34" t="s">
        <v>57</v>
      </c>
      <c r="C951" s="36"/>
      <c r="D951" s="36"/>
    </row>
    <row r="952" spans="1:4" x14ac:dyDescent="0.25">
      <c r="A952" s="33">
        <v>21020204</v>
      </c>
      <c r="B952" s="34" t="s">
        <v>58</v>
      </c>
      <c r="C952" s="36"/>
      <c r="D952" s="36"/>
    </row>
    <row r="953" spans="1:4" x14ac:dyDescent="0.25">
      <c r="A953" s="33">
        <v>21020205</v>
      </c>
      <c r="B953" s="34" t="s">
        <v>59</v>
      </c>
      <c r="C953" s="36"/>
      <c r="D953" s="36"/>
    </row>
    <row r="954" spans="1:4" x14ac:dyDescent="0.25">
      <c r="A954" s="30">
        <v>21030100</v>
      </c>
      <c r="B954" s="31" t="s">
        <v>60</v>
      </c>
      <c r="C954" s="35"/>
      <c r="D954" s="35"/>
    </row>
    <row r="955" spans="1:4" x14ac:dyDescent="0.25">
      <c r="A955" s="33">
        <v>21030101</v>
      </c>
      <c r="B955" s="34" t="s">
        <v>61</v>
      </c>
      <c r="C955" s="35"/>
      <c r="D955" s="35"/>
    </row>
    <row r="956" spans="1:4" x14ac:dyDescent="0.25">
      <c r="A956" s="33">
        <v>21030102</v>
      </c>
      <c r="B956" s="34" t="s">
        <v>62</v>
      </c>
      <c r="C956" s="35"/>
      <c r="D956" s="35"/>
    </row>
    <row r="957" spans="1:4" x14ac:dyDescent="0.25">
      <c r="A957" s="33">
        <v>21030103</v>
      </c>
      <c r="B957" s="34" t="s">
        <v>63</v>
      </c>
      <c r="C957" s="35"/>
      <c r="D957" s="35"/>
    </row>
    <row r="958" spans="1:4" ht="16.5" thickBot="1" x14ac:dyDescent="0.3">
      <c r="A958" s="33"/>
      <c r="B958" s="54"/>
      <c r="C958" s="598"/>
      <c r="D958" s="598"/>
    </row>
    <row r="959" spans="1:4" ht="16.5" thickBot="1" x14ac:dyDescent="0.3">
      <c r="A959" s="599"/>
      <c r="B959" s="600" t="s">
        <v>2</v>
      </c>
      <c r="C959" s="1962">
        <f>SUM(C940:C958)</f>
        <v>84313295</v>
      </c>
      <c r="D959" s="601">
        <f>SUM(D940:D958)</f>
        <v>99287585</v>
      </c>
    </row>
    <row r="960" spans="1:4" s="26" customFormat="1" x14ac:dyDescent="0.25">
      <c r="A960" s="3458"/>
      <c r="B960" s="3458"/>
      <c r="C960" s="3458"/>
      <c r="D960" s="3458"/>
    </row>
    <row r="961" spans="1:4" x14ac:dyDescent="0.25">
      <c r="A961" s="3456" t="s">
        <v>2743</v>
      </c>
      <c r="B961" s="3456"/>
      <c r="C961" s="3456"/>
      <c r="D961" s="3456"/>
    </row>
    <row r="962" spans="1:4" ht="16.5" thickBot="1" x14ac:dyDescent="0.3">
      <c r="A962" s="3457" t="s">
        <v>2788</v>
      </c>
      <c r="B962" s="3457"/>
      <c r="C962" s="3457"/>
      <c r="D962" s="3457"/>
    </row>
    <row r="963" spans="1:4" x14ac:dyDescent="0.25">
      <c r="A963" s="577" t="s">
        <v>0</v>
      </c>
      <c r="B963" s="578"/>
      <c r="C963" s="577" t="s">
        <v>7</v>
      </c>
      <c r="D963" s="579" t="s">
        <v>2447</v>
      </c>
    </row>
    <row r="964" spans="1:4" s="38" customFormat="1" x14ac:dyDescent="0.2">
      <c r="A964" s="580" t="s">
        <v>1</v>
      </c>
      <c r="B964" s="581" t="s">
        <v>5</v>
      </c>
      <c r="C964" s="580" t="s">
        <v>6</v>
      </c>
      <c r="D964" s="580" t="s">
        <v>2448</v>
      </c>
    </row>
    <row r="965" spans="1:4" s="38" customFormat="1" x14ac:dyDescent="0.2">
      <c r="A965" s="582"/>
      <c r="B965" s="583"/>
      <c r="C965" s="580">
        <v>2020</v>
      </c>
      <c r="D965" s="580">
        <v>2021</v>
      </c>
    </row>
    <row r="966" spans="1:4" s="38" customFormat="1" ht="16.5" thickBot="1" x14ac:dyDescent="0.25">
      <c r="A966" s="584"/>
      <c r="B966" s="585"/>
      <c r="C966" s="586" t="s">
        <v>4</v>
      </c>
      <c r="D966" s="586" t="s">
        <v>4</v>
      </c>
    </row>
    <row r="967" spans="1:4" x14ac:dyDescent="0.25">
      <c r="A967" s="36"/>
      <c r="B967" s="6" t="s">
        <v>1093</v>
      </c>
      <c r="C967" s="35"/>
      <c r="D967" s="35"/>
    </row>
    <row r="968" spans="1:4" x14ac:dyDescent="0.25">
      <c r="A968" s="30">
        <v>21010100</v>
      </c>
      <c r="B968" s="31" t="s">
        <v>50</v>
      </c>
      <c r="C968" s="108">
        <f>'APPENDIX PERS COSTS DETAILS'!D1100</f>
        <v>0</v>
      </c>
      <c r="D968" s="108">
        <f>'APPENDIX PERS COSTS DETAILS'!F1100</f>
        <v>0</v>
      </c>
    </row>
    <row r="969" spans="1:4" x14ac:dyDescent="0.25">
      <c r="A969" s="33">
        <v>21010101</v>
      </c>
      <c r="B969" s="34" t="s">
        <v>51</v>
      </c>
      <c r="C969" s="36"/>
      <c r="D969" s="36"/>
    </row>
    <row r="970" spans="1:4" x14ac:dyDescent="0.25">
      <c r="A970" s="33">
        <v>21010102</v>
      </c>
      <c r="B970" s="34" t="s">
        <v>52</v>
      </c>
      <c r="C970" s="36"/>
      <c r="D970" s="36"/>
    </row>
    <row r="971" spans="1:4" x14ac:dyDescent="0.25">
      <c r="A971" s="33">
        <v>21010103</v>
      </c>
      <c r="B971" s="34" t="s">
        <v>53</v>
      </c>
      <c r="C971" s="108">
        <f>'APPENDIX PERS COSTS DETAILS'!D1103</f>
        <v>5428235</v>
      </c>
      <c r="D971" s="108">
        <f>'APPENDIX PERS COSTS DETAILS'!F1103</f>
        <v>5428235</v>
      </c>
    </row>
    <row r="972" spans="1:4" x14ac:dyDescent="0.25">
      <c r="A972" s="30">
        <v>210201</v>
      </c>
      <c r="B972" s="31" t="s">
        <v>54</v>
      </c>
      <c r="C972" s="36"/>
      <c r="D972" s="36"/>
    </row>
    <row r="973" spans="1:4" x14ac:dyDescent="0.25">
      <c r="A973" s="33">
        <v>21020101</v>
      </c>
      <c r="B973" s="34" t="s">
        <v>55</v>
      </c>
      <c r="C973" s="37"/>
      <c r="D973" s="37"/>
    </row>
    <row r="974" spans="1:4" x14ac:dyDescent="0.25">
      <c r="A974" s="30">
        <v>21020200</v>
      </c>
      <c r="B974" s="31" t="s">
        <v>56</v>
      </c>
      <c r="C974" s="36"/>
      <c r="D974" s="36"/>
    </row>
    <row r="975" spans="1:4" x14ac:dyDescent="0.25">
      <c r="A975" s="33">
        <v>21020201</v>
      </c>
      <c r="B975" s="34" t="s">
        <v>122</v>
      </c>
      <c r="C975" s="36"/>
      <c r="D975" s="36"/>
    </row>
    <row r="976" spans="1:4" x14ac:dyDescent="0.25">
      <c r="A976" s="33">
        <v>21020202</v>
      </c>
      <c r="B976" s="34" t="s">
        <v>123</v>
      </c>
      <c r="C976" s="36"/>
      <c r="D976" s="36"/>
    </row>
    <row r="977" spans="1:4" x14ac:dyDescent="0.25">
      <c r="A977" s="33">
        <v>21020203</v>
      </c>
      <c r="B977" s="34" t="s">
        <v>57</v>
      </c>
      <c r="C977" s="36"/>
      <c r="D977" s="36"/>
    </row>
    <row r="978" spans="1:4" x14ac:dyDescent="0.25">
      <c r="A978" s="33">
        <v>21020204</v>
      </c>
      <c r="B978" s="34" t="s">
        <v>58</v>
      </c>
      <c r="C978" s="36"/>
      <c r="D978" s="36"/>
    </row>
    <row r="979" spans="1:4" x14ac:dyDescent="0.25">
      <c r="A979" s="33">
        <v>21020205</v>
      </c>
      <c r="B979" s="34" t="s">
        <v>59</v>
      </c>
      <c r="C979" s="36"/>
      <c r="D979" s="36"/>
    </row>
    <row r="980" spans="1:4" x14ac:dyDescent="0.25">
      <c r="A980" s="30">
        <v>21030100</v>
      </c>
      <c r="B980" s="31" t="s">
        <v>60</v>
      </c>
      <c r="C980" s="35"/>
      <c r="D980" s="35"/>
    </row>
    <row r="981" spans="1:4" x14ac:dyDescent="0.25">
      <c r="A981" s="33">
        <v>21030101</v>
      </c>
      <c r="B981" s="34" t="s">
        <v>61</v>
      </c>
      <c r="C981" s="35"/>
      <c r="D981" s="35"/>
    </row>
    <row r="982" spans="1:4" x14ac:dyDescent="0.25">
      <c r="A982" s="33">
        <v>21030102</v>
      </c>
      <c r="B982" s="34" t="s">
        <v>62</v>
      </c>
      <c r="C982" s="1963"/>
      <c r="D982" s="35"/>
    </row>
    <row r="983" spans="1:4" x14ac:dyDescent="0.25">
      <c r="A983" s="33">
        <v>21030103</v>
      </c>
      <c r="B983" s="34" t="s">
        <v>63</v>
      </c>
      <c r="C983" s="35"/>
      <c r="D983" s="35"/>
    </row>
    <row r="984" spans="1:4" ht="16.5" thickBot="1" x14ac:dyDescent="0.3">
      <c r="A984" s="33"/>
      <c r="B984" s="34"/>
      <c r="C984" s="598"/>
      <c r="D984" s="598"/>
    </row>
    <row r="985" spans="1:4" ht="16.5" thickBot="1" x14ac:dyDescent="0.3">
      <c r="A985" s="599"/>
      <c r="B985" s="1960" t="s">
        <v>2</v>
      </c>
      <c r="C985" s="601">
        <f>SUM(C966:C984)</f>
        <v>5428235</v>
      </c>
      <c r="D985" s="1961">
        <f>SUM(D966:D984)</f>
        <v>5428235</v>
      </c>
    </row>
    <row r="986" spans="1:4" s="26" customFormat="1" x14ac:dyDescent="0.25">
      <c r="A986" s="603"/>
      <c r="B986" s="604"/>
      <c r="C986" s="114"/>
      <c r="D986" s="114"/>
    </row>
    <row r="987" spans="1:4" s="26" customFormat="1" x14ac:dyDescent="0.25">
      <c r="A987" s="3456" t="s">
        <v>975</v>
      </c>
      <c r="B987" s="3456"/>
      <c r="C987" s="3456"/>
      <c r="D987" s="3456"/>
    </row>
    <row r="988" spans="1:4" ht="15.75" customHeight="1" thickBot="1" x14ac:dyDescent="0.3">
      <c r="A988" s="3457" t="s">
        <v>2789</v>
      </c>
      <c r="B988" s="3457"/>
      <c r="C988" s="3457"/>
      <c r="D988" s="3457"/>
    </row>
    <row r="989" spans="1:4" x14ac:dyDescent="0.25">
      <c r="A989" s="577" t="s">
        <v>0</v>
      </c>
      <c r="B989" s="578"/>
      <c r="C989" s="577" t="s">
        <v>7</v>
      </c>
      <c r="D989" s="579" t="s">
        <v>2447</v>
      </c>
    </row>
    <row r="990" spans="1:4" s="38" customFormat="1" x14ac:dyDescent="0.2">
      <c r="A990" s="580" t="s">
        <v>1</v>
      </c>
      <c r="B990" s="581" t="s">
        <v>5</v>
      </c>
      <c r="C990" s="580" t="s">
        <v>6</v>
      </c>
      <c r="D990" s="580" t="s">
        <v>2448</v>
      </c>
    </row>
    <row r="991" spans="1:4" s="38" customFormat="1" x14ac:dyDescent="0.2">
      <c r="A991" s="582"/>
      <c r="B991" s="583"/>
      <c r="C991" s="580">
        <v>2020</v>
      </c>
      <c r="D991" s="580">
        <v>2021</v>
      </c>
    </row>
    <row r="992" spans="1:4" s="38" customFormat="1" ht="16.5" thickBot="1" x14ac:dyDescent="0.25">
      <c r="A992" s="584"/>
      <c r="B992" s="585"/>
      <c r="C992" s="586" t="s">
        <v>4</v>
      </c>
      <c r="D992" s="586" t="s">
        <v>4</v>
      </c>
    </row>
    <row r="993" spans="1:4" ht="15" customHeight="1" x14ac:dyDescent="0.25">
      <c r="A993" s="36"/>
      <c r="B993" s="6" t="s">
        <v>1093</v>
      </c>
      <c r="C993" s="35"/>
      <c r="D993" s="35"/>
    </row>
    <row r="994" spans="1:4" ht="15" customHeight="1" x14ac:dyDescent="0.25">
      <c r="A994" s="30">
        <v>21010100</v>
      </c>
      <c r="B994" s="31" t="s">
        <v>50</v>
      </c>
      <c r="C994" s="108">
        <f>'APPENDIX PERS COSTS DETAILS'!D1128</f>
        <v>0</v>
      </c>
      <c r="D994" s="108">
        <f>'APPENDIX PERS COSTS DETAILS'!F1128</f>
        <v>0</v>
      </c>
    </row>
    <row r="995" spans="1:4" ht="15" customHeight="1" x14ac:dyDescent="0.25">
      <c r="A995" s="33">
        <v>21010101</v>
      </c>
      <c r="B995" s="34" t="s">
        <v>51</v>
      </c>
      <c r="C995" s="36"/>
      <c r="D995" s="36"/>
    </row>
    <row r="996" spans="1:4" ht="15" customHeight="1" x14ac:dyDescent="0.25">
      <c r="A996" s="33">
        <v>21010102</v>
      </c>
      <c r="B996" s="34" t="s">
        <v>52</v>
      </c>
      <c r="C996" s="36"/>
      <c r="D996" s="36"/>
    </row>
    <row r="997" spans="1:4" ht="15" customHeight="1" x14ac:dyDescent="0.25">
      <c r="A997" s="33">
        <v>21010103</v>
      </c>
      <c r="B997" s="34" t="s">
        <v>53</v>
      </c>
      <c r="C997" s="108">
        <f>'APPENDIX PERS COSTS DETAILS'!D1131</f>
        <v>5729815</v>
      </c>
      <c r="D997" s="108">
        <f>'APPENDIX PERS COSTS DETAILS'!F1131</f>
        <v>5729815</v>
      </c>
    </row>
    <row r="998" spans="1:4" ht="15" customHeight="1" x14ac:dyDescent="0.25">
      <c r="A998" s="30">
        <v>210201</v>
      </c>
      <c r="B998" s="31" t="s">
        <v>54</v>
      </c>
      <c r="C998" s="36"/>
      <c r="D998" s="36"/>
    </row>
    <row r="999" spans="1:4" ht="15" customHeight="1" x14ac:dyDescent="0.25">
      <c r="A999" s="33">
        <v>21020101</v>
      </c>
      <c r="B999" s="34" t="s">
        <v>55</v>
      </c>
      <c r="C999" s="37"/>
      <c r="D999" s="37"/>
    </row>
    <row r="1000" spans="1:4" ht="15" customHeight="1" x14ac:dyDescent="0.25">
      <c r="A1000" s="30">
        <v>21020200</v>
      </c>
      <c r="B1000" s="31" t="s">
        <v>56</v>
      </c>
      <c r="C1000" s="36"/>
      <c r="D1000" s="36"/>
    </row>
    <row r="1001" spans="1:4" ht="15" customHeight="1" x14ac:dyDescent="0.25">
      <c r="A1001" s="33">
        <v>21020201</v>
      </c>
      <c r="B1001" s="34" t="s">
        <v>122</v>
      </c>
      <c r="C1001" s="36"/>
      <c r="D1001" s="36"/>
    </row>
    <row r="1002" spans="1:4" ht="15" customHeight="1" x14ac:dyDescent="0.25">
      <c r="A1002" s="33">
        <v>21020202</v>
      </c>
      <c r="B1002" s="34" t="s">
        <v>123</v>
      </c>
      <c r="C1002" s="36"/>
      <c r="D1002" s="36"/>
    </row>
    <row r="1003" spans="1:4" ht="15" customHeight="1" x14ac:dyDescent="0.25">
      <c r="A1003" s="33">
        <v>21020203</v>
      </c>
      <c r="B1003" s="34" t="s">
        <v>57</v>
      </c>
      <c r="C1003" s="36"/>
      <c r="D1003" s="36"/>
    </row>
    <row r="1004" spans="1:4" ht="15" customHeight="1" x14ac:dyDescent="0.25">
      <c r="A1004" s="33">
        <v>21020204</v>
      </c>
      <c r="B1004" s="34" t="s">
        <v>58</v>
      </c>
      <c r="C1004" s="36"/>
      <c r="D1004" s="36"/>
    </row>
    <row r="1005" spans="1:4" ht="15" customHeight="1" x14ac:dyDescent="0.25">
      <c r="A1005" s="33">
        <v>21020205</v>
      </c>
      <c r="B1005" s="34" t="s">
        <v>59</v>
      </c>
      <c r="C1005" s="36"/>
      <c r="D1005" s="36"/>
    </row>
    <row r="1006" spans="1:4" ht="15" customHeight="1" x14ac:dyDescent="0.25">
      <c r="A1006" s="30">
        <v>21030100</v>
      </c>
      <c r="B1006" s="31" t="s">
        <v>60</v>
      </c>
      <c r="C1006" s="35"/>
      <c r="D1006" s="35"/>
    </row>
    <row r="1007" spans="1:4" x14ac:dyDescent="0.25">
      <c r="A1007" s="33">
        <v>21030101</v>
      </c>
      <c r="B1007" s="34" t="s">
        <v>61</v>
      </c>
      <c r="C1007" s="35"/>
      <c r="D1007" s="35"/>
    </row>
    <row r="1008" spans="1:4" x14ac:dyDescent="0.25">
      <c r="A1008" s="33">
        <v>21030102</v>
      </c>
      <c r="B1008" s="34" t="s">
        <v>62</v>
      </c>
      <c r="C1008" s="613"/>
      <c r="D1008" s="613"/>
    </row>
    <row r="1009" spans="1:4" x14ac:dyDescent="0.25">
      <c r="A1009" s="33">
        <v>21030103</v>
      </c>
      <c r="B1009" s="34" t="s">
        <v>63</v>
      </c>
      <c r="C1009" s="35"/>
      <c r="D1009" s="35"/>
    </row>
    <row r="1010" spans="1:4" ht="16.5" thickBot="1" x14ac:dyDescent="0.3">
      <c r="A1010" s="33"/>
      <c r="B1010" s="34"/>
      <c r="C1010" s="598"/>
      <c r="D1010" s="598"/>
    </row>
    <row r="1011" spans="1:4" ht="16.5" thickBot="1" x14ac:dyDescent="0.3">
      <c r="A1011" s="593"/>
      <c r="B1011" s="600" t="s">
        <v>2</v>
      </c>
      <c r="C1011" s="601">
        <f>SUM(C992:C1010)</f>
        <v>5729815</v>
      </c>
      <c r="D1011" s="1961">
        <f>SUM(D992:D1010)</f>
        <v>5729815</v>
      </c>
    </row>
    <row r="1012" spans="1:4" s="26" customFormat="1" x14ac:dyDescent="0.25">
      <c r="A1012" s="27"/>
      <c r="B1012" s="27"/>
      <c r="C1012" s="27"/>
      <c r="D1012" s="27"/>
    </row>
    <row r="1013" spans="1:4" x14ac:dyDescent="0.25">
      <c r="A1013" s="3456" t="s">
        <v>166</v>
      </c>
      <c r="B1013" s="3456"/>
      <c r="C1013" s="3456"/>
      <c r="D1013" s="3456"/>
    </row>
    <row r="1014" spans="1:4" ht="16.5" thickBot="1" x14ac:dyDescent="0.3">
      <c r="A1014" s="3457" t="s">
        <v>2790</v>
      </c>
      <c r="B1014" s="3457"/>
      <c r="C1014" s="3457"/>
      <c r="D1014" s="3457"/>
    </row>
    <row r="1015" spans="1:4" x14ac:dyDescent="0.25">
      <c r="A1015" s="577" t="s">
        <v>0</v>
      </c>
      <c r="B1015" s="578"/>
      <c r="C1015" s="577" t="s">
        <v>7</v>
      </c>
      <c r="D1015" s="579" t="s">
        <v>2447</v>
      </c>
    </row>
    <row r="1016" spans="1:4" s="38" customFormat="1" x14ac:dyDescent="0.2">
      <c r="A1016" s="580" t="s">
        <v>1</v>
      </c>
      <c r="B1016" s="581" t="s">
        <v>5</v>
      </c>
      <c r="C1016" s="580" t="s">
        <v>6</v>
      </c>
      <c r="D1016" s="580" t="s">
        <v>2448</v>
      </c>
    </row>
    <row r="1017" spans="1:4" s="38" customFormat="1" x14ac:dyDescent="0.2">
      <c r="A1017" s="582"/>
      <c r="B1017" s="583"/>
      <c r="C1017" s="580">
        <v>2020</v>
      </c>
      <c r="D1017" s="580">
        <v>2021</v>
      </c>
    </row>
    <row r="1018" spans="1:4" s="38" customFormat="1" ht="16.5" thickBot="1" x14ac:dyDescent="0.25">
      <c r="A1018" s="584"/>
      <c r="B1018" s="585"/>
      <c r="C1018" s="586" t="s">
        <v>4</v>
      </c>
      <c r="D1018" s="586" t="s">
        <v>4</v>
      </c>
    </row>
    <row r="1019" spans="1:4" x14ac:dyDescent="0.25">
      <c r="A1019" s="28"/>
      <c r="B1019" s="7" t="s">
        <v>1093</v>
      </c>
      <c r="C1019" s="29"/>
      <c r="D1019" s="29"/>
    </row>
    <row r="1020" spans="1:4" x14ac:dyDescent="0.25">
      <c r="A1020" s="30">
        <v>21010100</v>
      </c>
      <c r="B1020" s="31" t="s">
        <v>50</v>
      </c>
      <c r="C1020" s="108">
        <f>'APPENDIX PERS COSTS DETAILS'!D1155</f>
        <v>51881860</v>
      </c>
      <c r="D1020" s="108">
        <f>'APPENDIX PERS COSTS DETAILS'!F1155</f>
        <v>60610806</v>
      </c>
    </row>
    <row r="1021" spans="1:4" x14ac:dyDescent="0.25">
      <c r="A1021" s="33">
        <v>21010101</v>
      </c>
      <c r="B1021" s="34" t="s">
        <v>51</v>
      </c>
      <c r="C1021" s="36"/>
      <c r="D1021" s="36"/>
    </row>
    <row r="1022" spans="1:4" x14ac:dyDescent="0.25">
      <c r="A1022" s="33">
        <v>21010102</v>
      </c>
      <c r="B1022" s="34" t="s">
        <v>52</v>
      </c>
      <c r="C1022" s="6"/>
      <c r="D1022" s="6"/>
    </row>
    <row r="1023" spans="1:4" x14ac:dyDescent="0.25">
      <c r="A1023" s="33">
        <v>21010103</v>
      </c>
      <c r="B1023" s="34" t="s">
        <v>53</v>
      </c>
      <c r="C1023" s="108">
        <f>'APPENDIX PERS COSTS DETAILS'!D1162</f>
        <v>11245165</v>
      </c>
      <c r="D1023" s="108">
        <f>'APPENDIX PERS COSTS DETAILS'!F1162</f>
        <v>11245165</v>
      </c>
    </row>
    <row r="1024" spans="1:4" x14ac:dyDescent="0.25">
      <c r="A1024" s="30">
        <v>210201</v>
      </c>
      <c r="B1024" s="31" t="s">
        <v>54</v>
      </c>
      <c r="C1024" s="36"/>
      <c r="D1024" s="36"/>
    </row>
    <row r="1025" spans="1:4" x14ac:dyDescent="0.25">
      <c r="A1025" s="33">
        <v>21020101</v>
      </c>
      <c r="B1025" s="34" t="s">
        <v>55</v>
      </c>
      <c r="C1025" s="37"/>
      <c r="D1025" s="37"/>
    </row>
    <row r="1026" spans="1:4" x14ac:dyDescent="0.25">
      <c r="A1026" s="30">
        <v>21020200</v>
      </c>
      <c r="B1026" s="31" t="s">
        <v>56</v>
      </c>
      <c r="C1026" s="36"/>
      <c r="D1026" s="36"/>
    </row>
    <row r="1027" spans="1:4" x14ac:dyDescent="0.25">
      <c r="A1027" s="33">
        <v>21020201</v>
      </c>
      <c r="B1027" s="34" t="s">
        <v>122</v>
      </c>
      <c r="C1027" s="36"/>
      <c r="D1027" s="36"/>
    </row>
    <row r="1028" spans="1:4" x14ac:dyDescent="0.25">
      <c r="A1028" s="33">
        <v>21020202</v>
      </c>
      <c r="B1028" s="34" t="s">
        <v>123</v>
      </c>
      <c r="C1028" s="36"/>
      <c r="D1028" s="36"/>
    </row>
    <row r="1029" spans="1:4" x14ac:dyDescent="0.25">
      <c r="A1029" s="33">
        <v>21020203</v>
      </c>
      <c r="B1029" s="34" t="s">
        <v>57</v>
      </c>
      <c r="C1029" s="36"/>
      <c r="D1029" s="36"/>
    </row>
    <row r="1030" spans="1:4" x14ac:dyDescent="0.25">
      <c r="A1030" s="33">
        <v>21020204</v>
      </c>
      <c r="B1030" s="34" t="s">
        <v>58</v>
      </c>
      <c r="C1030" s="36"/>
      <c r="D1030" s="36"/>
    </row>
    <row r="1031" spans="1:4" x14ac:dyDescent="0.25">
      <c r="A1031" s="33">
        <v>21020205</v>
      </c>
      <c r="B1031" s="34" t="s">
        <v>59</v>
      </c>
      <c r="C1031" s="36"/>
      <c r="D1031" s="36"/>
    </row>
    <row r="1032" spans="1:4" x14ac:dyDescent="0.25">
      <c r="A1032" s="30">
        <v>21030100</v>
      </c>
      <c r="B1032" s="31" t="s">
        <v>60</v>
      </c>
      <c r="C1032" s="35"/>
      <c r="D1032" s="35"/>
    </row>
    <row r="1033" spans="1:4" x14ac:dyDescent="0.25">
      <c r="A1033" s="33">
        <v>21030101</v>
      </c>
      <c r="B1033" s="34" t="s">
        <v>61</v>
      </c>
      <c r="C1033" s="35"/>
      <c r="D1033" s="35"/>
    </row>
    <row r="1034" spans="1:4" x14ac:dyDescent="0.25">
      <c r="A1034" s="33">
        <v>21030102</v>
      </c>
      <c r="B1034" s="34" t="s">
        <v>62</v>
      </c>
      <c r="C1034" s="35"/>
      <c r="D1034" s="35"/>
    </row>
    <row r="1035" spans="1:4" x14ac:dyDescent="0.25">
      <c r="A1035" s="33">
        <v>21030103</v>
      </c>
      <c r="B1035" s="34" t="s">
        <v>63</v>
      </c>
      <c r="C1035" s="35"/>
      <c r="D1035" s="35"/>
    </row>
    <row r="1036" spans="1:4" ht="16.5" thickBot="1" x14ac:dyDescent="0.3">
      <c r="A1036" s="33"/>
      <c r="B1036" s="34"/>
      <c r="C1036" s="598"/>
      <c r="D1036" s="598"/>
    </row>
    <row r="1037" spans="1:4" ht="16.5" thickBot="1" x14ac:dyDescent="0.3">
      <c r="A1037" s="593"/>
      <c r="B1037" s="600" t="s">
        <v>2</v>
      </c>
      <c r="C1037" s="601">
        <f>SUM(C1018:C1036)</f>
        <v>63127025</v>
      </c>
      <c r="D1037" s="1961">
        <f>SUM(D1018:D1036)</f>
        <v>71855971</v>
      </c>
    </row>
    <row r="1038" spans="1:4" s="26" customFormat="1" x14ac:dyDescent="0.25">
      <c r="A1038" s="3458"/>
      <c r="B1038" s="3458"/>
      <c r="C1038" s="3458"/>
      <c r="D1038" s="3458"/>
    </row>
    <row r="1039" spans="1:4" x14ac:dyDescent="0.25">
      <c r="A1039" s="3456" t="s">
        <v>164</v>
      </c>
      <c r="B1039" s="3456"/>
      <c r="C1039" s="3456"/>
      <c r="D1039" s="3456"/>
    </row>
    <row r="1040" spans="1:4" ht="16.5" thickBot="1" x14ac:dyDescent="0.3">
      <c r="A1040" s="3457" t="s">
        <v>2791</v>
      </c>
      <c r="B1040" s="3457"/>
      <c r="C1040" s="3457"/>
      <c r="D1040" s="3457"/>
    </row>
    <row r="1041" spans="1:4" x14ac:dyDescent="0.25">
      <c r="A1041" s="577" t="s">
        <v>0</v>
      </c>
      <c r="B1041" s="578"/>
      <c r="C1041" s="577" t="s">
        <v>7</v>
      </c>
      <c r="D1041" s="579" t="s">
        <v>2447</v>
      </c>
    </row>
    <row r="1042" spans="1:4" s="38" customFormat="1" x14ac:dyDescent="0.2">
      <c r="A1042" s="580" t="s">
        <v>1</v>
      </c>
      <c r="B1042" s="581" t="s">
        <v>5</v>
      </c>
      <c r="C1042" s="580" t="s">
        <v>6</v>
      </c>
      <c r="D1042" s="580" t="s">
        <v>2448</v>
      </c>
    </row>
    <row r="1043" spans="1:4" s="38" customFormat="1" x14ac:dyDescent="0.2">
      <c r="A1043" s="582"/>
      <c r="B1043" s="583"/>
      <c r="C1043" s="580">
        <v>2020</v>
      </c>
      <c r="D1043" s="580">
        <v>2021</v>
      </c>
    </row>
    <row r="1044" spans="1:4" s="38" customFormat="1" ht="16.5" thickBot="1" x14ac:dyDescent="0.25">
      <c r="A1044" s="584"/>
      <c r="B1044" s="585"/>
      <c r="C1044" s="586" t="s">
        <v>4</v>
      </c>
      <c r="D1044" s="586" t="s">
        <v>4</v>
      </c>
    </row>
    <row r="1045" spans="1:4" x14ac:dyDescent="0.25">
      <c r="A1045" s="36"/>
      <c r="B1045" s="6" t="s">
        <v>1093</v>
      </c>
      <c r="C1045" s="35"/>
      <c r="D1045" s="35"/>
    </row>
    <row r="1046" spans="1:4" x14ac:dyDescent="0.25">
      <c r="A1046" s="30">
        <v>21010100</v>
      </c>
      <c r="B1046" s="31" t="s">
        <v>50</v>
      </c>
      <c r="C1046" s="108">
        <f>'APPENDIX PERS COSTS DETAILS'!D1187</f>
        <v>18018755</v>
      </c>
      <c r="D1046" s="108">
        <f>'APPENDIX PERS COSTS DETAILS'!F1187</f>
        <v>18018755</v>
      </c>
    </row>
    <row r="1047" spans="1:4" x14ac:dyDescent="0.25">
      <c r="A1047" s="33">
        <v>21010101</v>
      </c>
      <c r="B1047" s="34" t="s">
        <v>51</v>
      </c>
      <c r="C1047" s="36"/>
      <c r="D1047" s="36"/>
    </row>
    <row r="1048" spans="1:4" x14ac:dyDescent="0.25">
      <c r="A1048" s="33">
        <v>21010102</v>
      </c>
      <c r="B1048" s="34" t="s">
        <v>52</v>
      </c>
      <c r="C1048" s="36"/>
      <c r="D1048" s="36"/>
    </row>
    <row r="1049" spans="1:4" x14ac:dyDescent="0.25">
      <c r="A1049" s="33">
        <v>21010103</v>
      </c>
      <c r="B1049" s="34" t="s">
        <v>53</v>
      </c>
      <c r="C1049" s="108">
        <f>'APPENDIX PERS COSTS DETAILS'!D1190</f>
        <v>4228235</v>
      </c>
      <c r="D1049" s="108">
        <f>'APPENDIX PERS COSTS DETAILS'!F1190</f>
        <v>4228235</v>
      </c>
    </row>
    <row r="1050" spans="1:4" x14ac:dyDescent="0.25">
      <c r="A1050" s="30">
        <v>210201</v>
      </c>
      <c r="B1050" s="31" t="s">
        <v>54</v>
      </c>
      <c r="C1050" s="36"/>
      <c r="D1050" s="36"/>
    </row>
    <row r="1051" spans="1:4" x14ac:dyDescent="0.25">
      <c r="A1051" s="33">
        <v>21020101</v>
      </c>
      <c r="B1051" s="34" t="s">
        <v>55</v>
      </c>
      <c r="C1051" s="37"/>
      <c r="D1051" s="37"/>
    </row>
    <row r="1052" spans="1:4" x14ac:dyDescent="0.25">
      <c r="A1052" s="30">
        <v>21020200</v>
      </c>
      <c r="B1052" s="31" t="s">
        <v>56</v>
      </c>
      <c r="C1052" s="36"/>
      <c r="D1052" s="36"/>
    </row>
    <row r="1053" spans="1:4" x14ac:dyDescent="0.25">
      <c r="A1053" s="33">
        <v>21020201</v>
      </c>
      <c r="B1053" s="34" t="s">
        <v>122</v>
      </c>
      <c r="C1053" s="36"/>
      <c r="D1053" s="36"/>
    </row>
    <row r="1054" spans="1:4" x14ac:dyDescent="0.25">
      <c r="A1054" s="33">
        <v>21020202</v>
      </c>
      <c r="B1054" s="34" t="s">
        <v>123</v>
      </c>
      <c r="C1054" s="36"/>
      <c r="D1054" s="36"/>
    </row>
    <row r="1055" spans="1:4" x14ac:dyDescent="0.25">
      <c r="A1055" s="33">
        <v>21020203</v>
      </c>
      <c r="B1055" s="34" t="s">
        <v>57</v>
      </c>
      <c r="C1055" s="36"/>
      <c r="D1055" s="36"/>
    </row>
    <row r="1056" spans="1:4" x14ac:dyDescent="0.25">
      <c r="A1056" s="33">
        <v>21020204</v>
      </c>
      <c r="B1056" s="34" t="s">
        <v>58</v>
      </c>
      <c r="C1056" s="36"/>
      <c r="D1056" s="36"/>
    </row>
    <row r="1057" spans="1:4" x14ac:dyDescent="0.25">
      <c r="A1057" s="33">
        <v>21020205</v>
      </c>
      <c r="B1057" s="34" t="s">
        <v>59</v>
      </c>
      <c r="C1057" s="36"/>
      <c r="D1057" s="36"/>
    </row>
    <row r="1058" spans="1:4" x14ac:dyDescent="0.25">
      <c r="A1058" s="30">
        <v>21030100</v>
      </c>
      <c r="B1058" s="31" t="s">
        <v>60</v>
      </c>
      <c r="C1058" s="35"/>
      <c r="D1058" s="35"/>
    </row>
    <row r="1059" spans="1:4" x14ac:dyDescent="0.25">
      <c r="A1059" s="33">
        <v>21030101</v>
      </c>
      <c r="B1059" s="34" t="s">
        <v>61</v>
      </c>
      <c r="C1059" s="35"/>
      <c r="D1059" s="35"/>
    </row>
    <row r="1060" spans="1:4" x14ac:dyDescent="0.25">
      <c r="A1060" s="33">
        <v>21030102</v>
      </c>
      <c r="B1060" s="34" t="s">
        <v>62</v>
      </c>
      <c r="C1060" s="35"/>
      <c r="D1060" s="35"/>
    </row>
    <row r="1061" spans="1:4" x14ac:dyDescent="0.25">
      <c r="A1061" s="33">
        <v>21030103</v>
      </c>
      <c r="B1061" s="34" t="s">
        <v>63</v>
      </c>
      <c r="C1061" s="35"/>
      <c r="D1061" s="35"/>
    </row>
    <row r="1062" spans="1:4" x14ac:dyDescent="0.25">
      <c r="A1062" s="33"/>
      <c r="B1062" s="34"/>
      <c r="C1062" s="37"/>
      <c r="D1062" s="37"/>
    </row>
    <row r="1063" spans="1:4" x14ac:dyDescent="0.25">
      <c r="A1063" s="599"/>
      <c r="B1063" s="607" t="s">
        <v>2</v>
      </c>
      <c r="C1063" s="111">
        <f>SUM(C1044:C1062)</f>
        <v>22246990</v>
      </c>
      <c r="D1063" s="111">
        <f>SUM(D1044:D1062)</f>
        <v>22246990</v>
      </c>
    </row>
    <row r="1064" spans="1:4" s="26" customFormat="1" x14ac:dyDescent="0.25">
      <c r="A1064" s="3458"/>
      <c r="B1064" s="3458"/>
      <c r="C1064" s="3458"/>
      <c r="D1064" s="3458"/>
    </row>
    <row r="1065" spans="1:4" x14ac:dyDescent="0.25">
      <c r="A1065" s="3456" t="s">
        <v>2752</v>
      </c>
      <c r="B1065" s="3456"/>
      <c r="C1065" s="3456"/>
      <c r="D1065" s="3456"/>
    </row>
    <row r="1066" spans="1:4" ht="16.5" thickBot="1" x14ac:dyDescent="0.3">
      <c r="A1066" s="3457" t="s">
        <v>2792</v>
      </c>
      <c r="B1066" s="3457"/>
      <c r="C1066" s="3457"/>
      <c r="D1066" s="3457"/>
    </row>
    <row r="1067" spans="1:4" x14ac:dyDescent="0.25">
      <c r="A1067" s="577" t="s">
        <v>0</v>
      </c>
      <c r="B1067" s="578"/>
      <c r="C1067" s="577" t="s">
        <v>7</v>
      </c>
      <c r="D1067" s="579" t="s">
        <v>2447</v>
      </c>
    </row>
    <row r="1068" spans="1:4" s="38" customFormat="1" x14ac:dyDescent="0.2">
      <c r="A1068" s="580" t="s">
        <v>1</v>
      </c>
      <c r="B1068" s="581" t="s">
        <v>5</v>
      </c>
      <c r="C1068" s="580" t="s">
        <v>6</v>
      </c>
      <c r="D1068" s="580" t="s">
        <v>2448</v>
      </c>
    </row>
    <row r="1069" spans="1:4" s="38" customFormat="1" x14ac:dyDescent="0.2">
      <c r="A1069" s="582"/>
      <c r="B1069" s="583"/>
      <c r="C1069" s="580">
        <v>2020</v>
      </c>
      <c r="D1069" s="580">
        <v>2021</v>
      </c>
    </row>
    <row r="1070" spans="1:4" s="38" customFormat="1" ht="16.5" thickBot="1" x14ac:dyDescent="0.25">
      <c r="A1070" s="584"/>
      <c r="B1070" s="585"/>
      <c r="C1070" s="586" t="s">
        <v>4</v>
      </c>
      <c r="D1070" s="586" t="s">
        <v>4</v>
      </c>
    </row>
    <row r="1071" spans="1:4" x14ac:dyDescent="0.25">
      <c r="A1071" s="36"/>
      <c r="B1071" s="6" t="s">
        <v>1093</v>
      </c>
      <c r="C1071" s="35"/>
      <c r="D1071" s="35"/>
    </row>
    <row r="1072" spans="1:4" x14ac:dyDescent="0.25">
      <c r="A1072" s="30">
        <v>21010100</v>
      </c>
      <c r="B1072" s="31" t="s">
        <v>50</v>
      </c>
      <c r="C1072" s="108">
        <f>'APPENDIX PERS COSTS DETAILS'!D1217</f>
        <v>51254406</v>
      </c>
      <c r="D1072" s="108">
        <f>'APPENDIX PERS COSTS DETAILS'!F1217</f>
        <v>52894063</v>
      </c>
    </row>
    <row r="1073" spans="1:4" x14ac:dyDescent="0.25">
      <c r="A1073" s="33">
        <v>21010101</v>
      </c>
      <c r="B1073" s="34" t="s">
        <v>51</v>
      </c>
      <c r="C1073" s="36"/>
      <c r="D1073" s="36"/>
    </row>
    <row r="1074" spans="1:4" x14ac:dyDescent="0.25">
      <c r="A1074" s="33">
        <v>21010102</v>
      </c>
      <c r="B1074" s="34" t="s">
        <v>52</v>
      </c>
      <c r="C1074" s="36"/>
      <c r="D1074" s="36"/>
    </row>
    <row r="1075" spans="1:4" x14ac:dyDescent="0.25">
      <c r="A1075" s="33">
        <v>21010103</v>
      </c>
      <c r="B1075" s="34" t="s">
        <v>53</v>
      </c>
      <c r="C1075" s="108"/>
      <c r="D1075" s="108"/>
    </row>
    <row r="1076" spans="1:4" x14ac:dyDescent="0.25">
      <c r="A1076" s="30">
        <v>210201</v>
      </c>
      <c r="B1076" s="31" t="s">
        <v>54</v>
      </c>
      <c r="C1076" s="36"/>
      <c r="D1076" s="36"/>
    </row>
    <row r="1077" spans="1:4" x14ac:dyDescent="0.25">
      <c r="A1077" s="33">
        <v>21020101</v>
      </c>
      <c r="B1077" s="34" t="s">
        <v>55</v>
      </c>
      <c r="C1077" s="37"/>
      <c r="D1077" s="37"/>
    </row>
    <row r="1078" spans="1:4" x14ac:dyDescent="0.25">
      <c r="A1078" s="30">
        <v>21020200</v>
      </c>
      <c r="B1078" s="31" t="s">
        <v>56</v>
      </c>
      <c r="C1078" s="36"/>
      <c r="D1078" s="36"/>
    </row>
    <row r="1079" spans="1:4" x14ac:dyDescent="0.25">
      <c r="A1079" s="33">
        <v>21020201</v>
      </c>
      <c r="B1079" s="34" t="s">
        <v>122</v>
      </c>
      <c r="C1079" s="36"/>
      <c r="D1079" s="36"/>
    </row>
    <row r="1080" spans="1:4" x14ac:dyDescent="0.25">
      <c r="A1080" s="33">
        <v>21020202</v>
      </c>
      <c r="B1080" s="34" t="s">
        <v>123</v>
      </c>
      <c r="C1080" s="36"/>
      <c r="D1080" s="36"/>
    </row>
    <row r="1081" spans="1:4" x14ac:dyDescent="0.25">
      <c r="A1081" s="33">
        <v>21020203</v>
      </c>
      <c r="B1081" s="34" t="s">
        <v>57</v>
      </c>
      <c r="C1081" s="36"/>
      <c r="D1081" s="36"/>
    </row>
    <row r="1082" spans="1:4" x14ac:dyDescent="0.25">
      <c r="A1082" s="33">
        <v>21020204</v>
      </c>
      <c r="B1082" s="34" t="s">
        <v>58</v>
      </c>
      <c r="C1082" s="36"/>
      <c r="D1082" s="36"/>
    </row>
    <row r="1083" spans="1:4" x14ac:dyDescent="0.25">
      <c r="A1083" s="33">
        <v>21020205</v>
      </c>
      <c r="B1083" s="34" t="s">
        <v>59</v>
      </c>
      <c r="C1083" s="36"/>
      <c r="D1083" s="36"/>
    </row>
    <row r="1084" spans="1:4" x14ac:dyDescent="0.25">
      <c r="A1084" s="30">
        <v>21030100</v>
      </c>
      <c r="B1084" s="31" t="s">
        <v>60</v>
      </c>
      <c r="C1084" s="35"/>
      <c r="D1084" s="35"/>
    </row>
    <row r="1085" spans="1:4" x14ac:dyDescent="0.25">
      <c r="A1085" s="33">
        <v>21030101</v>
      </c>
      <c r="B1085" s="34" t="s">
        <v>61</v>
      </c>
      <c r="C1085" s="35"/>
      <c r="D1085" s="35"/>
    </row>
    <row r="1086" spans="1:4" x14ac:dyDescent="0.25">
      <c r="A1086" s="33">
        <v>21030102</v>
      </c>
      <c r="B1086" s="34" t="s">
        <v>62</v>
      </c>
      <c r="C1086" s="35"/>
      <c r="D1086" s="35"/>
    </row>
    <row r="1087" spans="1:4" x14ac:dyDescent="0.25">
      <c r="A1087" s="33">
        <v>21030103</v>
      </c>
      <c r="B1087" s="34" t="s">
        <v>63</v>
      </c>
      <c r="C1087" s="35"/>
      <c r="D1087" s="35"/>
    </row>
    <row r="1088" spans="1:4" x14ac:dyDescent="0.25">
      <c r="A1088" s="33"/>
      <c r="B1088" s="34"/>
      <c r="C1088" s="37"/>
      <c r="D1088" s="37"/>
    </row>
    <row r="1089" spans="1:4" x14ac:dyDescent="0.25">
      <c r="A1089" s="599"/>
      <c r="B1089" s="607" t="s">
        <v>2</v>
      </c>
      <c r="C1089" s="111">
        <f>SUM(C1070:C1088)</f>
        <v>51254406</v>
      </c>
      <c r="D1089" s="111">
        <f>SUM(D1070:D1088)</f>
        <v>52894063</v>
      </c>
    </row>
    <row r="1090" spans="1:4" s="26" customFormat="1" x14ac:dyDescent="0.25">
      <c r="A1090" s="3458"/>
      <c r="B1090" s="3458"/>
      <c r="C1090" s="3458"/>
      <c r="D1090" s="3458"/>
    </row>
    <row r="1091" spans="1:4" x14ac:dyDescent="0.25">
      <c r="A1091" s="3456" t="s">
        <v>390</v>
      </c>
      <c r="B1091" s="3456"/>
      <c r="C1091" s="3456"/>
      <c r="D1091" s="3456"/>
    </row>
    <row r="1092" spans="1:4" ht="16.5" thickBot="1" x14ac:dyDescent="0.3">
      <c r="A1092" s="3457" t="s">
        <v>2793</v>
      </c>
      <c r="B1092" s="3457"/>
      <c r="C1092" s="3457"/>
      <c r="D1092" s="3457"/>
    </row>
    <row r="1093" spans="1:4" x14ac:dyDescent="0.25">
      <c r="A1093" s="577" t="s">
        <v>0</v>
      </c>
      <c r="B1093" s="578"/>
      <c r="C1093" s="577" t="s">
        <v>7</v>
      </c>
      <c r="D1093" s="579" t="s">
        <v>2447</v>
      </c>
    </row>
    <row r="1094" spans="1:4" s="38" customFormat="1" x14ac:dyDescent="0.2">
      <c r="A1094" s="580" t="s">
        <v>1</v>
      </c>
      <c r="B1094" s="581" t="s">
        <v>5</v>
      </c>
      <c r="C1094" s="580" t="s">
        <v>6</v>
      </c>
      <c r="D1094" s="580" t="s">
        <v>2448</v>
      </c>
    </row>
    <row r="1095" spans="1:4" s="38" customFormat="1" x14ac:dyDescent="0.2">
      <c r="A1095" s="582"/>
      <c r="B1095" s="583"/>
      <c r="C1095" s="580">
        <v>2020</v>
      </c>
      <c r="D1095" s="580">
        <v>2021</v>
      </c>
    </row>
    <row r="1096" spans="1:4" s="38" customFormat="1" ht="16.5" thickBot="1" x14ac:dyDescent="0.25">
      <c r="A1096" s="584"/>
      <c r="B1096" s="585"/>
      <c r="C1096" s="586" t="s">
        <v>4</v>
      </c>
      <c r="D1096" s="586" t="s">
        <v>4</v>
      </c>
    </row>
    <row r="1097" spans="1:4" x14ac:dyDescent="0.25">
      <c r="A1097" s="36"/>
      <c r="B1097" s="6" t="s">
        <v>1093</v>
      </c>
      <c r="C1097" s="35"/>
      <c r="D1097" s="35"/>
    </row>
    <row r="1098" spans="1:4" x14ac:dyDescent="0.25">
      <c r="A1098" s="30">
        <v>21010100</v>
      </c>
      <c r="B1098" s="31" t="s">
        <v>50</v>
      </c>
      <c r="C1098" s="108">
        <f>'APPENDIX PERS COSTS DETAILS'!D1240</f>
        <v>0</v>
      </c>
      <c r="D1098" s="108">
        <f>'APPENDIX PERS COSTS DETAILS'!F1240</f>
        <v>0</v>
      </c>
    </row>
    <row r="1099" spans="1:4" x14ac:dyDescent="0.25">
      <c r="A1099" s="33">
        <v>21010101</v>
      </c>
      <c r="B1099" s="34" t="s">
        <v>51</v>
      </c>
      <c r="C1099" s="36"/>
      <c r="D1099" s="36"/>
    </row>
    <row r="1100" spans="1:4" x14ac:dyDescent="0.25">
      <c r="A1100" s="33">
        <v>21010102</v>
      </c>
      <c r="B1100" s="34" t="s">
        <v>52</v>
      </c>
      <c r="C1100" s="36"/>
      <c r="D1100" s="36"/>
    </row>
    <row r="1101" spans="1:4" x14ac:dyDescent="0.25">
      <c r="A1101" s="33">
        <v>21010103</v>
      </c>
      <c r="B1101" s="34" t="s">
        <v>53</v>
      </c>
      <c r="C1101" s="108">
        <f>'APPENDIX PERS COSTS DETAILS'!D1243</f>
        <v>5729815</v>
      </c>
      <c r="D1101" s="108">
        <f>'APPENDIX PERS COSTS DETAILS'!F1243</f>
        <v>5729815</v>
      </c>
    </row>
    <row r="1102" spans="1:4" x14ac:dyDescent="0.25">
      <c r="A1102" s="30">
        <v>210201</v>
      </c>
      <c r="B1102" s="31" t="s">
        <v>54</v>
      </c>
      <c r="C1102" s="36"/>
      <c r="D1102" s="36"/>
    </row>
    <row r="1103" spans="1:4" x14ac:dyDescent="0.25">
      <c r="A1103" s="33">
        <v>21020101</v>
      </c>
      <c r="B1103" s="34" t="s">
        <v>55</v>
      </c>
      <c r="C1103" s="37"/>
      <c r="D1103" s="37"/>
    </row>
    <row r="1104" spans="1:4" x14ac:dyDescent="0.25">
      <c r="A1104" s="30">
        <v>21020200</v>
      </c>
      <c r="B1104" s="31" t="s">
        <v>56</v>
      </c>
      <c r="C1104" s="36"/>
      <c r="D1104" s="36"/>
    </row>
    <row r="1105" spans="1:4" x14ac:dyDescent="0.25">
      <c r="A1105" s="33">
        <v>21020201</v>
      </c>
      <c r="B1105" s="34" t="s">
        <v>122</v>
      </c>
      <c r="C1105" s="36"/>
      <c r="D1105" s="36"/>
    </row>
    <row r="1106" spans="1:4" x14ac:dyDescent="0.25">
      <c r="A1106" s="33">
        <v>21020202</v>
      </c>
      <c r="B1106" s="34" t="s">
        <v>123</v>
      </c>
      <c r="C1106" s="36"/>
      <c r="D1106" s="36"/>
    </row>
    <row r="1107" spans="1:4" x14ac:dyDescent="0.25">
      <c r="A1107" s="33">
        <v>21020203</v>
      </c>
      <c r="B1107" s="34" t="s">
        <v>57</v>
      </c>
      <c r="C1107" s="36"/>
      <c r="D1107" s="36"/>
    </row>
    <row r="1108" spans="1:4" x14ac:dyDescent="0.25">
      <c r="A1108" s="33">
        <v>21020204</v>
      </c>
      <c r="B1108" s="34" t="s">
        <v>58</v>
      </c>
      <c r="C1108" s="36"/>
      <c r="D1108" s="36"/>
    </row>
    <row r="1109" spans="1:4" x14ac:dyDescent="0.25">
      <c r="A1109" s="33">
        <v>21020205</v>
      </c>
      <c r="B1109" s="34" t="s">
        <v>59</v>
      </c>
      <c r="C1109" s="36"/>
      <c r="D1109" s="36"/>
    </row>
    <row r="1110" spans="1:4" x14ac:dyDescent="0.25">
      <c r="A1110" s="30">
        <v>21030100</v>
      </c>
      <c r="B1110" s="31" t="s">
        <v>60</v>
      </c>
      <c r="C1110" s="35"/>
      <c r="D1110" s="35"/>
    </row>
    <row r="1111" spans="1:4" x14ac:dyDescent="0.25">
      <c r="A1111" s="33">
        <v>21030101</v>
      </c>
      <c r="B1111" s="34" t="s">
        <v>61</v>
      </c>
      <c r="C1111" s="35"/>
      <c r="D1111" s="35"/>
    </row>
    <row r="1112" spans="1:4" x14ac:dyDescent="0.25">
      <c r="A1112" s="33">
        <v>21030102</v>
      </c>
      <c r="B1112" s="34" t="s">
        <v>62</v>
      </c>
      <c r="C1112" s="35"/>
      <c r="D1112" s="35"/>
    </row>
    <row r="1113" spans="1:4" x14ac:dyDescent="0.25">
      <c r="A1113" s="33">
        <v>21030103</v>
      </c>
      <c r="B1113" s="34" t="s">
        <v>63</v>
      </c>
      <c r="C1113" s="35"/>
      <c r="D1113" s="35"/>
    </row>
    <row r="1114" spans="1:4" ht="16.5" thickBot="1" x14ac:dyDescent="0.3">
      <c r="A1114" s="33"/>
      <c r="B1114" s="34"/>
      <c r="C1114" s="598"/>
      <c r="D1114" s="598"/>
    </row>
    <row r="1115" spans="1:4" ht="16.5" thickBot="1" x14ac:dyDescent="0.3">
      <c r="A1115" s="599"/>
      <c r="B1115" s="1960" t="s">
        <v>2</v>
      </c>
      <c r="C1115" s="601">
        <f>SUM(C1096:C1114)</f>
        <v>5729815</v>
      </c>
      <c r="D1115" s="1961">
        <f>SUM(D1096:D1114)</f>
        <v>5729815</v>
      </c>
    </row>
    <row r="1116" spans="1:4" s="26" customFormat="1" x14ac:dyDescent="0.25">
      <c r="A1116" s="3458"/>
      <c r="B1116" s="3458"/>
      <c r="C1116" s="3458"/>
      <c r="D1116" s="3458"/>
    </row>
    <row r="1117" spans="1:4" x14ac:dyDescent="0.25">
      <c r="A1117" s="3456" t="s">
        <v>1022</v>
      </c>
      <c r="B1117" s="3456"/>
      <c r="C1117" s="3456"/>
      <c r="D1117" s="3456"/>
    </row>
    <row r="1118" spans="1:4" ht="16.5" thickBot="1" x14ac:dyDescent="0.3">
      <c r="A1118" s="3457" t="s">
        <v>2794</v>
      </c>
      <c r="B1118" s="3457"/>
      <c r="C1118" s="3457"/>
      <c r="D1118" s="3457"/>
    </row>
    <row r="1119" spans="1:4" x14ac:dyDescent="0.25">
      <c r="A1119" s="577" t="s">
        <v>0</v>
      </c>
      <c r="B1119" s="578"/>
      <c r="C1119" s="577" t="s">
        <v>7</v>
      </c>
      <c r="D1119" s="579" t="s">
        <v>2447</v>
      </c>
    </row>
    <row r="1120" spans="1:4" s="38" customFormat="1" x14ac:dyDescent="0.2">
      <c r="A1120" s="580" t="s">
        <v>1</v>
      </c>
      <c r="B1120" s="581" t="s">
        <v>5</v>
      </c>
      <c r="C1120" s="580" t="s">
        <v>6</v>
      </c>
      <c r="D1120" s="580" t="s">
        <v>2448</v>
      </c>
    </row>
    <row r="1121" spans="1:4" s="38" customFormat="1" x14ac:dyDescent="0.2">
      <c r="A1121" s="582"/>
      <c r="B1121" s="583"/>
      <c r="C1121" s="580">
        <v>2020</v>
      </c>
      <c r="D1121" s="580">
        <v>2021</v>
      </c>
    </row>
    <row r="1122" spans="1:4" s="38" customFormat="1" ht="16.5" thickBot="1" x14ac:dyDescent="0.25">
      <c r="A1122" s="584"/>
      <c r="B1122" s="585"/>
      <c r="C1122" s="586" t="s">
        <v>4</v>
      </c>
      <c r="D1122" s="586" t="s">
        <v>4</v>
      </c>
    </row>
    <row r="1123" spans="1:4" x14ac:dyDescent="0.25">
      <c r="A1123" s="36"/>
      <c r="B1123" s="6" t="s">
        <v>1093</v>
      </c>
      <c r="C1123" s="35"/>
      <c r="D1123" s="35"/>
    </row>
    <row r="1124" spans="1:4" x14ac:dyDescent="0.25">
      <c r="A1124" s="30">
        <v>21010100</v>
      </c>
      <c r="B1124" s="31" t="s">
        <v>50</v>
      </c>
      <c r="C1124" s="108">
        <f>'APPENDIX PERS COSTS DETAILS'!D1267</f>
        <v>0</v>
      </c>
      <c r="D1124" s="108">
        <f>'APPENDIX PERS COSTS DETAILS'!F1267</f>
        <v>0</v>
      </c>
    </row>
    <row r="1125" spans="1:4" x14ac:dyDescent="0.25">
      <c r="A1125" s="33">
        <v>21010101</v>
      </c>
      <c r="B1125" s="34" t="s">
        <v>51</v>
      </c>
      <c r="C1125" s="36"/>
      <c r="D1125" s="36"/>
    </row>
    <row r="1126" spans="1:4" x14ac:dyDescent="0.25">
      <c r="A1126" s="33">
        <v>21010102</v>
      </c>
      <c r="B1126" s="34" t="s">
        <v>52</v>
      </c>
      <c r="C1126" s="36"/>
      <c r="D1126" s="36"/>
    </row>
    <row r="1127" spans="1:4" x14ac:dyDescent="0.25">
      <c r="A1127" s="33">
        <v>21010103</v>
      </c>
      <c r="B1127" s="34" t="s">
        <v>53</v>
      </c>
      <c r="C1127" s="108">
        <f>'APPENDIX PERS COSTS DETAILS'!D1270</f>
        <v>5729815</v>
      </c>
      <c r="D1127" s="108">
        <f>'APPENDIX PERS COSTS DETAILS'!F1270</f>
        <v>5729815</v>
      </c>
    </row>
    <row r="1128" spans="1:4" x14ac:dyDescent="0.25">
      <c r="A1128" s="30">
        <v>210201</v>
      </c>
      <c r="B1128" s="31" t="s">
        <v>54</v>
      </c>
      <c r="C1128" s="36"/>
      <c r="D1128" s="36"/>
    </row>
    <row r="1129" spans="1:4" x14ac:dyDescent="0.25">
      <c r="A1129" s="33">
        <v>21020101</v>
      </c>
      <c r="B1129" s="34" t="s">
        <v>55</v>
      </c>
      <c r="C1129" s="37"/>
      <c r="D1129" s="37"/>
    </row>
    <row r="1130" spans="1:4" x14ac:dyDescent="0.25">
      <c r="A1130" s="30">
        <v>21020200</v>
      </c>
      <c r="B1130" s="31" t="s">
        <v>56</v>
      </c>
      <c r="C1130" s="36"/>
      <c r="D1130" s="36"/>
    </row>
    <row r="1131" spans="1:4" x14ac:dyDescent="0.25">
      <c r="A1131" s="33">
        <v>21020201</v>
      </c>
      <c r="B1131" s="34" t="s">
        <v>122</v>
      </c>
      <c r="C1131" s="36"/>
      <c r="D1131" s="36"/>
    </row>
    <row r="1132" spans="1:4" x14ac:dyDescent="0.25">
      <c r="A1132" s="33">
        <v>21020202</v>
      </c>
      <c r="B1132" s="34" t="s">
        <v>123</v>
      </c>
      <c r="C1132" s="36"/>
      <c r="D1132" s="36"/>
    </row>
    <row r="1133" spans="1:4" x14ac:dyDescent="0.25">
      <c r="A1133" s="33">
        <v>21020203</v>
      </c>
      <c r="B1133" s="34" t="s">
        <v>57</v>
      </c>
      <c r="C1133" s="36"/>
      <c r="D1133" s="36"/>
    </row>
    <row r="1134" spans="1:4" x14ac:dyDescent="0.25">
      <c r="A1134" s="33">
        <v>21020204</v>
      </c>
      <c r="B1134" s="34" t="s">
        <v>58</v>
      </c>
      <c r="C1134" s="36"/>
      <c r="D1134" s="36"/>
    </row>
    <row r="1135" spans="1:4" x14ac:dyDescent="0.25">
      <c r="A1135" s="33">
        <v>21020205</v>
      </c>
      <c r="B1135" s="34" t="s">
        <v>59</v>
      </c>
      <c r="C1135" s="36"/>
      <c r="D1135" s="36"/>
    </row>
    <row r="1136" spans="1:4" x14ac:dyDescent="0.25">
      <c r="A1136" s="30">
        <v>21030100</v>
      </c>
      <c r="B1136" s="31" t="s">
        <v>60</v>
      </c>
      <c r="C1136" s="35"/>
      <c r="D1136" s="35"/>
    </row>
    <row r="1137" spans="1:4" x14ac:dyDescent="0.25">
      <c r="A1137" s="33">
        <v>21030101</v>
      </c>
      <c r="B1137" s="34" t="s">
        <v>61</v>
      </c>
      <c r="C1137" s="35"/>
      <c r="D1137" s="35"/>
    </row>
    <row r="1138" spans="1:4" x14ac:dyDescent="0.25">
      <c r="A1138" s="33">
        <v>21030102</v>
      </c>
      <c r="B1138" s="34" t="s">
        <v>62</v>
      </c>
      <c r="C1138" s="35"/>
      <c r="D1138" s="35"/>
    </row>
    <row r="1139" spans="1:4" x14ac:dyDescent="0.25">
      <c r="A1139" s="33">
        <v>21030103</v>
      </c>
      <c r="B1139" s="34" t="s">
        <v>63</v>
      </c>
      <c r="C1139" s="35"/>
      <c r="D1139" s="35"/>
    </row>
    <row r="1140" spans="1:4" ht="16.5" thickBot="1" x14ac:dyDescent="0.3">
      <c r="A1140" s="33"/>
      <c r="B1140" s="34"/>
      <c r="C1140" s="598"/>
      <c r="D1140" s="598"/>
    </row>
    <row r="1141" spans="1:4" ht="16.5" thickBot="1" x14ac:dyDescent="0.3">
      <c r="A1141" s="599"/>
      <c r="B1141" s="1960" t="s">
        <v>2</v>
      </c>
      <c r="C1141" s="610">
        <f>SUM(C1122:C1140)</f>
        <v>5729815</v>
      </c>
      <c r="D1141" s="602">
        <f>SUM(D1122:D1140)</f>
        <v>5729815</v>
      </c>
    </row>
    <row r="1142" spans="1:4" s="26" customFormat="1" x14ac:dyDescent="0.25">
      <c r="A1142" s="3458"/>
      <c r="B1142" s="3458"/>
      <c r="C1142" s="3458"/>
      <c r="D1142" s="3458"/>
    </row>
    <row r="1143" spans="1:4" x14ac:dyDescent="0.25">
      <c r="A1143" s="3456" t="s">
        <v>984</v>
      </c>
      <c r="B1143" s="3456"/>
      <c r="C1143" s="3456"/>
      <c r="D1143" s="3456"/>
    </row>
    <row r="1144" spans="1:4" ht="16.5" thickBot="1" x14ac:dyDescent="0.3">
      <c r="A1144" s="3457" t="s">
        <v>2795</v>
      </c>
      <c r="B1144" s="3457"/>
      <c r="C1144" s="3457"/>
      <c r="D1144" s="3457"/>
    </row>
    <row r="1145" spans="1:4" x14ac:dyDescent="0.25">
      <c r="A1145" s="577" t="s">
        <v>0</v>
      </c>
      <c r="B1145" s="578"/>
      <c r="C1145" s="577" t="s">
        <v>7</v>
      </c>
      <c r="D1145" s="579" t="s">
        <v>2447</v>
      </c>
    </row>
    <row r="1146" spans="1:4" s="38" customFormat="1" x14ac:dyDescent="0.2">
      <c r="A1146" s="580" t="s">
        <v>1</v>
      </c>
      <c r="B1146" s="581" t="s">
        <v>5</v>
      </c>
      <c r="C1146" s="580" t="s">
        <v>6</v>
      </c>
      <c r="D1146" s="580" t="s">
        <v>2448</v>
      </c>
    </row>
    <row r="1147" spans="1:4" s="38" customFormat="1" x14ac:dyDescent="0.2">
      <c r="A1147" s="582"/>
      <c r="B1147" s="583"/>
      <c r="C1147" s="580">
        <v>2020</v>
      </c>
      <c r="D1147" s="580">
        <v>2021</v>
      </c>
    </row>
    <row r="1148" spans="1:4" s="38" customFormat="1" ht="16.5" thickBot="1" x14ac:dyDescent="0.25">
      <c r="A1148" s="584"/>
      <c r="B1148" s="585"/>
      <c r="C1148" s="586" t="s">
        <v>4</v>
      </c>
      <c r="D1148" s="586" t="s">
        <v>4</v>
      </c>
    </row>
    <row r="1149" spans="1:4" s="38" customFormat="1" x14ac:dyDescent="0.2">
      <c r="A1149" s="48"/>
      <c r="B1149" s="52" t="s">
        <v>1093</v>
      </c>
      <c r="C1149" s="47"/>
      <c r="D1149" s="47"/>
    </row>
    <row r="1150" spans="1:4" s="38" customFormat="1" x14ac:dyDescent="0.2">
      <c r="A1150" s="42">
        <v>21010100</v>
      </c>
      <c r="B1150" s="43" t="s">
        <v>50</v>
      </c>
      <c r="C1150" s="106">
        <f>'APPENDIX PERS COSTS DETAILS'!D1293+'APPENDIX PERS COSTS DETAILS'!D1296</f>
        <v>92554155</v>
      </c>
      <c r="D1150" s="106">
        <f>'APPENDIX PERS COSTS DETAILS'!F1297</f>
        <v>87074695</v>
      </c>
    </row>
    <row r="1151" spans="1:4" s="38" customFormat="1" x14ac:dyDescent="0.2">
      <c r="A1151" s="45">
        <v>21010101</v>
      </c>
      <c r="B1151" s="46" t="s">
        <v>51</v>
      </c>
      <c r="C1151" s="48"/>
      <c r="D1151" s="48"/>
    </row>
    <row r="1152" spans="1:4" s="38" customFormat="1" x14ac:dyDescent="0.2">
      <c r="A1152" s="45">
        <v>21010102</v>
      </c>
      <c r="B1152" s="46" t="s">
        <v>52</v>
      </c>
      <c r="C1152" s="48"/>
      <c r="D1152" s="48"/>
    </row>
    <row r="1153" spans="1:4" s="38" customFormat="1" x14ac:dyDescent="0.2">
      <c r="A1153" s="45">
        <v>21010103</v>
      </c>
      <c r="B1153" s="46" t="s">
        <v>53</v>
      </c>
      <c r="C1153" s="106">
        <f>'APPENDIX PERS COSTS DETAILS'!D1302</f>
        <v>11245165</v>
      </c>
      <c r="D1153" s="106">
        <f>'APPENDIX PERS COSTS DETAILS'!F1302</f>
        <v>11245165</v>
      </c>
    </row>
    <row r="1154" spans="1:4" s="38" customFormat="1" x14ac:dyDescent="0.2">
      <c r="A1154" s="42">
        <v>210201</v>
      </c>
      <c r="B1154" s="43" t="s">
        <v>54</v>
      </c>
      <c r="C1154" s="48"/>
      <c r="D1154" s="48"/>
    </row>
    <row r="1155" spans="1:4" s="38" customFormat="1" x14ac:dyDescent="0.2">
      <c r="A1155" s="45">
        <v>21020101</v>
      </c>
      <c r="B1155" s="46" t="s">
        <v>55</v>
      </c>
      <c r="C1155" s="49"/>
      <c r="D1155" s="49"/>
    </row>
    <row r="1156" spans="1:4" s="38" customFormat="1" x14ac:dyDescent="0.2">
      <c r="A1156" s="42">
        <v>21020200</v>
      </c>
      <c r="B1156" s="43" t="s">
        <v>56</v>
      </c>
      <c r="C1156" s="48"/>
      <c r="D1156" s="48"/>
    </row>
    <row r="1157" spans="1:4" s="38" customFormat="1" x14ac:dyDescent="0.2">
      <c r="A1157" s="45">
        <v>21020201</v>
      </c>
      <c r="B1157" s="46" t="s">
        <v>122</v>
      </c>
      <c r="C1157" s="48"/>
      <c r="D1157" s="48"/>
    </row>
    <row r="1158" spans="1:4" s="38" customFormat="1" x14ac:dyDescent="0.2">
      <c r="A1158" s="45">
        <v>21020202</v>
      </c>
      <c r="B1158" s="46" t="s">
        <v>123</v>
      </c>
      <c r="C1158" s="48"/>
      <c r="D1158" s="48"/>
    </row>
    <row r="1159" spans="1:4" s="38" customFormat="1" x14ac:dyDescent="0.2">
      <c r="A1159" s="45">
        <v>21020203</v>
      </c>
      <c r="B1159" s="46" t="s">
        <v>57</v>
      </c>
      <c r="C1159" s="48"/>
      <c r="D1159" s="48"/>
    </row>
    <row r="1160" spans="1:4" s="38" customFormat="1" x14ac:dyDescent="0.2">
      <c r="A1160" s="45">
        <v>21020204</v>
      </c>
      <c r="B1160" s="46" t="s">
        <v>58</v>
      </c>
      <c r="C1160" s="48"/>
      <c r="D1160" s="48"/>
    </row>
    <row r="1161" spans="1:4" s="38" customFormat="1" x14ac:dyDescent="0.2">
      <c r="A1161" s="45">
        <v>21020205</v>
      </c>
      <c r="B1161" s="46" t="s">
        <v>59</v>
      </c>
      <c r="C1161" s="48"/>
      <c r="D1161" s="48"/>
    </row>
    <row r="1162" spans="1:4" s="38" customFormat="1" x14ac:dyDescent="0.2">
      <c r="A1162" s="42">
        <v>21030100</v>
      </c>
      <c r="B1162" s="43" t="s">
        <v>60</v>
      </c>
      <c r="C1162" s="47"/>
      <c r="D1162" s="47"/>
    </row>
    <row r="1163" spans="1:4" s="38" customFormat="1" x14ac:dyDescent="0.2">
      <c r="A1163" s="45">
        <v>21030101</v>
      </c>
      <c r="B1163" s="46" t="s">
        <v>61</v>
      </c>
      <c r="C1163" s="47"/>
      <c r="D1163" s="47"/>
    </row>
    <row r="1164" spans="1:4" s="38" customFormat="1" x14ac:dyDescent="0.2">
      <c r="A1164" s="45">
        <v>21030102</v>
      </c>
      <c r="B1164" s="46" t="s">
        <v>62</v>
      </c>
      <c r="C1164" s="47"/>
      <c r="D1164" s="47"/>
    </row>
    <row r="1165" spans="1:4" s="38" customFormat="1" x14ac:dyDescent="0.2">
      <c r="A1165" s="45">
        <v>21030103</v>
      </c>
      <c r="B1165" s="46" t="s">
        <v>63</v>
      </c>
      <c r="C1165" s="47"/>
      <c r="D1165" s="47"/>
    </row>
    <row r="1166" spans="1:4" s="38" customFormat="1" x14ac:dyDescent="0.2">
      <c r="A1166" s="42"/>
      <c r="B1166" s="43"/>
      <c r="C1166" s="50"/>
      <c r="D1166" s="50"/>
    </row>
    <row r="1167" spans="1:4" s="38" customFormat="1" x14ac:dyDescent="0.2">
      <c r="A1167" s="587"/>
      <c r="B1167" s="588" t="s">
        <v>2</v>
      </c>
      <c r="C1167" s="107">
        <f>SUM(C1148:C1166)</f>
        <v>103799320</v>
      </c>
      <c r="D1167" s="107">
        <f>SUM(D1148:D1166)</f>
        <v>98319860</v>
      </c>
    </row>
    <row r="1168" spans="1:4" s="38" customFormat="1" x14ac:dyDescent="0.25">
      <c r="A1168" s="3458"/>
      <c r="B1168" s="3458"/>
      <c r="C1168" s="3458"/>
      <c r="D1168" s="3458"/>
    </row>
    <row r="1169" spans="1:4" x14ac:dyDescent="0.25">
      <c r="A1169" s="3456" t="s">
        <v>3129</v>
      </c>
      <c r="B1169" s="3456"/>
      <c r="C1169" s="3456"/>
      <c r="D1169" s="3456"/>
    </row>
    <row r="1170" spans="1:4" ht="16.5" thickBot="1" x14ac:dyDescent="0.3">
      <c r="A1170" s="3457" t="s">
        <v>2796</v>
      </c>
      <c r="B1170" s="3457"/>
      <c r="C1170" s="3457"/>
      <c r="D1170" s="3457"/>
    </row>
    <row r="1171" spans="1:4" x14ac:dyDescent="0.25">
      <c r="A1171" s="577" t="s">
        <v>0</v>
      </c>
      <c r="B1171" s="578"/>
      <c r="C1171" s="577" t="s">
        <v>7</v>
      </c>
      <c r="D1171" s="579" t="s">
        <v>2447</v>
      </c>
    </row>
    <row r="1172" spans="1:4" s="38" customFormat="1" x14ac:dyDescent="0.2">
      <c r="A1172" s="580" t="s">
        <v>1</v>
      </c>
      <c r="B1172" s="581" t="s">
        <v>5</v>
      </c>
      <c r="C1172" s="580" t="s">
        <v>6</v>
      </c>
      <c r="D1172" s="580" t="s">
        <v>2448</v>
      </c>
    </row>
    <row r="1173" spans="1:4" s="38" customFormat="1" x14ac:dyDescent="0.2">
      <c r="A1173" s="582"/>
      <c r="B1173" s="583"/>
      <c r="C1173" s="580">
        <v>2020</v>
      </c>
      <c r="D1173" s="580">
        <v>2021</v>
      </c>
    </row>
    <row r="1174" spans="1:4" s="38" customFormat="1" ht="16.5" thickBot="1" x14ac:dyDescent="0.25">
      <c r="A1174" s="584"/>
      <c r="B1174" s="585"/>
      <c r="C1174" s="586" t="s">
        <v>4</v>
      </c>
      <c r="D1174" s="586" t="s">
        <v>4</v>
      </c>
    </row>
    <row r="1175" spans="1:4" s="38" customFormat="1" x14ac:dyDescent="0.2">
      <c r="A1175" s="48"/>
      <c r="B1175" s="52" t="s">
        <v>1093</v>
      </c>
      <c r="C1175" s="47"/>
      <c r="D1175" s="47"/>
    </row>
    <row r="1176" spans="1:4" s="38" customFormat="1" x14ac:dyDescent="0.2">
      <c r="A1176" s="42">
        <v>21010100</v>
      </c>
      <c r="B1176" s="43" t="s">
        <v>50</v>
      </c>
      <c r="C1176" s="106">
        <f>'APPENDIX PERS COSTS DETAILS'!D1333</f>
        <v>197439955.55999997</v>
      </c>
      <c r="D1176" s="106">
        <f>'APPENDIX PERS COSTS DETAILS'!F1333</f>
        <v>205948761.63</v>
      </c>
    </row>
    <row r="1177" spans="1:4" s="38" customFormat="1" x14ac:dyDescent="0.2">
      <c r="A1177" s="45">
        <v>21010101</v>
      </c>
      <c r="B1177" s="46" t="s">
        <v>51</v>
      </c>
      <c r="C1177" s="48"/>
      <c r="D1177" s="48"/>
    </row>
    <row r="1178" spans="1:4" s="38" customFormat="1" x14ac:dyDescent="0.2">
      <c r="A1178" s="45">
        <v>21010102</v>
      </c>
      <c r="B1178" s="46" t="s">
        <v>52</v>
      </c>
      <c r="C1178" s="48"/>
      <c r="D1178" s="48"/>
    </row>
    <row r="1179" spans="1:4" s="38" customFormat="1" x14ac:dyDescent="0.2">
      <c r="A1179" s="45">
        <v>21010103</v>
      </c>
      <c r="B1179" s="46" t="s">
        <v>53</v>
      </c>
      <c r="C1179" s="106"/>
      <c r="D1179" s="106"/>
    </row>
    <row r="1180" spans="1:4" s="38" customFormat="1" x14ac:dyDescent="0.2">
      <c r="A1180" s="42">
        <v>210201</v>
      </c>
      <c r="B1180" s="43" t="s">
        <v>54</v>
      </c>
      <c r="C1180" s="48"/>
      <c r="D1180" s="48"/>
    </row>
    <row r="1181" spans="1:4" s="38" customFormat="1" x14ac:dyDescent="0.2">
      <c r="A1181" s="45">
        <v>21020101</v>
      </c>
      <c r="B1181" s="46" t="s">
        <v>55</v>
      </c>
      <c r="C1181" s="49"/>
      <c r="D1181" s="49"/>
    </row>
    <row r="1182" spans="1:4" s="38" customFormat="1" x14ac:dyDescent="0.2">
      <c r="A1182" s="42">
        <v>21020200</v>
      </c>
      <c r="B1182" s="43" t="s">
        <v>56</v>
      </c>
      <c r="C1182" s="48"/>
      <c r="D1182" s="48"/>
    </row>
    <row r="1183" spans="1:4" s="38" customFormat="1" x14ac:dyDescent="0.2">
      <c r="A1183" s="45">
        <v>21020201</v>
      </c>
      <c r="B1183" s="46" t="s">
        <v>122</v>
      </c>
      <c r="C1183" s="48"/>
      <c r="D1183" s="48"/>
    </row>
    <row r="1184" spans="1:4" s="38" customFormat="1" x14ac:dyDescent="0.2">
      <c r="A1184" s="45">
        <v>21020202</v>
      </c>
      <c r="B1184" s="46" t="s">
        <v>123</v>
      </c>
      <c r="C1184" s="48"/>
      <c r="D1184" s="48"/>
    </row>
    <row r="1185" spans="1:4" s="38" customFormat="1" x14ac:dyDescent="0.2">
      <c r="A1185" s="45">
        <v>21020203</v>
      </c>
      <c r="B1185" s="46" t="s">
        <v>57</v>
      </c>
      <c r="C1185" s="48"/>
      <c r="D1185" s="48"/>
    </row>
    <row r="1186" spans="1:4" s="38" customFormat="1" x14ac:dyDescent="0.2">
      <c r="A1186" s="45">
        <v>21020204</v>
      </c>
      <c r="B1186" s="46" t="s">
        <v>58</v>
      </c>
      <c r="C1186" s="48"/>
      <c r="D1186" s="48"/>
    </row>
    <row r="1187" spans="1:4" s="38" customFormat="1" x14ac:dyDescent="0.2">
      <c r="A1187" s="45">
        <v>21020205</v>
      </c>
      <c r="B1187" s="46" t="s">
        <v>59</v>
      </c>
      <c r="C1187" s="48"/>
      <c r="D1187" s="48"/>
    </row>
    <row r="1188" spans="1:4" s="38" customFormat="1" x14ac:dyDescent="0.2">
      <c r="A1188" s="42">
        <v>21030100</v>
      </c>
      <c r="B1188" s="43" t="s">
        <v>60</v>
      </c>
      <c r="C1188" s="47"/>
      <c r="D1188" s="47"/>
    </row>
    <row r="1189" spans="1:4" s="38" customFormat="1" x14ac:dyDescent="0.2">
      <c r="A1189" s="45">
        <v>21030101</v>
      </c>
      <c r="B1189" s="46" t="s">
        <v>61</v>
      </c>
      <c r="C1189" s="47"/>
      <c r="D1189" s="47"/>
    </row>
    <row r="1190" spans="1:4" s="38" customFormat="1" x14ac:dyDescent="0.2">
      <c r="A1190" s="45">
        <v>21030102</v>
      </c>
      <c r="B1190" s="46" t="s">
        <v>62</v>
      </c>
      <c r="C1190" s="47"/>
      <c r="D1190" s="47"/>
    </row>
    <row r="1191" spans="1:4" s="38" customFormat="1" x14ac:dyDescent="0.2">
      <c r="A1191" s="45">
        <v>21030103</v>
      </c>
      <c r="B1191" s="46" t="s">
        <v>63</v>
      </c>
      <c r="C1191" s="47"/>
      <c r="D1191" s="47"/>
    </row>
    <row r="1192" spans="1:4" s="38" customFormat="1" x14ac:dyDescent="0.2">
      <c r="A1192" s="42"/>
      <c r="B1192" s="43"/>
      <c r="C1192" s="50"/>
      <c r="D1192" s="50"/>
    </row>
    <row r="1193" spans="1:4" s="38" customFormat="1" x14ac:dyDescent="0.2">
      <c r="A1193" s="587"/>
      <c r="B1193" s="588" t="s">
        <v>2</v>
      </c>
      <c r="C1193" s="107">
        <f>SUM(C1174:C1192)</f>
        <v>197439955.55999997</v>
      </c>
      <c r="D1193" s="107">
        <f>SUM(D1174:D1192)</f>
        <v>205948761.63</v>
      </c>
    </row>
    <row r="1194" spans="1:4" s="38" customFormat="1" x14ac:dyDescent="0.2">
      <c r="A1194" s="589"/>
      <c r="B1194" s="590"/>
      <c r="C1194" s="112"/>
      <c r="D1194" s="112"/>
    </row>
    <row r="1195" spans="1:4" s="38" customFormat="1" x14ac:dyDescent="0.25">
      <c r="A1195" s="3456" t="s">
        <v>2753</v>
      </c>
      <c r="B1195" s="3456"/>
      <c r="C1195" s="3456"/>
      <c r="D1195" s="3456"/>
    </row>
    <row r="1196" spans="1:4" ht="16.5" thickBot="1" x14ac:dyDescent="0.3">
      <c r="A1196" s="3459" t="s">
        <v>2797</v>
      </c>
      <c r="B1196" s="3459"/>
      <c r="C1196" s="3459"/>
      <c r="D1196" s="3459"/>
    </row>
    <row r="1197" spans="1:4" x14ac:dyDescent="0.25">
      <c r="A1197" s="577" t="s">
        <v>0</v>
      </c>
      <c r="B1197" s="578"/>
      <c r="C1197" s="577" t="s">
        <v>7</v>
      </c>
      <c r="D1197" s="579" t="s">
        <v>2447</v>
      </c>
    </row>
    <row r="1198" spans="1:4" s="38" customFormat="1" x14ac:dyDescent="0.2">
      <c r="A1198" s="580" t="s">
        <v>1</v>
      </c>
      <c r="B1198" s="581" t="s">
        <v>5</v>
      </c>
      <c r="C1198" s="580" t="s">
        <v>6</v>
      </c>
      <c r="D1198" s="580" t="s">
        <v>2448</v>
      </c>
    </row>
    <row r="1199" spans="1:4" s="38" customFormat="1" x14ac:dyDescent="0.2">
      <c r="A1199" s="582"/>
      <c r="B1199" s="583"/>
      <c r="C1199" s="580">
        <v>2020</v>
      </c>
      <c r="D1199" s="580">
        <v>2021</v>
      </c>
    </row>
    <row r="1200" spans="1:4" s="38" customFormat="1" ht="16.5" thickBot="1" x14ac:dyDescent="0.25">
      <c r="A1200" s="584"/>
      <c r="B1200" s="585"/>
      <c r="C1200" s="586" t="s">
        <v>4</v>
      </c>
      <c r="D1200" s="586" t="s">
        <v>4</v>
      </c>
    </row>
    <row r="1201" spans="1:4" s="38" customFormat="1" x14ac:dyDescent="0.25">
      <c r="A1201" s="28"/>
      <c r="B1201" s="7" t="s">
        <v>1093</v>
      </c>
      <c r="C1201" s="29"/>
      <c r="D1201" s="29"/>
    </row>
    <row r="1202" spans="1:4" s="38" customFormat="1" x14ac:dyDescent="0.25">
      <c r="A1202" s="30">
        <v>21010100</v>
      </c>
      <c r="B1202" s="31" t="s">
        <v>50</v>
      </c>
      <c r="C1202" s="108">
        <f>'APPENDIX PERS COSTS DETAILS'!C1356</f>
        <v>0</v>
      </c>
      <c r="D1202" s="108">
        <f>'APPENDIX PERS COSTS DETAILS'!F1356</f>
        <v>0</v>
      </c>
    </row>
    <row r="1203" spans="1:4" s="38" customFormat="1" x14ac:dyDescent="0.25">
      <c r="A1203" s="33">
        <v>21010101</v>
      </c>
      <c r="B1203" s="34" t="s">
        <v>51</v>
      </c>
      <c r="C1203" s="48"/>
      <c r="D1203" s="48"/>
    </row>
    <row r="1204" spans="1:4" s="38" customFormat="1" x14ac:dyDescent="0.25">
      <c r="A1204" s="33">
        <v>21010102</v>
      </c>
      <c r="B1204" s="34" t="s">
        <v>52</v>
      </c>
      <c r="C1204" s="36"/>
      <c r="D1204" s="36"/>
    </row>
    <row r="1205" spans="1:4" s="38" customFormat="1" x14ac:dyDescent="0.25">
      <c r="A1205" s="33">
        <v>21010103</v>
      </c>
      <c r="B1205" s="34" t="s">
        <v>53</v>
      </c>
      <c r="C1205" s="108">
        <f>'APPENDIX PERS COSTS DETAILS'!D1361</f>
        <v>5729815</v>
      </c>
      <c r="D1205" s="108">
        <f>'APPENDIX PERS COSTS DETAILS'!F1361</f>
        <v>5729815</v>
      </c>
    </row>
    <row r="1206" spans="1:4" s="38" customFormat="1" x14ac:dyDescent="0.25">
      <c r="A1206" s="30">
        <v>210201</v>
      </c>
      <c r="B1206" s="31" t="s">
        <v>54</v>
      </c>
      <c r="C1206" s="36"/>
      <c r="D1206" s="36"/>
    </row>
    <row r="1207" spans="1:4" s="38" customFormat="1" x14ac:dyDescent="0.25">
      <c r="A1207" s="33">
        <v>21020101</v>
      </c>
      <c r="B1207" s="34" t="s">
        <v>55</v>
      </c>
      <c r="C1207" s="37"/>
      <c r="D1207" s="37"/>
    </row>
    <row r="1208" spans="1:4" s="38" customFormat="1" x14ac:dyDescent="0.25">
      <c r="A1208" s="30">
        <v>21020200</v>
      </c>
      <c r="B1208" s="31" t="s">
        <v>56</v>
      </c>
      <c r="C1208" s="36"/>
      <c r="D1208" s="36"/>
    </row>
    <row r="1209" spans="1:4" s="38" customFormat="1" x14ac:dyDescent="0.25">
      <c r="A1209" s="33">
        <v>21020201</v>
      </c>
      <c r="B1209" s="34" t="s">
        <v>122</v>
      </c>
      <c r="C1209" s="36"/>
      <c r="D1209" s="36"/>
    </row>
    <row r="1210" spans="1:4" s="38" customFormat="1" x14ac:dyDescent="0.25">
      <c r="A1210" s="33">
        <v>21020202</v>
      </c>
      <c r="B1210" s="34" t="s">
        <v>123</v>
      </c>
      <c r="C1210" s="36"/>
      <c r="D1210" s="36"/>
    </row>
    <row r="1211" spans="1:4" s="38" customFormat="1" x14ac:dyDescent="0.25">
      <c r="A1211" s="33">
        <v>21020203</v>
      </c>
      <c r="B1211" s="34" t="s">
        <v>57</v>
      </c>
      <c r="C1211" s="36"/>
      <c r="D1211" s="36"/>
    </row>
    <row r="1212" spans="1:4" s="38" customFormat="1" x14ac:dyDescent="0.25">
      <c r="A1212" s="33">
        <v>21020204</v>
      </c>
      <c r="B1212" s="34" t="s">
        <v>58</v>
      </c>
      <c r="C1212" s="36"/>
      <c r="D1212" s="36"/>
    </row>
    <row r="1213" spans="1:4" s="38" customFormat="1" x14ac:dyDescent="0.25">
      <c r="A1213" s="33">
        <v>21020205</v>
      </c>
      <c r="B1213" s="34" t="s">
        <v>59</v>
      </c>
      <c r="C1213" s="36"/>
      <c r="D1213" s="36"/>
    </row>
    <row r="1214" spans="1:4" s="38" customFormat="1" x14ac:dyDescent="0.25">
      <c r="A1214" s="30">
        <v>21030100</v>
      </c>
      <c r="B1214" s="31" t="s">
        <v>60</v>
      </c>
      <c r="C1214" s="35"/>
      <c r="D1214" s="35"/>
    </row>
    <row r="1215" spans="1:4" s="38" customFormat="1" x14ac:dyDescent="0.25">
      <c r="A1215" s="33">
        <v>21030101</v>
      </c>
      <c r="B1215" s="34" t="s">
        <v>61</v>
      </c>
      <c r="C1215" s="35"/>
      <c r="D1215" s="35"/>
    </row>
    <row r="1216" spans="1:4" s="38" customFormat="1" x14ac:dyDescent="0.25">
      <c r="A1216" s="33">
        <v>21030102</v>
      </c>
      <c r="B1216" s="34" t="s">
        <v>62</v>
      </c>
      <c r="C1216" s="35"/>
      <c r="D1216" s="35"/>
    </row>
    <row r="1217" spans="1:4" s="38" customFormat="1" ht="16.5" thickBot="1" x14ac:dyDescent="0.3">
      <c r="A1217" s="33">
        <v>21030103</v>
      </c>
      <c r="B1217" s="34" t="s">
        <v>63</v>
      </c>
      <c r="C1217" s="1964"/>
      <c r="D1217" s="1964"/>
    </row>
    <row r="1218" spans="1:4" s="38" customFormat="1" ht="16.5" thickBot="1" x14ac:dyDescent="0.3">
      <c r="A1218" s="593"/>
      <c r="B1218" s="600" t="s">
        <v>2</v>
      </c>
      <c r="C1218" s="610">
        <f>SUM(C1202:C1217)</f>
        <v>5729815</v>
      </c>
      <c r="D1218" s="602">
        <f>SUM(D1202:D1217)</f>
        <v>5729815</v>
      </c>
    </row>
    <row r="1219" spans="1:4" s="38" customFormat="1" x14ac:dyDescent="0.25">
      <c r="A1219" s="603"/>
      <c r="B1219" s="604"/>
      <c r="C1219" s="114"/>
      <c r="D1219" s="114"/>
    </row>
    <row r="1220" spans="1:4" x14ac:dyDescent="0.25">
      <c r="A1220" s="3456" t="s">
        <v>2744</v>
      </c>
      <c r="B1220" s="3456"/>
      <c r="C1220" s="3456"/>
      <c r="D1220" s="3456"/>
    </row>
    <row r="1221" spans="1:4" ht="16.5" thickBot="1" x14ac:dyDescent="0.3">
      <c r="A1221" s="3459" t="s">
        <v>2798</v>
      </c>
      <c r="B1221" s="3459"/>
      <c r="C1221" s="3459"/>
      <c r="D1221" s="3459"/>
    </row>
    <row r="1222" spans="1:4" x14ac:dyDescent="0.25">
      <c r="A1222" s="577" t="s">
        <v>0</v>
      </c>
      <c r="B1222" s="578"/>
      <c r="C1222" s="577" t="s">
        <v>7</v>
      </c>
      <c r="D1222" s="579" t="s">
        <v>2447</v>
      </c>
    </row>
    <row r="1223" spans="1:4" s="38" customFormat="1" x14ac:dyDescent="0.2">
      <c r="A1223" s="580" t="s">
        <v>1</v>
      </c>
      <c r="B1223" s="581" t="s">
        <v>5</v>
      </c>
      <c r="C1223" s="580" t="s">
        <v>6</v>
      </c>
      <c r="D1223" s="580" t="s">
        <v>2448</v>
      </c>
    </row>
    <row r="1224" spans="1:4" s="38" customFormat="1" x14ac:dyDescent="0.2">
      <c r="A1224" s="582"/>
      <c r="B1224" s="583"/>
      <c r="C1224" s="580">
        <v>2020</v>
      </c>
      <c r="D1224" s="580">
        <v>2021</v>
      </c>
    </row>
    <row r="1225" spans="1:4" s="38" customFormat="1" ht="16.5" thickBot="1" x14ac:dyDescent="0.25">
      <c r="A1225" s="584"/>
      <c r="B1225" s="585"/>
      <c r="C1225" s="586" t="s">
        <v>4</v>
      </c>
      <c r="D1225" s="586" t="s">
        <v>4</v>
      </c>
    </row>
    <row r="1226" spans="1:4" s="38" customFormat="1" x14ac:dyDescent="0.25">
      <c r="A1226" s="28"/>
      <c r="B1226" s="7" t="s">
        <v>1093</v>
      </c>
      <c r="C1226" s="29"/>
      <c r="D1226" s="29"/>
    </row>
    <row r="1227" spans="1:4" s="38" customFormat="1" x14ac:dyDescent="0.25">
      <c r="A1227" s="30">
        <v>21010100</v>
      </c>
      <c r="B1227" s="31" t="s">
        <v>50</v>
      </c>
      <c r="C1227" s="108">
        <f>'APPENDIX PERS COSTS DETAILS'!D1388</f>
        <v>42870385</v>
      </c>
      <c r="D1227" s="108">
        <f>'APPENDIX PERS COSTS DETAILS'!F1388</f>
        <v>46372946</v>
      </c>
    </row>
    <row r="1228" spans="1:4" s="38" customFormat="1" x14ac:dyDescent="0.25">
      <c r="A1228" s="33">
        <v>21010101</v>
      </c>
      <c r="B1228" s="34" t="s">
        <v>51</v>
      </c>
      <c r="C1228" s="48"/>
      <c r="D1228" s="48"/>
    </row>
    <row r="1229" spans="1:4" s="38" customFormat="1" x14ac:dyDescent="0.25">
      <c r="A1229" s="33">
        <v>21010102</v>
      </c>
      <c r="B1229" s="34" t="s">
        <v>52</v>
      </c>
      <c r="C1229" s="36"/>
      <c r="D1229" s="36"/>
    </row>
    <row r="1230" spans="1:4" s="38" customFormat="1" x14ac:dyDescent="0.25">
      <c r="A1230" s="33">
        <v>21010103</v>
      </c>
      <c r="B1230" s="34" t="s">
        <v>53</v>
      </c>
      <c r="C1230" s="108"/>
      <c r="D1230" s="108"/>
    </row>
    <row r="1231" spans="1:4" s="38" customFormat="1" x14ac:dyDescent="0.25">
      <c r="A1231" s="30">
        <v>210201</v>
      </c>
      <c r="B1231" s="31" t="s">
        <v>54</v>
      </c>
      <c r="C1231" s="36"/>
      <c r="D1231" s="36"/>
    </row>
    <row r="1232" spans="1:4" s="38" customFormat="1" x14ac:dyDescent="0.25">
      <c r="A1232" s="33">
        <v>21020101</v>
      </c>
      <c r="B1232" s="34" t="s">
        <v>55</v>
      </c>
      <c r="C1232" s="37"/>
      <c r="D1232" s="37"/>
    </row>
    <row r="1233" spans="1:4" s="38" customFormat="1" x14ac:dyDescent="0.25">
      <c r="A1233" s="30">
        <v>21020200</v>
      </c>
      <c r="B1233" s="31" t="s">
        <v>56</v>
      </c>
      <c r="C1233" s="36"/>
      <c r="D1233" s="36"/>
    </row>
    <row r="1234" spans="1:4" s="38" customFormat="1" x14ac:dyDescent="0.25">
      <c r="A1234" s="33">
        <v>21020201</v>
      </c>
      <c r="B1234" s="34" t="s">
        <v>122</v>
      </c>
      <c r="C1234" s="36"/>
      <c r="D1234" s="36"/>
    </row>
    <row r="1235" spans="1:4" s="38" customFormat="1" x14ac:dyDescent="0.25">
      <c r="A1235" s="33">
        <v>21020202</v>
      </c>
      <c r="B1235" s="34" t="s">
        <v>123</v>
      </c>
      <c r="C1235" s="36"/>
      <c r="D1235" s="36"/>
    </row>
    <row r="1236" spans="1:4" s="38" customFormat="1" x14ac:dyDescent="0.25">
      <c r="A1236" s="33">
        <v>21020203</v>
      </c>
      <c r="B1236" s="34" t="s">
        <v>57</v>
      </c>
      <c r="C1236" s="36"/>
      <c r="D1236" s="36"/>
    </row>
    <row r="1237" spans="1:4" s="38" customFormat="1" x14ac:dyDescent="0.25">
      <c r="A1237" s="33">
        <v>21020204</v>
      </c>
      <c r="B1237" s="34" t="s">
        <v>58</v>
      </c>
      <c r="C1237" s="36"/>
      <c r="D1237" s="36"/>
    </row>
    <row r="1238" spans="1:4" s="38" customFormat="1" x14ac:dyDescent="0.25">
      <c r="A1238" s="33">
        <v>21020205</v>
      </c>
      <c r="B1238" s="34" t="s">
        <v>59</v>
      </c>
      <c r="C1238" s="36"/>
      <c r="D1238" s="36"/>
    </row>
    <row r="1239" spans="1:4" s="38" customFormat="1" x14ac:dyDescent="0.25">
      <c r="A1239" s="30">
        <v>21030100</v>
      </c>
      <c r="B1239" s="31" t="s">
        <v>60</v>
      </c>
      <c r="C1239" s="35"/>
      <c r="D1239" s="35"/>
    </row>
    <row r="1240" spans="1:4" s="38" customFormat="1" x14ac:dyDescent="0.25">
      <c r="A1240" s="33">
        <v>21030101</v>
      </c>
      <c r="B1240" s="34" t="s">
        <v>61</v>
      </c>
      <c r="C1240" s="35"/>
      <c r="D1240" s="35"/>
    </row>
    <row r="1241" spans="1:4" s="38" customFormat="1" x14ac:dyDescent="0.25">
      <c r="A1241" s="33">
        <v>21030102</v>
      </c>
      <c r="B1241" s="34" t="s">
        <v>62</v>
      </c>
      <c r="C1241" s="35"/>
      <c r="D1241" s="35"/>
    </row>
    <row r="1242" spans="1:4" s="38" customFormat="1" ht="16.5" thickBot="1" x14ac:dyDescent="0.3">
      <c r="A1242" s="33">
        <v>21030103</v>
      </c>
      <c r="B1242" s="34" t="s">
        <v>63</v>
      </c>
      <c r="C1242" s="1964"/>
      <c r="D1242" s="1964"/>
    </row>
    <row r="1243" spans="1:4" s="38" customFormat="1" ht="16.5" thickBot="1" x14ac:dyDescent="0.3">
      <c r="A1243" s="593"/>
      <c r="B1243" s="600" t="s">
        <v>2</v>
      </c>
      <c r="C1243" s="610">
        <f>SUM(C1227:C1242)</f>
        <v>42870385</v>
      </c>
      <c r="D1243" s="602">
        <f>SUM(D1227:D1242)</f>
        <v>46372946</v>
      </c>
    </row>
    <row r="1244" spans="1:4" s="38" customFormat="1" x14ac:dyDescent="0.25">
      <c r="A1244" s="603"/>
      <c r="B1244" s="604"/>
      <c r="C1244" s="114"/>
      <c r="D1244" s="114"/>
    </row>
    <row r="1245" spans="1:4" x14ac:dyDescent="0.25">
      <c r="A1245" s="3456" t="s">
        <v>162</v>
      </c>
      <c r="B1245" s="3456"/>
      <c r="C1245" s="3456"/>
      <c r="D1245" s="3456"/>
    </row>
    <row r="1246" spans="1:4" ht="16.5" thickBot="1" x14ac:dyDescent="0.3">
      <c r="A1246" s="3456" t="s">
        <v>2799</v>
      </c>
      <c r="B1246" s="3456"/>
      <c r="C1246" s="3456"/>
      <c r="D1246" s="3456"/>
    </row>
    <row r="1247" spans="1:4" x14ac:dyDescent="0.25">
      <c r="A1247" s="577" t="s">
        <v>0</v>
      </c>
      <c r="B1247" s="578"/>
      <c r="C1247" s="577" t="s">
        <v>7</v>
      </c>
      <c r="D1247" s="579" t="s">
        <v>2447</v>
      </c>
    </row>
    <row r="1248" spans="1:4" s="38" customFormat="1" x14ac:dyDescent="0.2">
      <c r="A1248" s="580" t="s">
        <v>1</v>
      </c>
      <c r="B1248" s="581" t="s">
        <v>5</v>
      </c>
      <c r="C1248" s="580" t="s">
        <v>6</v>
      </c>
      <c r="D1248" s="580" t="s">
        <v>2448</v>
      </c>
    </row>
    <row r="1249" spans="1:4" s="38" customFormat="1" x14ac:dyDescent="0.2">
      <c r="A1249" s="582"/>
      <c r="B1249" s="583"/>
      <c r="C1249" s="580">
        <v>2020</v>
      </c>
      <c r="D1249" s="580">
        <v>2021</v>
      </c>
    </row>
    <row r="1250" spans="1:4" s="38" customFormat="1" ht="16.5" thickBot="1" x14ac:dyDescent="0.25">
      <c r="A1250" s="584"/>
      <c r="B1250" s="585"/>
      <c r="C1250" s="586" t="s">
        <v>4</v>
      </c>
      <c r="D1250" s="586" t="s">
        <v>4</v>
      </c>
    </row>
    <row r="1251" spans="1:4" x14ac:dyDescent="0.25">
      <c r="A1251" s="36"/>
      <c r="B1251" s="6" t="s">
        <v>1093</v>
      </c>
      <c r="C1251" s="35"/>
      <c r="D1251" s="35"/>
    </row>
    <row r="1252" spans="1:4" x14ac:dyDescent="0.25">
      <c r="A1252" s="30">
        <v>21010100</v>
      </c>
      <c r="B1252" s="31" t="s">
        <v>50</v>
      </c>
      <c r="C1252" s="108">
        <f>'APPENDIX PERS COSTS DETAILS'!D1411</f>
        <v>25220000</v>
      </c>
      <c r="D1252" s="108">
        <f>'APPENDIX PERS COSTS DETAILS'!F1411</f>
        <v>27554740</v>
      </c>
    </row>
    <row r="1253" spans="1:4" x14ac:dyDescent="0.25">
      <c r="A1253" s="33">
        <v>21010101</v>
      </c>
      <c r="B1253" s="34" t="s">
        <v>51</v>
      </c>
      <c r="C1253" s="36"/>
      <c r="D1253" s="36"/>
    </row>
    <row r="1254" spans="1:4" x14ac:dyDescent="0.25">
      <c r="A1254" s="33">
        <v>21010102</v>
      </c>
      <c r="B1254" s="34" t="s">
        <v>52</v>
      </c>
      <c r="C1254" s="36"/>
      <c r="D1254" s="36"/>
    </row>
    <row r="1255" spans="1:4" x14ac:dyDescent="0.25">
      <c r="A1255" s="33">
        <v>21010103</v>
      </c>
      <c r="B1255" s="34" t="s">
        <v>53</v>
      </c>
      <c r="C1255" s="108">
        <f>'APPENDIX PERS COSTS DETAILS'!D1416</f>
        <v>11245165</v>
      </c>
      <c r="D1255" s="108">
        <f>'APPENDIX PERS COSTS DETAILS'!F1416</f>
        <v>11245165</v>
      </c>
    </row>
    <row r="1256" spans="1:4" x14ac:dyDescent="0.25">
      <c r="A1256" s="30">
        <v>210201</v>
      </c>
      <c r="B1256" s="31" t="s">
        <v>54</v>
      </c>
      <c r="C1256" s="36"/>
      <c r="D1256" s="36"/>
    </row>
    <row r="1257" spans="1:4" x14ac:dyDescent="0.25">
      <c r="A1257" s="33">
        <v>21020101</v>
      </c>
      <c r="B1257" s="34" t="s">
        <v>55</v>
      </c>
      <c r="C1257" s="37"/>
      <c r="D1257" s="37"/>
    </row>
    <row r="1258" spans="1:4" x14ac:dyDescent="0.25">
      <c r="A1258" s="30">
        <v>21020200</v>
      </c>
      <c r="B1258" s="31" t="s">
        <v>56</v>
      </c>
      <c r="C1258" s="36"/>
      <c r="D1258" s="36"/>
    </row>
    <row r="1259" spans="1:4" x14ac:dyDescent="0.25">
      <c r="A1259" s="33">
        <v>21020201</v>
      </c>
      <c r="B1259" s="34" t="s">
        <v>122</v>
      </c>
      <c r="C1259" s="36"/>
      <c r="D1259" s="36"/>
    </row>
    <row r="1260" spans="1:4" x14ac:dyDescent="0.25">
      <c r="A1260" s="33">
        <v>21020202</v>
      </c>
      <c r="B1260" s="34" t="s">
        <v>123</v>
      </c>
      <c r="C1260" s="36"/>
      <c r="D1260" s="36"/>
    </row>
    <row r="1261" spans="1:4" x14ac:dyDescent="0.25">
      <c r="A1261" s="33">
        <v>21020203</v>
      </c>
      <c r="B1261" s="34" t="s">
        <v>57</v>
      </c>
      <c r="C1261" s="36"/>
      <c r="D1261" s="36"/>
    </row>
    <row r="1262" spans="1:4" x14ac:dyDescent="0.25">
      <c r="A1262" s="33">
        <v>21020204</v>
      </c>
      <c r="B1262" s="34" t="s">
        <v>58</v>
      </c>
      <c r="C1262" s="36"/>
      <c r="D1262" s="36"/>
    </row>
    <row r="1263" spans="1:4" x14ac:dyDescent="0.25">
      <c r="A1263" s="33">
        <v>21020205</v>
      </c>
      <c r="B1263" s="34" t="s">
        <v>59</v>
      </c>
      <c r="C1263" s="36"/>
      <c r="D1263" s="36"/>
    </row>
    <row r="1264" spans="1:4" x14ac:dyDescent="0.25">
      <c r="A1264" s="30">
        <v>21030100</v>
      </c>
      <c r="B1264" s="31" t="s">
        <v>60</v>
      </c>
      <c r="C1264" s="35"/>
      <c r="D1264" s="35"/>
    </row>
    <row r="1265" spans="1:4" x14ac:dyDescent="0.25">
      <c r="A1265" s="33">
        <v>21030101</v>
      </c>
      <c r="B1265" s="34" t="s">
        <v>61</v>
      </c>
      <c r="C1265" s="35"/>
      <c r="D1265" s="35"/>
    </row>
    <row r="1266" spans="1:4" x14ac:dyDescent="0.25">
      <c r="A1266" s="33">
        <v>21030102</v>
      </c>
      <c r="B1266" s="34" t="s">
        <v>62</v>
      </c>
      <c r="C1266" s="35"/>
      <c r="D1266" s="35"/>
    </row>
    <row r="1267" spans="1:4" x14ac:dyDescent="0.25">
      <c r="A1267" s="33">
        <v>21030103</v>
      </c>
      <c r="B1267" s="34" t="s">
        <v>63</v>
      </c>
      <c r="C1267" s="35"/>
      <c r="D1267" s="35"/>
    </row>
    <row r="1268" spans="1:4" ht="16.5" thickBot="1" x14ac:dyDescent="0.3">
      <c r="A1268" s="30"/>
      <c r="B1268" s="31"/>
      <c r="C1268" s="1965"/>
      <c r="D1268" s="1965"/>
    </row>
    <row r="1269" spans="1:4" ht="16.5" thickBot="1" x14ac:dyDescent="0.3">
      <c r="A1269" s="593"/>
      <c r="B1269" s="600" t="s">
        <v>2</v>
      </c>
      <c r="C1269" s="601">
        <f>SUM(C1250:C1268)</f>
        <v>36465165</v>
      </c>
      <c r="D1269" s="1961">
        <f>SUM(D1251:D1268)</f>
        <v>38799905</v>
      </c>
    </row>
    <row r="1270" spans="1:4" x14ac:dyDescent="0.25">
      <c r="A1270" s="3458"/>
      <c r="B1270" s="3458"/>
      <c r="C1270" s="3458"/>
      <c r="D1270" s="3458"/>
    </row>
    <row r="1271" spans="1:4" x14ac:dyDescent="0.25">
      <c r="A1271" s="3456" t="s">
        <v>163</v>
      </c>
      <c r="B1271" s="3456"/>
      <c r="C1271" s="3456"/>
      <c r="D1271" s="3456"/>
    </row>
    <row r="1272" spans="1:4" s="26" customFormat="1" ht="16.5" thickBot="1" x14ac:dyDescent="0.3">
      <c r="A1272" s="3456" t="s">
        <v>2800</v>
      </c>
      <c r="B1272" s="3456"/>
      <c r="C1272" s="3456"/>
      <c r="D1272" s="3456"/>
    </row>
    <row r="1273" spans="1:4" x14ac:dyDescent="0.25">
      <c r="A1273" s="577" t="s">
        <v>0</v>
      </c>
      <c r="B1273" s="578"/>
      <c r="C1273" s="577" t="s">
        <v>7</v>
      </c>
      <c r="D1273" s="579" t="s">
        <v>2447</v>
      </c>
    </row>
    <row r="1274" spans="1:4" s="38" customFormat="1" x14ac:dyDescent="0.2">
      <c r="A1274" s="580" t="s">
        <v>1</v>
      </c>
      <c r="B1274" s="581" t="s">
        <v>5</v>
      </c>
      <c r="C1274" s="580" t="s">
        <v>6</v>
      </c>
      <c r="D1274" s="580" t="s">
        <v>2448</v>
      </c>
    </row>
    <row r="1275" spans="1:4" s="38" customFormat="1" x14ac:dyDescent="0.2">
      <c r="A1275" s="582"/>
      <c r="B1275" s="583"/>
      <c r="C1275" s="580">
        <v>2020</v>
      </c>
      <c r="D1275" s="580">
        <v>2021</v>
      </c>
    </row>
    <row r="1276" spans="1:4" s="38" customFormat="1" ht="16.5" thickBot="1" x14ac:dyDescent="0.25">
      <c r="A1276" s="584"/>
      <c r="B1276" s="585"/>
      <c r="C1276" s="586" t="s">
        <v>4</v>
      </c>
      <c r="D1276" s="586" t="s">
        <v>4</v>
      </c>
    </row>
    <row r="1277" spans="1:4" x14ac:dyDescent="0.25">
      <c r="A1277" s="36"/>
      <c r="B1277" s="6" t="s">
        <v>1093</v>
      </c>
      <c r="C1277" s="35"/>
      <c r="D1277" s="35"/>
    </row>
    <row r="1278" spans="1:4" x14ac:dyDescent="0.25">
      <c r="A1278" s="30">
        <v>21010100</v>
      </c>
      <c r="B1278" s="31" t="s">
        <v>50</v>
      </c>
      <c r="C1278" s="108">
        <f>'APPENDIX PERS COSTS DETAILS'!D1438</f>
        <v>247879640</v>
      </c>
      <c r="D1278" s="108">
        <f>'APPENDIX PERS COSTS DETAILS'!F1438</f>
        <v>275878833.88</v>
      </c>
    </row>
    <row r="1279" spans="1:4" x14ac:dyDescent="0.25">
      <c r="A1279" s="33">
        <v>21010101</v>
      </c>
      <c r="B1279" s="34" t="s">
        <v>51</v>
      </c>
      <c r="C1279" s="36"/>
      <c r="D1279" s="36"/>
    </row>
    <row r="1280" spans="1:4" x14ac:dyDescent="0.25">
      <c r="A1280" s="33">
        <v>21010102</v>
      </c>
      <c r="B1280" s="34" t="s">
        <v>52</v>
      </c>
      <c r="C1280" s="36"/>
      <c r="D1280" s="36"/>
    </row>
    <row r="1281" spans="1:4" x14ac:dyDescent="0.25">
      <c r="A1281" s="33">
        <v>21010103</v>
      </c>
      <c r="B1281" s="34" t="s">
        <v>53</v>
      </c>
      <c r="C1281" s="108">
        <f>'APPENDIX PERS COSTS DETAILS'!D1443</f>
        <v>11245165</v>
      </c>
      <c r="D1281" s="108">
        <f>'APPENDIX PERS COSTS DETAILS'!F1443</f>
        <v>11245165</v>
      </c>
    </row>
    <row r="1282" spans="1:4" x14ac:dyDescent="0.25">
      <c r="A1282" s="30">
        <v>210201</v>
      </c>
      <c r="B1282" s="31" t="s">
        <v>54</v>
      </c>
      <c r="C1282" s="36"/>
      <c r="D1282" s="36"/>
    </row>
    <row r="1283" spans="1:4" x14ac:dyDescent="0.25">
      <c r="A1283" s="33">
        <v>21020101</v>
      </c>
      <c r="B1283" s="34" t="s">
        <v>55</v>
      </c>
      <c r="C1283" s="37"/>
      <c r="D1283" s="37"/>
    </row>
    <row r="1284" spans="1:4" x14ac:dyDescent="0.25">
      <c r="A1284" s="30">
        <v>21020200</v>
      </c>
      <c r="B1284" s="31" t="s">
        <v>56</v>
      </c>
      <c r="C1284" s="36"/>
      <c r="D1284" s="36"/>
    </row>
    <row r="1285" spans="1:4" x14ac:dyDescent="0.25">
      <c r="A1285" s="33">
        <v>21020201</v>
      </c>
      <c r="B1285" s="34" t="s">
        <v>122</v>
      </c>
      <c r="C1285" s="36"/>
      <c r="D1285" s="36"/>
    </row>
    <row r="1286" spans="1:4" x14ac:dyDescent="0.25">
      <c r="A1286" s="33">
        <v>21020202</v>
      </c>
      <c r="B1286" s="34" t="s">
        <v>123</v>
      </c>
      <c r="C1286" s="36"/>
      <c r="D1286" s="36"/>
    </row>
    <row r="1287" spans="1:4" x14ac:dyDescent="0.25">
      <c r="A1287" s="33">
        <v>21020203</v>
      </c>
      <c r="B1287" s="34" t="s">
        <v>57</v>
      </c>
      <c r="C1287" s="36"/>
      <c r="D1287" s="36"/>
    </row>
    <row r="1288" spans="1:4" x14ac:dyDescent="0.25">
      <c r="A1288" s="33">
        <v>21020204</v>
      </c>
      <c r="B1288" s="34" t="s">
        <v>58</v>
      </c>
      <c r="C1288" s="36"/>
      <c r="D1288" s="36"/>
    </row>
    <row r="1289" spans="1:4" x14ac:dyDescent="0.25">
      <c r="A1289" s="33">
        <v>21020205</v>
      </c>
      <c r="B1289" s="34" t="s">
        <v>59</v>
      </c>
      <c r="C1289" s="36"/>
      <c r="D1289" s="36"/>
    </row>
    <row r="1290" spans="1:4" x14ac:dyDescent="0.25">
      <c r="A1290" s="30">
        <v>21030100</v>
      </c>
      <c r="B1290" s="31" t="s">
        <v>60</v>
      </c>
      <c r="C1290" s="35"/>
      <c r="D1290" s="35"/>
    </row>
    <row r="1291" spans="1:4" x14ac:dyDescent="0.25">
      <c r="A1291" s="33">
        <v>21030101</v>
      </c>
      <c r="B1291" s="34" t="s">
        <v>61</v>
      </c>
      <c r="C1291" s="35"/>
      <c r="D1291" s="35"/>
    </row>
    <row r="1292" spans="1:4" x14ac:dyDescent="0.25">
      <c r="A1292" s="33">
        <v>21030102</v>
      </c>
      <c r="B1292" s="34" t="s">
        <v>62</v>
      </c>
      <c r="C1292" s="35"/>
      <c r="D1292" s="35"/>
    </row>
    <row r="1293" spans="1:4" x14ac:dyDescent="0.25">
      <c r="A1293" s="33">
        <v>21030103</v>
      </c>
      <c r="B1293" s="34" t="s">
        <v>63</v>
      </c>
      <c r="C1293" s="35"/>
      <c r="D1293" s="35"/>
    </row>
    <row r="1294" spans="1:4" x14ac:dyDescent="0.25">
      <c r="A1294" s="33"/>
      <c r="B1294" s="34"/>
      <c r="C1294" s="37"/>
      <c r="D1294" s="37"/>
    </row>
    <row r="1295" spans="1:4" x14ac:dyDescent="0.25">
      <c r="A1295" s="599"/>
      <c r="B1295" s="607" t="s">
        <v>2</v>
      </c>
      <c r="C1295" s="111">
        <f>SUM(C1276:C1294)</f>
        <v>259124805</v>
      </c>
      <c r="D1295" s="111">
        <f>SUM(D1276:D1294)</f>
        <v>287123998.88</v>
      </c>
    </row>
    <row r="1296" spans="1:4" x14ac:dyDescent="0.25">
      <c r="A1296" s="3458"/>
      <c r="B1296" s="3458"/>
      <c r="C1296" s="3458"/>
      <c r="D1296" s="3458"/>
    </row>
    <row r="1297" spans="1:4" x14ac:dyDescent="0.25">
      <c r="A1297" s="3456" t="s">
        <v>2754</v>
      </c>
      <c r="B1297" s="3456"/>
      <c r="C1297" s="3456"/>
      <c r="D1297" s="3456"/>
    </row>
    <row r="1298" spans="1:4" s="26" customFormat="1" ht="16.5" thickBot="1" x14ac:dyDescent="0.3">
      <c r="A1298" s="3456" t="s">
        <v>2801</v>
      </c>
      <c r="B1298" s="3456"/>
      <c r="C1298" s="3456"/>
      <c r="D1298" s="3456"/>
    </row>
    <row r="1299" spans="1:4" x14ac:dyDescent="0.25">
      <c r="A1299" s="577" t="s">
        <v>0</v>
      </c>
      <c r="B1299" s="578"/>
      <c r="C1299" s="577" t="s">
        <v>7</v>
      </c>
      <c r="D1299" s="579" t="s">
        <v>2447</v>
      </c>
    </row>
    <row r="1300" spans="1:4" s="38" customFormat="1" x14ac:dyDescent="0.2">
      <c r="A1300" s="580" t="s">
        <v>1</v>
      </c>
      <c r="B1300" s="581" t="s">
        <v>5</v>
      </c>
      <c r="C1300" s="580" t="s">
        <v>6</v>
      </c>
      <c r="D1300" s="580" t="s">
        <v>2448</v>
      </c>
    </row>
    <row r="1301" spans="1:4" s="38" customFormat="1" x14ac:dyDescent="0.2">
      <c r="A1301" s="582"/>
      <c r="B1301" s="583"/>
      <c r="C1301" s="580">
        <v>2020</v>
      </c>
      <c r="D1301" s="580">
        <v>2021</v>
      </c>
    </row>
    <row r="1302" spans="1:4" s="38" customFormat="1" ht="16.5" thickBot="1" x14ac:dyDescent="0.25">
      <c r="A1302" s="584"/>
      <c r="B1302" s="585"/>
      <c r="C1302" s="586" t="s">
        <v>4</v>
      </c>
      <c r="D1302" s="586" t="s">
        <v>4</v>
      </c>
    </row>
    <row r="1303" spans="1:4" x14ac:dyDescent="0.25">
      <c r="A1303" s="36"/>
      <c r="B1303" s="6" t="s">
        <v>1093</v>
      </c>
      <c r="C1303" s="35"/>
      <c r="D1303" s="35"/>
    </row>
    <row r="1304" spans="1:4" x14ac:dyDescent="0.25">
      <c r="A1304" s="30">
        <v>21010100</v>
      </c>
      <c r="B1304" s="31" t="s">
        <v>50</v>
      </c>
      <c r="C1304" s="108">
        <f>'APPENDIX PERS COSTS DETAILS'!D1469</f>
        <v>68726685</v>
      </c>
      <c r="D1304" s="108">
        <f>'APPENDIX PERS COSTS DETAILS'!F1469</f>
        <v>73598046</v>
      </c>
    </row>
    <row r="1305" spans="1:4" x14ac:dyDescent="0.25">
      <c r="A1305" s="33">
        <v>21010101</v>
      </c>
      <c r="B1305" s="34" t="s">
        <v>51</v>
      </c>
      <c r="C1305" s="36"/>
      <c r="D1305" s="36"/>
    </row>
    <row r="1306" spans="1:4" x14ac:dyDescent="0.25">
      <c r="A1306" s="33">
        <v>21010102</v>
      </c>
      <c r="B1306" s="34" t="s">
        <v>52</v>
      </c>
      <c r="C1306" s="36"/>
      <c r="D1306" s="36"/>
    </row>
    <row r="1307" spans="1:4" x14ac:dyDescent="0.25">
      <c r="A1307" s="33">
        <v>21010103</v>
      </c>
      <c r="B1307" s="34" t="s">
        <v>53</v>
      </c>
      <c r="C1307" s="108"/>
      <c r="D1307" s="108"/>
    </row>
    <row r="1308" spans="1:4" x14ac:dyDescent="0.25">
      <c r="A1308" s="30">
        <v>210201</v>
      </c>
      <c r="B1308" s="31" t="s">
        <v>54</v>
      </c>
      <c r="C1308" s="36"/>
      <c r="D1308" s="36"/>
    </row>
    <row r="1309" spans="1:4" x14ac:dyDescent="0.25">
      <c r="A1309" s="33">
        <v>21020101</v>
      </c>
      <c r="B1309" s="34" t="s">
        <v>55</v>
      </c>
      <c r="C1309" s="37"/>
      <c r="D1309" s="37"/>
    </row>
    <row r="1310" spans="1:4" x14ac:dyDescent="0.25">
      <c r="A1310" s="30">
        <v>21020200</v>
      </c>
      <c r="B1310" s="31" t="s">
        <v>56</v>
      </c>
      <c r="C1310" s="36"/>
      <c r="D1310" s="36"/>
    </row>
    <row r="1311" spans="1:4" x14ac:dyDescent="0.25">
      <c r="A1311" s="33">
        <v>21020201</v>
      </c>
      <c r="B1311" s="34" t="s">
        <v>122</v>
      </c>
      <c r="C1311" s="36"/>
      <c r="D1311" s="36"/>
    </row>
    <row r="1312" spans="1:4" x14ac:dyDescent="0.25">
      <c r="A1312" s="33">
        <v>21020202</v>
      </c>
      <c r="B1312" s="34" t="s">
        <v>123</v>
      </c>
      <c r="C1312" s="36"/>
      <c r="D1312" s="36"/>
    </row>
    <row r="1313" spans="1:4" x14ac:dyDescent="0.25">
      <c r="A1313" s="33">
        <v>21020203</v>
      </c>
      <c r="B1313" s="34" t="s">
        <v>57</v>
      </c>
      <c r="C1313" s="36"/>
      <c r="D1313" s="36"/>
    </row>
    <row r="1314" spans="1:4" x14ac:dyDescent="0.25">
      <c r="A1314" s="33">
        <v>21020204</v>
      </c>
      <c r="B1314" s="34" t="s">
        <v>58</v>
      </c>
      <c r="C1314" s="36"/>
      <c r="D1314" s="36"/>
    </row>
    <row r="1315" spans="1:4" x14ac:dyDescent="0.25">
      <c r="A1315" s="33">
        <v>21020205</v>
      </c>
      <c r="B1315" s="34" t="s">
        <v>59</v>
      </c>
      <c r="C1315" s="36"/>
      <c r="D1315" s="36"/>
    </row>
    <row r="1316" spans="1:4" x14ac:dyDescent="0.25">
      <c r="A1316" s="30">
        <v>21030100</v>
      </c>
      <c r="B1316" s="31" t="s">
        <v>60</v>
      </c>
      <c r="C1316" s="35"/>
      <c r="D1316" s="35"/>
    </row>
    <row r="1317" spans="1:4" x14ac:dyDescent="0.25">
      <c r="A1317" s="33">
        <v>21030101</v>
      </c>
      <c r="B1317" s="34" t="s">
        <v>61</v>
      </c>
      <c r="C1317" s="35"/>
      <c r="D1317" s="35"/>
    </row>
    <row r="1318" spans="1:4" x14ac:dyDescent="0.25">
      <c r="A1318" s="33">
        <v>21030102</v>
      </c>
      <c r="B1318" s="34" t="s">
        <v>62</v>
      </c>
      <c r="C1318" s="35"/>
      <c r="D1318" s="35"/>
    </row>
    <row r="1319" spans="1:4" x14ac:dyDescent="0.25">
      <c r="A1319" s="33">
        <v>21030103</v>
      </c>
      <c r="B1319" s="34" t="s">
        <v>63</v>
      </c>
      <c r="C1319" s="35"/>
      <c r="D1319" s="35"/>
    </row>
    <row r="1320" spans="1:4" x14ac:dyDescent="0.25">
      <c r="A1320" s="33"/>
      <c r="B1320" s="34"/>
      <c r="C1320" s="37"/>
      <c r="D1320" s="37"/>
    </row>
    <row r="1321" spans="1:4" x14ac:dyDescent="0.25">
      <c r="A1321" s="599"/>
      <c r="B1321" s="607" t="s">
        <v>2</v>
      </c>
      <c r="C1321" s="111">
        <f>SUM(C1302:C1320)</f>
        <v>68726685</v>
      </c>
      <c r="D1321" s="111">
        <f>SUM(D1302:D1320)</f>
        <v>73598046</v>
      </c>
    </row>
    <row r="1322" spans="1:4" x14ac:dyDescent="0.25">
      <c r="A1322" s="3456"/>
      <c r="B1322" s="3456"/>
      <c r="C1322" s="3456"/>
      <c r="D1322" s="3456"/>
    </row>
    <row r="1323" spans="1:4" x14ac:dyDescent="0.25">
      <c r="A1323" s="3456" t="s">
        <v>1407</v>
      </c>
      <c r="B1323" s="3456"/>
      <c r="C1323" s="3456"/>
      <c r="D1323" s="3456"/>
    </row>
    <row r="1324" spans="1:4" s="26" customFormat="1" ht="16.5" thickBot="1" x14ac:dyDescent="0.3">
      <c r="A1324" s="3456" t="s">
        <v>2802</v>
      </c>
      <c r="B1324" s="3456"/>
      <c r="C1324" s="3456"/>
      <c r="D1324" s="3456"/>
    </row>
    <row r="1325" spans="1:4" x14ac:dyDescent="0.25">
      <c r="A1325" s="577" t="s">
        <v>0</v>
      </c>
      <c r="B1325" s="578"/>
      <c r="C1325" s="577" t="s">
        <v>7</v>
      </c>
      <c r="D1325" s="579" t="s">
        <v>2447</v>
      </c>
    </row>
    <row r="1326" spans="1:4" s="38" customFormat="1" x14ac:dyDescent="0.2">
      <c r="A1326" s="580" t="s">
        <v>1</v>
      </c>
      <c r="B1326" s="581" t="s">
        <v>5</v>
      </c>
      <c r="C1326" s="580" t="s">
        <v>6</v>
      </c>
      <c r="D1326" s="580" t="s">
        <v>2448</v>
      </c>
    </row>
    <row r="1327" spans="1:4" s="38" customFormat="1" x14ac:dyDescent="0.2">
      <c r="A1327" s="582"/>
      <c r="B1327" s="583"/>
      <c r="C1327" s="580">
        <v>2020</v>
      </c>
      <c r="D1327" s="580">
        <v>2021</v>
      </c>
    </row>
    <row r="1328" spans="1:4" s="38" customFormat="1" ht="16.5" thickBot="1" x14ac:dyDescent="0.25">
      <c r="A1328" s="584"/>
      <c r="B1328" s="585"/>
      <c r="C1328" s="586" t="s">
        <v>4</v>
      </c>
      <c r="D1328" s="586" t="s">
        <v>4</v>
      </c>
    </row>
    <row r="1329" spans="1:4" x14ac:dyDescent="0.25">
      <c r="A1329" s="36"/>
      <c r="B1329" s="6" t="s">
        <v>1093</v>
      </c>
      <c r="C1329" s="35"/>
      <c r="D1329" s="35"/>
    </row>
    <row r="1330" spans="1:4" x14ac:dyDescent="0.25">
      <c r="A1330" s="30">
        <v>21010100</v>
      </c>
      <c r="B1330" s="31" t="s">
        <v>50</v>
      </c>
      <c r="C1330" s="108">
        <f>'APPENDIX PERS COSTS DETAILS'!D1494</f>
        <v>34575835</v>
      </c>
      <c r="D1330" s="108">
        <f>'APPENDIX PERS COSTS DETAILS'!F1494</f>
        <v>35155160.140000001</v>
      </c>
    </row>
    <row r="1331" spans="1:4" x14ac:dyDescent="0.25">
      <c r="A1331" s="33">
        <v>21010101</v>
      </c>
      <c r="B1331" s="34" t="s">
        <v>51</v>
      </c>
      <c r="C1331" s="36"/>
      <c r="D1331" s="36"/>
    </row>
    <row r="1332" spans="1:4" x14ac:dyDescent="0.25">
      <c r="A1332" s="33">
        <v>21010102</v>
      </c>
      <c r="B1332" s="34" t="s">
        <v>52</v>
      </c>
      <c r="C1332" s="36"/>
      <c r="D1332" s="36"/>
    </row>
    <row r="1333" spans="1:4" x14ac:dyDescent="0.25">
      <c r="A1333" s="33">
        <v>21010103</v>
      </c>
      <c r="B1333" s="34" t="s">
        <v>53</v>
      </c>
      <c r="C1333" s="108"/>
      <c r="D1333" s="108"/>
    </row>
    <row r="1334" spans="1:4" x14ac:dyDescent="0.25">
      <c r="A1334" s="30">
        <v>210201</v>
      </c>
      <c r="B1334" s="31" t="s">
        <v>54</v>
      </c>
      <c r="C1334" s="36"/>
      <c r="D1334" s="36"/>
    </row>
    <row r="1335" spans="1:4" x14ac:dyDescent="0.25">
      <c r="A1335" s="33">
        <v>21020101</v>
      </c>
      <c r="B1335" s="34" t="s">
        <v>55</v>
      </c>
      <c r="C1335" s="37"/>
      <c r="D1335" s="37"/>
    </row>
    <row r="1336" spans="1:4" x14ac:dyDescent="0.25">
      <c r="A1336" s="30">
        <v>21020200</v>
      </c>
      <c r="B1336" s="31" t="s">
        <v>56</v>
      </c>
      <c r="C1336" s="36"/>
      <c r="D1336" s="36"/>
    </row>
    <row r="1337" spans="1:4" x14ac:dyDescent="0.25">
      <c r="A1337" s="33">
        <v>21020201</v>
      </c>
      <c r="B1337" s="34" t="s">
        <v>122</v>
      </c>
      <c r="C1337" s="36"/>
      <c r="D1337" s="36"/>
    </row>
    <row r="1338" spans="1:4" x14ac:dyDescent="0.25">
      <c r="A1338" s="33">
        <v>21020202</v>
      </c>
      <c r="B1338" s="34" t="s">
        <v>123</v>
      </c>
      <c r="C1338" s="36"/>
      <c r="D1338" s="36"/>
    </row>
    <row r="1339" spans="1:4" x14ac:dyDescent="0.25">
      <c r="A1339" s="33">
        <v>21020203</v>
      </c>
      <c r="B1339" s="34" t="s">
        <v>57</v>
      </c>
      <c r="C1339" s="36"/>
      <c r="D1339" s="36"/>
    </row>
    <row r="1340" spans="1:4" x14ac:dyDescent="0.25">
      <c r="A1340" s="33">
        <v>21020204</v>
      </c>
      <c r="B1340" s="34" t="s">
        <v>58</v>
      </c>
      <c r="C1340" s="36"/>
      <c r="D1340" s="36"/>
    </row>
    <row r="1341" spans="1:4" x14ac:dyDescent="0.25">
      <c r="A1341" s="33">
        <v>21020205</v>
      </c>
      <c r="B1341" s="34" t="s">
        <v>59</v>
      </c>
      <c r="C1341" s="36"/>
      <c r="D1341" s="36"/>
    </row>
    <row r="1342" spans="1:4" x14ac:dyDescent="0.25">
      <c r="A1342" s="30">
        <v>21030100</v>
      </c>
      <c r="B1342" s="31" t="s">
        <v>60</v>
      </c>
      <c r="C1342" s="35"/>
      <c r="D1342" s="35"/>
    </row>
    <row r="1343" spans="1:4" x14ac:dyDescent="0.25">
      <c r="A1343" s="33">
        <v>21030101</v>
      </c>
      <c r="B1343" s="34" t="s">
        <v>61</v>
      </c>
      <c r="C1343" s="35"/>
      <c r="D1343" s="35"/>
    </row>
    <row r="1344" spans="1:4" x14ac:dyDescent="0.25">
      <c r="A1344" s="33">
        <v>21030102</v>
      </c>
      <c r="B1344" s="34" t="s">
        <v>62</v>
      </c>
      <c r="C1344" s="35"/>
      <c r="D1344" s="35"/>
    </row>
    <row r="1345" spans="1:4" x14ac:dyDescent="0.25">
      <c r="A1345" s="33">
        <v>21030103</v>
      </c>
      <c r="B1345" s="34" t="s">
        <v>63</v>
      </c>
      <c r="C1345" s="35"/>
      <c r="D1345" s="35"/>
    </row>
    <row r="1346" spans="1:4" x14ac:dyDescent="0.25">
      <c r="A1346" s="33"/>
      <c r="B1346" s="34"/>
      <c r="C1346" s="37"/>
      <c r="D1346" s="37"/>
    </row>
    <row r="1347" spans="1:4" x14ac:dyDescent="0.25">
      <c r="A1347" s="599"/>
      <c r="B1347" s="607" t="s">
        <v>2</v>
      </c>
      <c r="C1347" s="111">
        <f>SUM(C1328:C1346)</f>
        <v>34575835</v>
      </c>
      <c r="D1347" s="111">
        <f>SUM(D1328:D1346)</f>
        <v>35155160.140000001</v>
      </c>
    </row>
    <row r="1348" spans="1:4" x14ac:dyDescent="0.25">
      <c r="A1348" s="3456"/>
      <c r="B1348" s="3456"/>
      <c r="C1348" s="3456"/>
      <c r="D1348" s="3456"/>
    </row>
    <row r="1349" spans="1:4" x14ac:dyDescent="0.25">
      <c r="A1349" s="3456" t="s">
        <v>165</v>
      </c>
      <c r="B1349" s="3456"/>
      <c r="C1349" s="3456"/>
      <c r="D1349" s="3456"/>
    </row>
    <row r="1350" spans="1:4" s="26" customFormat="1" ht="16.5" thickBot="1" x14ac:dyDescent="0.3">
      <c r="A1350" s="3457" t="s">
        <v>2803</v>
      </c>
      <c r="B1350" s="3457"/>
      <c r="C1350" s="3457"/>
      <c r="D1350" s="3457"/>
    </row>
    <row r="1351" spans="1:4" x14ac:dyDescent="0.25">
      <c r="A1351" s="577" t="s">
        <v>0</v>
      </c>
      <c r="B1351" s="578"/>
      <c r="C1351" s="577" t="s">
        <v>7</v>
      </c>
      <c r="D1351" s="579" t="s">
        <v>2447</v>
      </c>
    </row>
    <row r="1352" spans="1:4" s="38" customFormat="1" x14ac:dyDescent="0.2">
      <c r="A1352" s="580" t="s">
        <v>1</v>
      </c>
      <c r="B1352" s="581" t="s">
        <v>5</v>
      </c>
      <c r="C1352" s="580" t="s">
        <v>6</v>
      </c>
      <c r="D1352" s="580" t="s">
        <v>2448</v>
      </c>
    </row>
    <row r="1353" spans="1:4" s="38" customFormat="1" x14ac:dyDescent="0.2">
      <c r="A1353" s="582"/>
      <c r="B1353" s="583"/>
      <c r="C1353" s="580">
        <v>2020</v>
      </c>
      <c r="D1353" s="580">
        <v>2021</v>
      </c>
    </row>
    <row r="1354" spans="1:4" s="38" customFormat="1" ht="16.5" thickBot="1" x14ac:dyDescent="0.25">
      <c r="A1354" s="584"/>
      <c r="B1354" s="585"/>
      <c r="C1354" s="586" t="s">
        <v>4</v>
      </c>
      <c r="D1354" s="586" t="s">
        <v>4</v>
      </c>
    </row>
    <row r="1355" spans="1:4" x14ac:dyDescent="0.25">
      <c r="A1355" s="36"/>
      <c r="B1355" s="6" t="s">
        <v>1093</v>
      </c>
      <c r="C1355" s="35"/>
      <c r="D1355" s="35"/>
    </row>
    <row r="1356" spans="1:4" x14ac:dyDescent="0.25">
      <c r="A1356" s="30">
        <v>21010100</v>
      </c>
      <c r="B1356" s="31" t="s">
        <v>50</v>
      </c>
      <c r="C1356" s="108">
        <f>'APPENDIX PERS COSTS DETAILS'!D1518</f>
        <v>98083815</v>
      </c>
      <c r="D1356" s="108">
        <f>'APPENDIX PERS COSTS DETAILS'!F1518</f>
        <v>101583815</v>
      </c>
    </row>
    <row r="1357" spans="1:4" x14ac:dyDescent="0.25">
      <c r="A1357" s="33">
        <v>21010101</v>
      </c>
      <c r="B1357" s="34" t="s">
        <v>51</v>
      </c>
      <c r="C1357" s="36"/>
      <c r="D1357" s="36"/>
    </row>
    <row r="1358" spans="1:4" x14ac:dyDescent="0.25">
      <c r="A1358" s="33">
        <v>21010102</v>
      </c>
      <c r="B1358" s="34" t="s">
        <v>52</v>
      </c>
      <c r="C1358" s="6"/>
      <c r="D1358" s="6"/>
    </row>
    <row r="1359" spans="1:4" x14ac:dyDescent="0.25">
      <c r="A1359" s="33">
        <v>21010103</v>
      </c>
      <c r="B1359" s="34" t="s">
        <v>53</v>
      </c>
      <c r="C1359" s="108">
        <f>'APPENDIX PERS COSTS DETAILS'!D1523</f>
        <v>11245165</v>
      </c>
      <c r="D1359" s="108">
        <f>'APPENDIX PERS COSTS DETAILS'!F1523</f>
        <v>11245165</v>
      </c>
    </row>
    <row r="1360" spans="1:4" x14ac:dyDescent="0.25">
      <c r="A1360" s="30">
        <v>210201</v>
      </c>
      <c r="B1360" s="31" t="s">
        <v>54</v>
      </c>
      <c r="C1360" s="36"/>
      <c r="D1360" s="36"/>
    </row>
    <row r="1361" spans="1:4" x14ac:dyDescent="0.25">
      <c r="A1361" s="33">
        <v>21020101</v>
      </c>
      <c r="B1361" s="34" t="s">
        <v>55</v>
      </c>
      <c r="C1361" s="37"/>
      <c r="D1361" s="37"/>
    </row>
    <row r="1362" spans="1:4" x14ac:dyDescent="0.25">
      <c r="A1362" s="30">
        <v>21020200</v>
      </c>
      <c r="B1362" s="31" t="s">
        <v>56</v>
      </c>
      <c r="C1362" s="36"/>
      <c r="D1362" s="36"/>
    </row>
    <row r="1363" spans="1:4" x14ac:dyDescent="0.25">
      <c r="A1363" s="33">
        <v>21020201</v>
      </c>
      <c r="B1363" s="34" t="s">
        <v>122</v>
      </c>
      <c r="C1363" s="36"/>
      <c r="D1363" s="36"/>
    </row>
    <row r="1364" spans="1:4" x14ac:dyDescent="0.25">
      <c r="A1364" s="33">
        <v>21020202</v>
      </c>
      <c r="B1364" s="34" t="s">
        <v>123</v>
      </c>
      <c r="C1364" s="36"/>
      <c r="D1364" s="36"/>
    </row>
    <row r="1365" spans="1:4" x14ac:dyDescent="0.25">
      <c r="A1365" s="33">
        <v>21020203</v>
      </c>
      <c r="B1365" s="34" t="s">
        <v>57</v>
      </c>
      <c r="C1365" s="36"/>
      <c r="D1365" s="36"/>
    </row>
    <row r="1366" spans="1:4" x14ac:dyDescent="0.25">
      <c r="A1366" s="33">
        <v>21020204</v>
      </c>
      <c r="B1366" s="34" t="s">
        <v>58</v>
      </c>
      <c r="C1366" s="36"/>
      <c r="D1366" s="36"/>
    </row>
    <row r="1367" spans="1:4" x14ac:dyDescent="0.25">
      <c r="A1367" s="33">
        <v>21020205</v>
      </c>
      <c r="B1367" s="34" t="s">
        <v>59</v>
      </c>
      <c r="C1367" s="36"/>
      <c r="D1367" s="36"/>
    </row>
    <row r="1368" spans="1:4" x14ac:dyDescent="0.25">
      <c r="A1368" s="30">
        <v>21030100</v>
      </c>
      <c r="B1368" s="31" t="s">
        <v>60</v>
      </c>
      <c r="C1368" s="35"/>
      <c r="D1368" s="35"/>
    </row>
    <row r="1369" spans="1:4" x14ac:dyDescent="0.25">
      <c r="A1369" s="33">
        <v>21030101</v>
      </c>
      <c r="B1369" s="34" t="s">
        <v>61</v>
      </c>
      <c r="C1369" s="35"/>
      <c r="D1369" s="35"/>
    </row>
    <row r="1370" spans="1:4" x14ac:dyDescent="0.25">
      <c r="A1370" s="33">
        <v>21030102</v>
      </c>
      <c r="B1370" s="34" t="s">
        <v>62</v>
      </c>
      <c r="C1370" s="35"/>
      <c r="D1370" s="35"/>
    </row>
    <row r="1371" spans="1:4" x14ac:dyDescent="0.25">
      <c r="A1371" s="33">
        <v>21030103</v>
      </c>
      <c r="B1371" s="34" t="s">
        <v>63</v>
      </c>
      <c r="C1371" s="35"/>
      <c r="D1371" s="35"/>
    </row>
    <row r="1372" spans="1:4" ht="16.5" thickBot="1" x14ac:dyDescent="0.3">
      <c r="A1372" s="33"/>
      <c r="B1372" s="54"/>
      <c r="C1372" s="598"/>
      <c r="D1372" s="598"/>
    </row>
    <row r="1373" spans="1:4" ht="16.5" thickBot="1" x14ac:dyDescent="0.3">
      <c r="A1373" s="599"/>
      <c r="B1373" s="600" t="s">
        <v>2</v>
      </c>
      <c r="C1373" s="610">
        <f>SUM(C1354:C1372)</f>
        <v>109328980</v>
      </c>
      <c r="D1373" s="602">
        <f>SUM(D1354:D1372)</f>
        <v>112828980</v>
      </c>
    </row>
    <row r="1374" spans="1:4" x14ac:dyDescent="0.25">
      <c r="A1374" s="603"/>
      <c r="B1374" s="604"/>
      <c r="C1374" s="114"/>
      <c r="D1374" s="114"/>
    </row>
    <row r="1375" spans="1:4" x14ac:dyDescent="0.25">
      <c r="A1375" s="3470" t="s">
        <v>2745</v>
      </c>
      <c r="B1375" s="3470"/>
      <c r="C1375" s="3470"/>
      <c r="D1375" s="3470"/>
    </row>
    <row r="1376" spans="1:4" ht="16.5" thickBot="1" x14ac:dyDescent="0.3">
      <c r="A1376" s="3470" t="s">
        <v>2804</v>
      </c>
      <c r="B1376" s="3470"/>
      <c r="C1376" s="3470"/>
      <c r="D1376" s="3470"/>
    </row>
    <row r="1377" spans="1:4" x14ac:dyDescent="0.25">
      <c r="A1377" s="577" t="s">
        <v>0</v>
      </c>
      <c r="B1377" s="578"/>
      <c r="C1377" s="577" t="s">
        <v>7</v>
      </c>
      <c r="D1377" s="579" t="s">
        <v>2447</v>
      </c>
    </row>
    <row r="1378" spans="1:4" s="38" customFormat="1" x14ac:dyDescent="0.2">
      <c r="A1378" s="580" t="s">
        <v>1</v>
      </c>
      <c r="B1378" s="581" t="s">
        <v>5</v>
      </c>
      <c r="C1378" s="580" t="s">
        <v>6</v>
      </c>
      <c r="D1378" s="580" t="s">
        <v>2448</v>
      </c>
    </row>
    <row r="1379" spans="1:4" s="38" customFormat="1" x14ac:dyDescent="0.2">
      <c r="A1379" s="582"/>
      <c r="B1379" s="583"/>
      <c r="C1379" s="580">
        <v>2020</v>
      </c>
      <c r="D1379" s="580">
        <v>2021</v>
      </c>
    </row>
    <row r="1380" spans="1:4" s="38" customFormat="1" ht="16.5" thickBot="1" x14ac:dyDescent="0.25">
      <c r="A1380" s="584"/>
      <c r="B1380" s="585"/>
      <c r="C1380" s="586" t="s">
        <v>4</v>
      </c>
      <c r="D1380" s="586" t="s">
        <v>4</v>
      </c>
    </row>
    <row r="1381" spans="1:4" x14ac:dyDescent="0.25">
      <c r="A1381" s="28"/>
      <c r="B1381" s="7" t="s">
        <v>1093</v>
      </c>
      <c r="C1381" s="29"/>
      <c r="D1381" s="29"/>
    </row>
    <row r="1382" spans="1:4" x14ac:dyDescent="0.25">
      <c r="A1382" s="30">
        <v>21010100</v>
      </c>
      <c r="B1382" s="31" t="s">
        <v>50</v>
      </c>
      <c r="C1382" s="108">
        <f>'APPENDIX PERS COSTS DETAILS'!D1550</f>
        <v>38256006.710000001</v>
      </c>
      <c r="D1382" s="108">
        <f>'APPENDIX PERS COSTS DETAILS'!F1550</f>
        <v>60104578.290000007</v>
      </c>
    </row>
    <row r="1383" spans="1:4" x14ac:dyDescent="0.25">
      <c r="A1383" s="33">
        <v>21010101</v>
      </c>
      <c r="B1383" s="34" t="s">
        <v>51</v>
      </c>
      <c r="C1383" s="36"/>
      <c r="D1383" s="36"/>
    </row>
    <row r="1384" spans="1:4" x14ac:dyDescent="0.25">
      <c r="A1384" s="33">
        <v>21010102</v>
      </c>
      <c r="B1384" s="34" t="s">
        <v>52</v>
      </c>
      <c r="C1384" s="36"/>
      <c r="D1384" s="36"/>
    </row>
    <row r="1385" spans="1:4" x14ac:dyDescent="0.25">
      <c r="A1385" s="33">
        <v>21010103</v>
      </c>
      <c r="B1385" s="34" t="s">
        <v>53</v>
      </c>
      <c r="C1385" s="108"/>
      <c r="D1385" s="108"/>
    </row>
    <row r="1386" spans="1:4" x14ac:dyDescent="0.25">
      <c r="A1386" s="30">
        <v>210201</v>
      </c>
      <c r="B1386" s="31" t="s">
        <v>54</v>
      </c>
      <c r="C1386" s="36"/>
      <c r="D1386" s="36"/>
    </row>
    <row r="1387" spans="1:4" x14ac:dyDescent="0.25">
      <c r="A1387" s="33">
        <v>21020101</v>
      </c>
      <c r="B1387" s="34" t="s">
        <v>55</v>
      </c>
      <c r="C1387" s="37"/>
      <c r="D1387" s="37"/>
    </row>
    <row r="1388" spans="1:4" x14ac:dyDescent="0.25">
      <c r="A1388" s="30">
        <v>21020200</v>
      </c>
      <c r="B1388" s="31" t="s">
        <v>56</v>
      </c>
      <c r="C1388" s="36"/>
      <c r="D1388" s="36"/>
    </row>
    <row r="1389" spans="1:4" x14ac:dyDescent="0.25">
      <c r="A1389" s="33">
        <v>21020201</v>
      </c>
      <c r="B1389" s="34" t="s">
        <v>122</v>
      </c>
      <c r="C1389" s="36"/>
      <c r="D1389" s="36"/>
    </row>
    <row r="1390" spans="1:4" x14ac:dyDescent="0.25">
      <c r="A1390" s="33">
        <v>21020202</v>
      </c>
      <c r="B1390" s="34" t="s">
        <v>123</v>
      </c>
      <c r="C1390" s="36"/>
      <c r="D1390" s="36"/>
    </row>
    <row r="1391" spans="1:4" x14ac:dyDescent="0.25">
      <c r="A1391" s="33">
        <v>21020203</v>
      </c>
      <c r="B1391" s="34" t="s">
        <v>57</v>
      </c>
      <c r="C1391" s="36"/>
      <c r="D1391" s="36"/>
    </row>
    <row r="1392" spans="1:4" x14ac:dyDescent="0.25">
      <c r="A1392" s="33">
        <v>21020204</v>
      </c>
      <c r="B1392" s="34" t="s">
        <v>58</v>
      </c>
      <c r="C1392" s="36"/>
      <c r="D1392" s="36"/>
    </row>
    <row r="1393" spans="1:4" x14ac:dyDescent="0.25">
      <c r="A1393" s="33">
        <v>21020205</v>
      </c>
      <c r="B1393" s="34" t="s">
        <v>59</v>
      </c>
      <c r="C1393" s="36"/>
      <c r="D1393" s="36"/>
    </row>
    <row r="1394" spans="1:4" x14ac:dyDescent="0.25">
      <c r="A1394" s="30">
        <v>21030100</v>
      </c>
      <c r="B1394" s="31" t="s">
        <v>60</v>
      </c>
      <c r="C1394" s="35"/>
      <c r="D1394" s="35"/>
    </row>
    <row r="1395" spans="1:4" x14ac:dyDescent="0.25">
      <c r="A1395" s="33">
        <v>21030101</v>
      </c>
      <c r="B1395" s="34" t="s">
        <v>61</v>
      </c>
      <c r="C1395" s="35"/>
      <c r="D1395" s="35"/>
    </row>
    <row r="1396" spans="1:4" x14ac:dyDescent="0.25">
      <c r="A1396" s="33">
        <v>21030102</v>
      </c>
      <c r="B1396" s="34" t="s">
        <v>62</v>
      </c>
      <c r="C1396" s="35"/>
      <c r="D1396" s="35"/>
    </row>
    <row r="1397" spans="1:4" x14ac:dyDescent="0.25">
      <c r="A1397" s="33">
        <v>21030103</v>
      </c>
      <c r="B1397" s="34" t="s">
        <v>63</v>
      </c>
      <c r="C1397" s="35"/>
      <c r="D1397" s="35"/>
    </row>
    <row r="1398" spans="1:4" x14ac:dyDescent="0.25">
      <c r="A1398" s="33"/>
      <c r="B1398" s="34"/>
      <c r="C1398" s="35"/>
      <c r="D1398" s="35"/>
    </row>
    <row r="1399" spans="1:4" x14ac:dyDescent="0.25">
      <c r="A1399" s="593"/>
      <c r="B1399" s="594" t="s">
        <v>2</v>
      </c>
      <c r="C1399" s="109">
        <f>SUM(C1382:C1397)</f>
        <v>38256006.710000001</v>
      </c>
      <c r="D1399" s="109">
        <f>SUM(D1382:D1397)</f>
        <v>60104578.290000007</v>
      </c>
    </row>
    <row r="1400" spans="1:4" s="26" customFormat="1" x14ac:dyDescent="0.25">
      <c r="A1400" s="3469"/>
      <c r="B1400" s="3469"/>
      <c r="C1400" s="3469"/>
      <c r="D1400" s="3469"/>
    </row>
    <row r="1401" spans="1:4" x14ac:dyDescent="0.25">
      <c r="A1401" s="3456" t="s">
        <v>1096</v>
      </c>
      <c r="B1401" s="3456"/>
      <c r="C1401" s="3456"/>
      <c r="D1401" s="3456"/>
    </row>
    <row r="1402" spans="1:4" ht="16.5" thickBot="1" x14ac:dyDescent="0.3">
      <c r="A1402" s="3470" t="s">
        <v>2805</v>
      </c>
      <c r="B1402" s="3470"/>
      <c r="C1402" s="3470"/>
      <c r="D1402" s="3470"/>
    </row>
    <row r="1403" spans="1:4" x14ac:dyDescent="0.25">
      <c r="A1403" s="577" t="s">
        <v>0</v>
      </c>
      <c r="B1403" s="578"/>
      <c r="C1403" s="577" t="s">
        <v>7</v>
      </c>
      <c r="D1403" s="579" t="s">
        <v>2447</v>
      </c>
    </row>
    <row r="1404" spans="1:4" s="38" customFormat="1" x14ac:dyDescent="0.2">
      <c r="A1404" s="580" t="s">
        <v>1</v>
      </c>
      <c r="B1404" s="581" t="s">
        <v>5</v>
      </c>
      <c r="C1404" s="580" t="s">
        <v>6</v>
      </c>
      <c r="D1404" s="580" t="s">
        <v>2448</v>
      </c>
    </row>
    <row r="1405" spans="1:4" s="38" customFormat="1" x14ac:dyDescent="0.2">
      <c r="A1405" s="582"/>
      <c r="B1405" s="583"/>
      <c r="C1405" s="580">
        <v>2020</v>
      </c>
      <c r="D1405" s="580">
        <v>2021</v>
      </c>
    </row>
    <row r="1406" spans="1:4" s="38" customFormat="1" ht="16.5" thickBot="1" x14ac:dyDescent="0.25">
      <c r="A1406" s="584"/>
      <c r="B1406" s="585"/>
      <c r="C1406" s="586" t="s">
        <v>4</v>
      </c>
      <c r="D1406" s="586" t="s">
        <v>4</v>
      </c>
    </row>
    <row r="1407" spans="1:4" x14ac:dyDescent="0.25">
      <c r="A1407" s="28"/>
      <c r="B1407" s="7" t="s">
        <v>1093</v>
      </c>
      <c r="C1407" s="29"/>
      <c r="D1407" s="29"/>
    </row>
    <row r="1408" spans="1:4" x14ac:dyDescent="0.25">
      <c r="A1408" s="30">
        <v>21010100</v>
      </c>
      <c r="B1408" s="31" t="s">
        <v>50</v>
      </c>
      <c r="C1408" s="108">
        <f>'APPENDIX PERS COSTS DETAILS'!D1573</f>
        <v>0</v>
      </c>
      <c r="D1408" s="108">
        <f>'APPENDIX PERS COSTS DETAILS'!F1573</f>
        <v>0</v>
      </c>
    </row>
    <row r="1409" spans="1:4" x14ac:dyDescent="0.25">
      <c r="A1409" s="33">
        <v>21010101</v>
      </c>
      <c r="B1409" s="34" t="s">
        <v>51</v>
      </c>
      <c r="C1409" s="36"/>
      <c r="D1409" s="36"/>
    </row>
    <row r="1410" spans="1:4" x14ac:dyDescent="0.25">
      <c r="A1410" s="33">
        <v>21010102</v>
      </c>
      <c r="B1410" s="34" t="s">
        <v>52</v>
      </c>
      <c r="C1410" s="36"/>
      <c r="D1410" s="36"/>
    </row>
    <row r="1411" spans="1:4" x14ac:dyDescent="0.25">
      <c r="A1411" s="33">
        <v>21010103</v>
      </c>
      <c r="B1411" s="34" t="s">
        <v>53</v>
      </c>
      <c r="C1411" s="108">
        <f>'APPENDIX PERS COSTS DETAILS'!D1576</f>
        <v>5729815</v>
      </c>
      <c r="D1411" s="108">
        <f>'APPENDIX PERS COSTS DETAILS'!F1576</f>
        <v>5729815</v>
      </c>
    </row>
    <row r="1412" spans="1:4" x14ac:dyDescent="0.25">
      <c r="A1412" s="30">
        <v>210201</v>
      </c>
      <c r="B1412" s="31" t="s">
        <v>54</v>
      </c>
      <c r="C1412" s="36"/>
      <c r="D1412" s="36"/>
    </row>
    <row r="1413" spans="1:4" x14ac:dyDescent="0.25">
      <c r="A1413" s="33">
        <v>21020101</v>
      </c>
      <c r="B1413" s="34" t="s">
        <v>55</v>
      </c>
      <c r="C1413" s="37"/>
      <c r="D1413" s="37"/>
    </row>
    <row r="1414" spans="1:4" x14ac:dyDescent="0.25">
      <c r="A1414" s="30">
        <v>21020200</v>
      </c>
      <c r="B1414" s="31" t="s">
        <v>56</v>
      </c>
      <c r="C1414" s="36"/>
      <c r="D1414" s="36"/>
    </row>
    <row r="1415" spans="1:4" x14ac:dyDescent="0.25">
      <c r="A1415" s="33">
        <v>21020201</v>
      </c>
      <c r="B1415" s="34" t="s">
        <v>122</v>
      </c>
      <c r="C1415" s="36"/>
      <c r="D1415" s="36"/>
    </row>
    <row r="1416" spans="1:4" x14ac:dyDescent="0.25">
      <c r="A1416" s="33">
        <v>21020202</v>
      </c>
      <c r="B1416" s="34" t="s">
        <v>123</v>
      </c>
      <c r="C1416" s="36"/>
      <c r="D1416" s="36"/>
    </row>
    <row r="1417" spans="1:4" x14ac:dyDescent="0.25">
      <c r="A1417" s="33">
        <v>21020203</v>
      </c>
      <c r="B1417" s="34" t="s">
        <v>57</v>
      </c>
      <c r="C1417" s="36"/>
      <c r="D1417" s="36"/>
    </row>
    <row r="1418" spans="1:4" x14ac:dyDescent="0.25">
      <c r="A1418" s="33">
        <v>21020204</v>
      </c>
      <c r="B1418" s="34" t="s">
        <v>58</v>
      </c>
      <c r="C1418" s="36"/>
      <c r="D1418" s="36"/>
    </row>
    <row r="1419" spans="1:4" x14ac:dyDescent="0.25">
      <c r="A1419" s="33">
        <v>21020205</v>
      </c>
      <c r="B1419" s="34" t="s">
        <v>59</v>
      </c>
      <c r="C1419" s="36"/>
      <c r="D1419" s="36"/>
    </row>
    <row r="1420" spans="1:4" x14ac:dyDescent="0.25">
      <c r="A1420" s="30">
        <v>21030100</v>
      </c>
      <c r="B1420" s="31" t="s">
        <v>60</v>
      </c>
      <c r="C1420" s="35"/>
      <c r="D1420" s="35"/>
    </row>
    <row r="1421" spans="1:4" x14ac:dyDescent="0.25">
      <c r="A1421" s="33">
        <v>21030101</v>
      </c>
      <c r="B1421" s="34" t="s">
        <v>61</v>
      </c>
      <c r="C1421" s="35"/>
      <c r="D1421" s="35"/>
    </row>
    <row r="1422" spans="1:4" x14ac:dyDescent="0.25">
      <c r="A1422" s="33">
        <v>21030102</v>
      </c>
      <c r="B1422" s="34" t="s">
        <v>62</v>
      </c>
      <c r="C1422" s="35"/>
      <c r="D1422" s="35"/>
    </row>
    <row r="1423" spans="1:4" x14ac:dyDescent="0.25">
      <c r="A1423" s="33">
        <v>21030103</v>
      </c>
      <c r="B1423" s="34" t="s">
        <v>63</v>
      </c>
      <c r="C1423" s="35"/>
      <c r="D1423" s="35"/>
    </row>
    <row r="1424" spans="1:4" x14ac:dyDescent="0.25">
      <c r="A1424" s="33"/>
      <c r="B1424" s="34"/>
      <c r="C1424" s="35"/>
      <c r="D1424" s="35"/>
    </row>
    <row r="1425" spans="1:4" x14ac:dyDescent="0.25">
      <c r="A1425" s="593"/>
      <c r="B1425" s="594" t="s">
        <v>2</v>
      </c>
      <c r="C1425" s="109">
        <f>SUM(C1408:C1423)</f>
        <v>5729815</v>
      </c>
      <c r="D1425" s="109">
        <f>SUM(D1408:D1423)</f>
        <v>5729815</v>
      </c>
    </row>
    <row r="1426" spans="1:4" s="26" customFormat="1" x14ac:dyDescent="0.25">
      <c r="A1426" s="603"/>
      <c r="B1426" s="604"/>
      <c r="C1426" s="114"/>
      <c r="D1426" s="114"/>
    </row>
    <row r="1427" spans="1:4" x14ac:dyDescent="0.25">
      <c r="A1427" s="3456" t="s">
        <v>167</v>
      </c>
      <c r="B1427" s="3456"/>
      <c r="C1427" s="3456"/>
      <c r="D1427" s="3456"/>
    </row>
    <row r="1428" spans="1:4" s="26" customFormat="1" ht="16.5" thickBot="1" x14ac:dyDescent="0.3">
      <c r="A1428" s="3457" t="s">
        <v>2806</v>
      </c>
      <c r="B1428" s="3457"/>
      <c r="C1428" s="3457"/>
      <c r="D1428" s="3457"/>
    </row>
    <row r="1429" spans="1:4" x14ac:dyDescent="0.25">
      <c r="A1429" s="577" t="s">
        <v>0</v>
      </c>
      <c r="B1429" s="578"/>
      <c r="C1429" s="577" t="s">
        <v>7</v>
      </c>
      <c r="D1429" s="579" t="s">
        <v>2447</v>
      </c>
    </row>
    <row r="1430" spans="1:4" s="38" customFormat="1" x14ac:dyDescent="0.2">
      <c r="A1430" s="580" t="s">
        <v>1</v>
      </c>
      <c r="B1430" s="581" t="s">
        <v>5</v>
      </c>
      <c r="C1430" s="580" t="s">
        <v>6</v>
      </c>
      <c r="D1430" s="580" t="s">
        <v>2448</v>
      </c>
    </row>
    <row r="1431" spans="1:4" s="38" customFormat="1" x14ac:dyDescent="0.2">
      <c r="A1431" s="582"/>
      <c r="B1431" s="583"/>
      <c r="C1431" s="580">
        <v>2020</v>
      </c>
      <c r="D1431" s="580">
        <v>2021</v>
      </c>
    </row>
    <row r="1432" spans="1:4" s="38" customFormat="1" ht="16.5" thickBot="1" x14ac:dyDescent="0.25">
      <c r="A1432" s="584"/>
      <c r="B1432" s="585"/>
      <c r="C1432" s="586" t="s">
        <v>4</v>
      </c>
      <c r="D1432" s="586" t="s">
        <v>4</v>
      </c>
    </row>
    <row r="1433" spans="1:4" x14ac:dyDescent="0.25">
      <c r="A1433" s="36"/>
      <c r="B1433" s="6" t="s">
        <v>1093</v>
      </c>
      <c r="C1433" s="35"/>
      <c r="D1433" s="35"/>
    </row>
    <row r="1434" spans="1:4" x14ac:dyDescent="0.25">
      <c r="A1434" s="30">
        <v>21010100</v>
      </c>
      <c r="B1434" s="31" t="s">
        <v>50</v>
      </c>
      <c r="C1434" s="108">
        <f>'APPENDIX PERS COSTS DETAILS'!D1604</f>
        <v>41177775</v>
      </c>
      <c r="D1434" s="108">
        <f>'APPENDIX PERS COSTS DETAILS'!F1604</f>
        <v>33948070</v>
      </c>
    </row>
    <row r="1435" spans="1:4" x14ac:dyDescent="0.25">
      <c r="A1435" s="33">
        <v>21010101</v>
      </c>
      <c r="B1435" s="34" t="s">
        <v>51</v>
      </c>
      <c r="C1435" s="36"/>
      <c r="D1435" s="36"/>
    </row>
    <row r="1436" spans="1:4" x14ac:dyDescent="0.25">
      <c r="A1436" s="33">
        <v>21010102</v>
      </c>
      <c r="B1436" s="34" t="s">
        <v>52</v>
      </c>
      <c r="C1436" s="36"/>
      <c r="D1436" s="36"/>
    </row>
    <row r="1437" spans="1:4" x14ac:dyDescent="0.25">
      <c r="A1437" s="33">
        <v>21010103</v>
      </c>
      <c r="B1437" s="34" t="s">
        <v>53</v>
      </c>
      <c r="C1437" s="108">
        <f>'APPENDIX PERS COSTS DETAILS'!D1607</f>
        <v>28132920</v>
      </c>
      <c r="D1437" s="108">
        <f>'APPENDIX PERS COSTS DETAILS'!F1607</f>
        <v>28132920</v>
      </c>
    </row>
    <row r="1438" spans="1:4" x14ac:dyDescent="0.25">
      <c r="A1438" s="30">
        <v>210201</v>
      </c>
      <c r="B1438" s="31" t="s">
        <v>54</v>
      </c>
      <c r="C1438" s="36"/>
      <c r="D1438" s="36"/>
    </row>
    <row r="1439" spans="1:4" x14ac:dyDescent="0.25">
      <c r="A1439" s="33">
        <v>21020101</v>
      </c>
      <c r="B1439" s="34" t="s">
        <v>55</v>
      </c>
      <c r="C1439" s="37"/>
      <c r="D1439" s="37"/>
    </row>
    <row r="1440" spans="1:4" x14ac:dyDescent="0.25">
      <c r="A1440" s="30">
        <v>21020200</v>
      </c>
      <c r="B1440" s="31" t="s">
        <v>56</v>
      </c>
      <c r="C1440" s="36"/>
      <c r="D1440" s="36"/>
    </row>
    <row r="1441" spans="1:4" x14ac:dyDescent="0.25">
      <c r="A1441" s="33">
        <v>21020201</v>
      </c>
      <c r="B1441" s="34" t="s">
        <v>122</v>
      </c>
      <c r="C1441" s="36"/>
      <c r="D1441" s="36"/>
    </row>
    <row r="1442" spans="1:4" x14ac:dyDescent="0.25">
      <c r="A1442" s="33">
        <v>21020202</v>
      </c>
      <c r="B1442" s="34" t="s">
        <v>123</v>
      </c>
      <c r="C1442" s="36"/>
      <c r="D1442" s="36"/>
    </row>
    <row r="1443" spans="1:4" x14ac:dyDescent="0.25">
      <c r="A1443" s="33">
        <v>21020203</v>
      </c>
      <c r="B1443" s="34" t="s">
        <v>57</v>
      </c>
      <c r="C1443" s="36"/>
      <c r="D1443" s="36"/>
    </row>
    <row r="1444" spans="1:4" x14ac:dyDescent="0.25">
      <c r="A1444" s="33">
        <v>21020204</v>
      </c>
      <c r="B1444" s="34" t="s">
        <v>58</v>
      </c>
      <c r="C1444" s="36"/>
      <c r="D1444" s="36"/>
    </row>
    <row r="1445" spans="1:4" x14ac:dyDescent="0.25">
      <c r="A1445" s="33">
        <v>21020205</v>
      </c>
      <c r="B1445" s="34" t="s">
        <v>59</v>
      </c>
      <c r="C1445" s="36"/>
      <c r="D1445" s="36"/>
    </row>
    <row r="1446" spans="1:4" x14ac:dyDescent="0.25">
      <c r="A1446" s="30">
        <v>21030100</v>
      </c>
      <c r="B1446" s="31" t="s">
        <v>60</v>
      </c>
      <c r="C1446" s="35"/>
      <c r="D1446" s="35"/>
    </row>
    <row r="1447" spans="1:4" x14ac:dyDescent="0.25">
      <c r="A1447" s="33">
        <v>21030101</v>
      </c>
      <c r="B1447" s="34" t="s">
        <v>61</v>
      </c>
      <c r="C1447" s="35"/>
      <c r="D1447" s="35"/>
    </row>
    <row r="1448" spans="1:4" x14ac:dyDescent="0.25">
      <c r="A1448" s="33">
        <v>21030102</v>
      </c>
      <c r="B1448" s="34" t="s">
        <v>62</v>
      </c>
      <c r="C1448" s="35"/>
      <c r="D1448" s="35"/>
    </row>
    <row r="1449" spans="1:4" x14ac:dyDescent="0.25">
      <c r="A1449" s="33">
        <v>21030103</v>
      </c>
      <c r="B1449" s="34" t="s">
        <v>63</v>
      </c>
      <c r="C1449" s="35"/>
      <c r="D1449" s="35"/>
    </row>
    <row r="1450" spans="1:4" x14ac:dyDescent="0.25">
      <c r="A1450" s="33"/>
      <c r="B1450" s="34"/>
      <c r="C1450" s="37"/>
      <c r="D1450" s="37"/>
    </row>
    <row r="1451" spans="1:4" x14ac:dyDescent="0.25">
      <c r="A1451" s="593"/>
      <c r="B1451" s="594" t="s">
        <v>2</v>
      </c>
      <c r="C1451" s="109">
        <f>SUM(C1432:C1450)</f>
        <v>69310695</v>
      </c>
      <c r="D1451" s="109">
        <f>SUM(D1432:D1450)</f>
        <v>62080990</v>
      </c>
    </row>
    <row r="1452" spans="1:4" x14ac:dyDescent="0.25">
      <c r="A1452" s="3458"/>
      <c r="B1452" s="3458"/>
      <c r="C1452" s="3458"/>
      <c r="D1452" s="3458"/>
    </row>
    <row r="1453" spans="1:4" x14ac:dyDescent="0.25">
      <c r="A1453" s="3456" t="s">
        <v>170</v>
      </c>
      <c r="B1453" s="3456"/>
      <c r="C1453" s="3456"/>
      <c r="D1453" s="3456"/>
    </row>
    <row r="1454" spans="1:4" s="26" customFormat="1" ht="16.5" thickBot="1" x14ac:dyDescent="0.3">
      <c r="A1454" s="3457" t="s">
        <v>2807</v>
      </c>
      <c r="B1454" s="3457"/>
      <c r="C1454" s="3457"/>
      <c r="D1454" s="3457"/>
    </row>
    <row r="1455" spans="1:4" x14ac:dyDescent="0.25">
      <c r="A1455" s="577" t="s">
        <v>0</v>
      </c>
      <c r="B1455" s="578"/>
      <c r="C1455" s="577" t="s">
        <v>7</v>
      </c>
      <c r="D1455" s="579" t="s">
        <v>2447</v>
      </c>
    </row>
    <row r="1456" spans="1:4" s="38" customFormat="1" x14ac:dyDescent="0.2">
      <c r="A1456" s="580" t="s">
        <v>1</v>
      </c>
      <c r="B1456" s="581" t="s">
        <v>5</v>
      </c>
      <c r="C1456" s="580" t="s">
        <v>6</v>
      </c>
      <c r="D1456" s="580" t="s">
        <v>2448</v>
      </c>
    </row>
    <row r="1457" spans="1:4" s="38" customFormat="1" x14ac:dyDescent="0.2">
      <c r="A1457" s="582"/>
      <c r="B1457" s="583"/>
      <c r="C1457" s="580">
        <v>2020</v>
      </c>
      <c r="D1457" s="580">
        <v>2021</v>
      </c>
    </row>
    <row r="1458" spans="1:4" s="38" customFormat="1" ht="16.5" thickBot="1" x14ac:dyDescent="0.25">
      <c r="A1458" s="584"/>
      <c r="B1458" s="585"/>
      <c r="C1458" s="586" t="s">
        <v>4</v>
      </c>
      <c r="D1458" s="586" t="s">
        <v>4</v>
      </c>
    </row>
    <row r="1459" spans="1:4" x14ac:dyDescent="0.25">
      <c r="A1459" s="28"/>
      <c r="B1459" s="7" t="s">
        <v>1093</v>
      </c>
      <c r="C1459" s="29"/>
      <c r="D1459" s="29"/>
    </row>
    <row r="1460" spans="1:4" x14ac:dyDescent="0.25">
      <c r="A1460" s="30">
        <v>21010100</v>
      </c>
      <c r="B1460" s="31" t="s">
        <v>50</v>
      </c>
      <c r="C1460" s="108">
        <f>'APPENDIX PERS COSTS DETAILS'!D1632</f>
        <v>129774440</v>
      </c>
      <c r="D1460" s="108">
        <f>'APPENDIX PERS COSTS DETAILS'!F1632</f>
        <v>134133819</v>
      </c>
    </row>
    <row r="1461" spans="1:4" x14ac:dyDescent="0.25">
      <c r="A1461" s="33">
        <v>21010101</v>
      </c>
      <c r="B1461" s="34" t="s">
        <v>51</v>
      </c>
      <c r="C1461" s="36"/>
      <c r="D1461" s="36"/>
    </row>
    <row r="1462" spans="1:4" x14ac:dyDescent="0.25">
      <c r="A1462" s="33">
        <v>21010102</v>
      </c>
      <c r="B1462" s="34" t="s">
        <v>52</v>
      </c>
      <c r="C1462" s="36"/>
      <c r="D1462" s="36"/>
    </row>
    <row r="1463" spans="1:4" x14ac:dyDescent="0.25">
      <c r="A1463" s="33">
        <v>21010103</v>
      </c>
      <c r="B1463" s="34" t="s">
        <v>53</v>
      </c>
      <c r="C1463" s="108">
        <f>'APPENDIX PERS COSTS DETAILS'!D1637</f>
        <v>11245165</v>
      </c>
      <c r="D1463" s="108">
        <f>'APPENDIX PERS COSTS DETAILS'!F1637</f>
        <v>11245165</v>
      </c>
    </row>
    <row r="1464" spans="1:4" x14ac:dyDescent="0.25">
      <c r="A1464" s="30">
        <v>210201</v>
      </c>
      <c r="B1464" s="31" t="s">
        <v>54</v>
      </c>
      <c r="C1464" s="36"/>
      <c r="D1464" s="36"/>
    </row>
    <row r="1465" spans="1:4" x14ac:dyDescent="0.25">
      <c r="A1465" s="33">
        <v>21020101</v>
      </c>
      <c r="B1465" s="34" t="s">
        <v>55</v>
      </c>
      <c r="C1465" s="37"/>
      <c r="D1465" s="37"/>
    </row>
    <row r="1466" spans="1:4" x14ac:dyDescent="0.25">
      <c r="A1466" s="30">
        <v>21020200</v>
      </c>
      <c r="B1466" s="31" t="s">
        <v>56</v>
      </c>
      <c r="C1466" s="36"/>
      <c r="D1466" s="36"/>
    </row>
    <row r="1467" spans="1:4" x14ac:dyDescent="0.25">
      <c r="A1467" s="33">
        <v>21020201</v>
      </c>
      <c r="B1467" s="34" t="s">
        <v>122</v>
      </c>
      <c r="C1467" s="36"/>
      <c r="D1467" s="36"/>
    </row>
    <row r="1468" spans="1:4" x14ac:dyDescent="0.25">
      <c r="A1468" s="33">
        <v>21020202</v>
      </c>
      <c r="B1468" s="34" t="s">
        <v>123</v>
      </c>
      <c r="C1468" s="36"/>
      <c r="D1468" s="36"/>
    </row>
    <row r="1469" spans="1:4" x14ac:dyDescent="0.25">
      <c r="A1469" s="33">
        <v>21020203</v>
      </c>
      <c r="B1469" s="34" t="s">
        <v>57</v>
      </c>
      <c r="C1469" s="36"/>
      <c r="D1469" s="36"/>
    </row>
    <row r="1470" spans="1:4" x14ac:dyDescent="0.25">
      <c r="A1470" s="33">
        <v>21020204</v>
      </c>
      <c r="B1470" s="34" t="s">
        <v>58</v>
      </c>
      <c r="C1470" s="36"/>
      <c r="D1470" s="36"/>
    </row>
    <row r="1471" spans="1:4" x14ac:dyDescent="0.25">
      <c r="A1471" s="33">
        <v>21020205</v>
      </c>
      <c r="B1471" s="34" t="s">
        <v>59</v>
      </c>
      <c r="C1471" s="36"/>
      <c r="D1471" s="36"/>
    </row>
    <row r="1472" spans="1:4" x14ac:dyDescent="0.25">
      <c r="A1472" s="30">
        <v>21030100</v>
      </c>
      <c r="B1472" s="31" t="s">
        <v>60</v>
      </c>
      <c r="C1472" s="35"/>
      <c r="D1472" s="35"/>
    </row>
    <row r="1473" spans="1:4" x14ac:dyDescent="0.25">
      <c r="A1473" s="33">
        <v>21030101</v>
      </c>
      <c r="B1473" s="34" t="s">
        <v>61</v>
      </c>
      <c r="C1473" s="35"/>
      <c r="D1473" s="35"/>
    </row>
    <row r="1474" spans="1:4" x14ac:dyDescent="0.25">
      <c r="A1474" s="33">
        <v>21030102</v>
      </c>
      <c r="B1474" s="34" t="s">
        <v>62</v>
      </c>
      <c r="C1474" s="35"/>
      <c r="D1474" s="35"/>
    </row>
    <row r="1475" spans="1:4" x14ac:dyDescent="0.25">
      <c r="A1475" s="33">
        <v>21030103</v>
      </c>
      <c r="B1475" s="34" t="s">
        <v>63</v>
      </c>
      <c r="C1475" s="35"/>
      <c r="D1475" s="35"/>
    </row>
    <row r="1476" spans="1:4" x14ac:dyDescent="0.25">
      <c r="A1476" s="33"/>
      <c r="B1476" s="34"/>
      <c r="C1476" s="37"/>
      <c r="D1476" s="37"/>
    </row>
    <row r="1477" spans="1:4" x14ac:dyDescent="0.25">
      <c r="A1477" s="593"/>
      <c r="B1477" s="594" t="s">
        <v>2</v>
      </c>
      <c r="C1477" s="109">
        <f>SUM(C1458:C1476)</f>
        <v>141019605</v>
      </c>
      <c r="D1477" s="109">
        <f>SUM(D1458:D1476)</f>
        <v>145378984</v>
      </c>
    </row>
    <row r="1478" spans="1:4" x14ac:dyDescent="0.25">
      <c r="A1478" s="3458"/>
      <c r="B1478" s="3458"/>
      <c r="C1478" s="3458"/>
      <c r="D1478" s="3458"/>
    </row>
    <row r="1479" spans="1:4" x14ac:dyDescent="0.25">
      <c r="A1479" s="3456" t="s">
        <v>168</v>
      </c>
      <c r="B1479" s="3456"/>
      <c r="C1479" s="3456"/>
      <c r="D1479" s="3456"/>
    </row>
    <row r="1480" spans="1:4" ht="16.5" thickBot="1" x14ac:dyDescent="0.3">
      <c r="A1480" s="3457" t="s">
        <v>2808</v>
      </c>
      <c r="B1480" s="3457"/>
      <c r="C1480" s="3457"/>
      <c r="D1480" s="3457"/>
    </row>
    <row r="1481" spans="1:4" x14ac:dyDescent="0.25">
      <c r="A1481" s="577" t="s">
        <v>0</v>
      </c>
      <c r="B1481" s="578"/>
      <c r="C1481" s="577" t="s">
        <v>7</v>
      </c>
      <c r="D1481" s="579" t="s">
        <v>2447</v>
      </c>
    </row>
    <row r="1482" spans="1:4" s="38" customFormat="1" x14ac:dyDescent="0.2">
      <c r="A1482" s="580" t="s">
        <v>1</v>
      </c>
      <c r="B1482" s="581" t="s">
        <v>5</v>
      </c>
      <c r="C1482" s="580" t="s">
        <v>6</v>
      </c>
      <c r="D1482" s="580" t="s">
        <v>2448</v>
      </c>
    </row>
    <row r="1483" spans="1:4" s="38" customFormat="1" x14ac:dyDescent="0.2">
      <c r="A1483" s="582"/>
      <c r="B1483" s="583"/>
      <c r="C1483" s="580">
        <v>2020</v>
      </c>
      <c r="D1483" s="580">
        <v>2021</v>
      </c>
    </row>
    <row r="1484" spans="1:4" s="38" customFormat="1" ht="16.5" thickBot="1" x14ac:dyDescent="0.25">
      <c r="A1484" s="584"/>
      <c r="B1484" s="585"/>
      <c r="C1484" s="586" t="s">
        <v>4</v>
      </c>
      <c r="D1484" s="586" t="s">
        <v>4</v>
      </c>
    </row>
    <row r="1485" spans="1:4" s="38" customFormat="1" x14ac:dyDescent="0.25">
      <c r="A1485" s="28"/>
      <c r="B1485" s="7" t="s">
        <v>1093</v>
      </c>
      <c r="C1485" s="29"/>
      <c r="D1485" s="29"/>
    </row>
    <row r="1486" spans="1:4" s="38" customFormat="1" x14ac:dyDescent="0.25">
      <c r="A1486" s="30">
        <v>21010100</v>
      </c>
      <c r="B1486" s="31" t="s">
        <v>50</v>
      </c>
      <c r="C1486" s="108">
        <f>'APPENDIX PERS COSTS DETAILS'!D1662</f>
        <v>1455390250</v>
      </c>
      <c r="D1486" s="108">
        <f>'APPENDIX PERS COSTS DETAILS'!F1662</f>
        <v>1161300425</v>
      </c>
    </row>
    <row r="1487" spans="1:4" s="38" customFormat="1" x14ac:dyDescent="0.25">
      <c r="A1487" s="33">
        <v>21010101</v>
      </c>
      <c r="B1487" s="34" t="s">
        <v>51</v>
      </c>
      <c r="C1487" s="48"/>
      <c r="D1487" s="48"/>
    </row>
    <row r="1488" spans="1:4" s="38" customFormat="1" x14ac:dyDescent="0.25">
      <c r="A1488" s="33">
        <v>21010102</v>
      </c>
      <c r="B1488" s="34" t="s">
        <v>52</v>
      </c>
      <c r="C1488" s="36"/>
      <c r="D1488" s="36"/>
    </row>
    <row r="1489" spans="1:4" s="38" customFormat="1" x14ac:dyDescent="0.25">
      <c r="A1489" s="33">
        <v>21010103</v>
      </c>
      <c r="B1489" s="34" t="s">
        <v>53</v>
      </c>
      <c r="C1489" s="108">
        <f>'APPENDIX PERS COSTS DETAILS'!D1665</f>
        <v>11970820</v>
      </c>
      <c r="D1489" s="108">
        <f>'APPENDIX PERS COSTS DETAILS'!F1665</f>
        <v>11970820</v>
      </c>
    </row>
    <row r="1490" spans="1:4" s="38" customFormat="1" x14ac:dyDescent="0.25">
      <c r="A1490" s="30">
        <v>210201</v>
      </c>
      <c r="B1490" s="31" t="s">
        <v>54</v>
      </c>
      <c r="C1490" s="36"/>
      <c r="D1490" s="36"/>
    </row>
    <row r="1491" spans="1:4" s="38" customFormat="1" x14ac:dyDescent="0.25">
      <c r="A1491" s="33">
        <v>21020101</v>
      </c>
      <c r="B1491" s="34" t="s">
        <v>55</v>
      </c>
      <c r="C1491" s="37"/>
      <c r="D1491" s="37"/>
    </row>
    <row r="1492" spans="1:4" s="38" customFormat="1" x14ac:dyDescent="0.25">
      <c r="A1492" s="30">
        <v>21020200</v>
      </c>
      <c r="B1492" s="31" t="s">
        <v>56</v>
      </c>
      <c r="C1492" s="36"/>
      <c r="D1492" s="36"/>
    </row>
    <row r="1493" spans="1:4" s="38" customFormat="1" x14ac:dyDescent="0.25">
      <c r="A1493" s="33">
        <v>21020201</v>
      </c>
      <c r="B1493" s="34" t="s">
        <v>122</v>
      </c>
      <c r="C1493" s="36"/>
      <c r="D1493" s="36"/>
    </row>
    <row r="1494" spans="1:4" s="38" customFormat="1" x14ac:dyDescent="0.25">
      <c r="A1494" s="33">
        <v>21020202</v>
      </c>
      <c r="B1494" s="34" t="s">
        <v>123</v>
      </c>
      <c r="C1494" s="36"/>
      <c r="D1494" s="36"/>
    </row>
    <row r="1495" spans="1:4" s="38" customFormat="1" x14ac:dyDescent="0.25">
      <c r="A1495" s="33">
        <v>21020203</v>
      </c>
      <c r="B1495" s="34" t="s">
        <v>57</v>
      </c>
      <c r="C1495" s="36"/>
      <c r="D1495" s="36"/>
    </row>
    <row r="1496" spans="1:4" s="38" customFormat="1" x14ac:dyDescent="0.25">
      <c r="A1496" s="33">
        <v>21020204</v>
      </c>
      <c r="B1496" s="34" t="s">
        <v>58</v>
      </c>
      <c r="C1496" s="36"/>
      <c r="D1496" s="36"/>
    </row>
    <row r="1497" spans="1:4" s="38" customFormat="1" x14ac:dyDescent="0.25">
      <c r="A1497" s="33">
        <v>21020205</v>
      </c>
      <c r="B1497" s="34" t="s">
        <v>59</v>
      </c>
      <c r="C1497" s="36"/>
      <c r="D1497" s="36"/>
    </row>
    <row r="1498" spans="1:4" s="38" customFormat="1" x14ac:dyDescent="0.25">
      <c r="A1498" s="30">
        <v>21030100</v>
      </c>
      <c r="B1498" s="31" t="s">
        <v>60</v>
      </c>
      <c r="C1498" s="35"/>
      <c r="D1498" s="35"/>
    </row>
    <row r="1499" spans="1:4" s="38" customFormat="1" x14ac:dyDescent="0.25">
      <c r="A1499" s="33">
        <v>21030101</v>
      </c>
      <c r="B1499" s="34" t="s">
        <v>61</v>
      </c>
      <c r="C1499" s="35"/>
      <c r="D1499" s="35"/>
    </row>
    <row r="1500" spans="1:4" s="38" customFormat="1" x14ac:dyDescent="0.25">
      <c r="A1500" s="33">
        <v>21030102</v>
      </c>
      <c r="B1500" s="34" t="s">
        <v>62</v>
      </c>
      <c r="C1500" s="35"/>
      <c r="D1500" s="35"/>
    </row>
    <row r="1501" spans="1:4" s="38" customFormat="1" x14ac:dyDescent="0.25">
      <c r="A1501" s="33">
        <v>21030103</v>
      </c>
      <c r="B1501" s="34" t="s">
        <v>63</v>
      </c>
      <c r="C1501" s="35"/>
      <c r="D1501" s="35"/>
    </row>
    <row r="1502" spans="1:4" s="38" customFormat="1" x14ac:dyDescent="0.25">
      <c r="A1502" s="33"/>
      <c r="B1502" s="34"/>
      <c r="C1502" s="37"/>
      <c r="D1502" s="37"/>
    </row>
    <row r="1503" spans="1:4" s="38" customFormat="1" x14ac:dyDescent="0.25">
      <c r="A1503" s="593"/>
      <c r="B1503" s="594" t="s">
        <v>2</v>
      </c>
      <c r="C1503" s="109">
        <f>SUM(C1484:C1502)</f>
        <v>1467361070</v>
      </c>
      <c r="D1503" s="109">
        <f>SUM(D1484:D1502)</f>
        <v>1173271245</v>
      </c>
    </row>
    <row r="1504" spans="1:4" s="38" customFormat="1" x14ac:dyDescent="0.25">
      <c r="A1504" s="3458"/>
      <c r="B1504" s="3458"/>
      <c r="C1504" s="3458"/>
      <c r="D1504" s="3458"/>
    </row>
    <row r="1505" spans="1:4" s="38" customFormat="1" x14ac:dyDescent="0.25">
      <c r="A1505" s="3456" t="s">
        <v>169</v>
      </c>
      <c r="B1505" s="3456"/>
      <c r="C1505" s="3456"/>
      <c r="D1505" s="3456"/>
    </row>
    <row r="1506" spans="1:4" ht="16.5" thickBot="1" x14ac:dyDescent="0.3">
      <c r="A1506" s="3457" t="s">
        <v>2809</v>
      </c>
      <c r="B1506" s="3457"/>
      <c r="C1506" s="3457"/>
      <c r="D1506" s="3457"/>
    </row>
    <row r="1507" spans="1:4" x14ac:dyDescent="0.25">
      <c r="A1507" s="577" t="s">
        <v>0</v>
      </c>
      <c r="B1507" s="578"/>
      <c r="C1507" s="577" t="s">
        <v>7</v>
      </c>
      <c r="D1507" s="579" t="s">
        <v>2447</v>
      </c>
    </row>
    <row r="1508" spans="1:4" s="38" customFormat="1" x14ac:dyDescent="0.2">
      <c r="A1508" s="580" t="s">
        <v>1</v>
      </c>
      <c r="B1508" s="581" t="s">
        <v>5</v>
      </c>
      <c r="C1508" s="580" t="s">
        <v>6</v>
      </c>
      <c r="D1508" s="580" t="s">
        <v>2448</v>
      </c>
    </row>
    <row r="1509" spans="1:4" s="38" customFormat="1" x14ac:dyDescent="0.2">
      <c r="A1509" s="582"/>
      <c r="B1509" s="583"/>
      <c r="C1509" s="580">
        <v>2020</v>
      </c>
      <c r="D1509" s="580">
        <v>2021</v>
      </c>
    </row>
    <row r="1510" spans="1:4" s="38" customFormat="1" ht="16.5" thickBot="1" x14ac:dyDescent="0.25">
      <c r="A1510" s="584"/>
      <c r="B1510" s="585"/>
      <c r="C1510" s="586" t="s">
        <v>4</v>
      </c>
      <c r="D1510" s="586" t="s">
        <v>4</v>
      </c>
    </row>
    <row r="1511" spans="1:4" x14ac:dyDescent="0.25">
      <c r="A1511" s="39"/>
      <c r="B1511" s="40" t="s">
        <v>1093</v>
      </c>
      <c r="C1511" s="41"/>
      <c r="D1511" s="41"/>
    </row>
    <row r="1512" spans="1:4" x14ac:dyDescent="0.25">
      <c r="A1512" s="42">
        <v>21010100</v>
      </c>
      <c r="B1512" s="43" t="s">
        <v>50</v>
      </c>
      <c r="C1512" s="106">
        <f>'APPENDIX PERS COSTS DETAILS'!D1689</f>
        <v>106203530</v>
      </c>
      <c r="D1512" s="106">
        <f>'APPENDIX PERS COSTS DETAILS'!F1689</f>
        <v>120698315.01699999</v>
      </c>
    </row>
    <row r="1513" spans="1:4" x14ac:dyDescent="0.25">
      <c r="A1513" s="45">
        <v>21010101</v>
      </c>
      <c r="B1513" s="46" t="s">
        <v>51</v>
      </c>
      <c r="C1513" s="36"/>
      <c r="D1513" s="36"/>
    </row>
    <row r="1514" spans="1:4" x14ac:dyDescent="0.25">
      <c r="A1514" s="45">
        <v>21010102</v>
      </c>
      <c r="B1514" s="46" t="s">
        <v>52</v>
      </c>
      <c r="C1514" s="48"/>
      <c r="D1514" s="48"/>
    </row>
    <row r="1515" spans="1:4" x14ac:dyDescent="0.25">
      <c r="A1515" s="45">
        <v>21010103</v>
      </c>
      <c r="B1515" s="46" t="s">
        <v>53</v>
      </c>
      <c r="C1515" s="106">
        <f>'APPENDIX PERS COSTS DETAILS'!D1693</f>
        <v>31499205</v>
      </c>
      <c r="D1515" s="106">
        <f>'APPENDIX PERS COSTS DETAILS'!F1693</f>
        <v>31499205.16</v>
      </c>
    </row>
    <row r="1516" spans="1:4" x14ac:dyDescent="0.25">
      <c r="A1516" s="42">
        <v>210201</v>
      </c>
      <c r="B1516" s="43" t="s">
        <v>54</v>
      </c>
      <c r="C1516" s="48"/>
      <c r="D1516" s="48"/>
    </row>
    <row r="1517" spans="1:4" x14ac:dyDescent="0.25">
      <c r="A1517" s="45">
        <v>21020101</v>
      </c>
      <c r="B1517" s="46" t="s">
        <v>55</v>
      </c>
      <c r="C1517" s="49"/>
      <c r="D1517" s="49"/>
    </row>
    <row r="1518" spans="1:4" x14ac:dyDescent="0.25">
      <c r="A1518" s="42">
        <v>21020200</v>
      </c>
      <c r="B1518" s="43" t="s">
        <v>56</v>
      </c>
      <c r="C1518" s="48"/>
      <c r="D1518" s="48"/>
    </row>
    <row r="1519" spans="1:4" x14ac:dyDescent="0.25">
      <c r="A1519" s="45">
        <v>21020201</v>
      </c>
      <c r="B1519" s="46" t="s">
        <v>122</v>
      </c>
      <c r="C1519" s="48"/>
      <c r="D1519" s="48"/>
    </row>
    <row r="1520" spans="1:4" x14ac:dyDescent="0.25">
      <c r="A1520" s="45">
        <v>21020202</v>
      </c>
      <c r="B1520" s="46" t="s">
        <v>123</v>
      </c>
      <c r="C1520" s="48"/>
      <c r="D1520" s="48"/>
    </row>
    <row r="1521" spans="1:4" x14ac:dyDescent="0.25">
      <c r="A1521" s="45">
        <v>21020203</v>
      </c>
      <c r="B1521" s="46" t="s">
        <v>57</v>
      </c>
      <c r="C1521" s="48"/>
      <c r="D1521" s="48"/>
    </row>
    <row r="1522" spans="1:4" x14ac:dyDescent="0.25">
      <c r="A1522" s="45">
        <v>21020204</v>
      </c>
      <c r="B1522" s="46" t="s">
        <v>58</v>
      </c>
      <c r="C1522" s="48"/>
      <c r="D1522" s="48"/>
    </row>
    <row r="1523" spans="1:4" x14ac:dyDescent="0.25">
      <c r="A1523" s="45">
        <v>21020205</v>
      </c>
      <c r="B1523" s="46" t="s">
        <v>59</v>
      </c>
      <c r="C1523" s="48"/>
      <c r="D1523" s="48"/>
    </row>
    <row r="1524" spans="1:4" x14ac:dyDescent="0.25">
      <c r="A1524" s="42">
        <v>21030100</v>
      </c>
      <c r="B1524" s="43" t="s">
        <v>60</v>
      </c>
      <c r="C1524" s="47"/>
      <c r="D1524" s="47"/>
    </row>
    <row r="1525" spans="1:4" x14ac:dyDescent="0.25">
      <c r="A1525" s="45">
        <v>21030101</v>
      </c>
      <c r="B1525" s="46" t="s">
        <v>61</v>
      </c>
      <c r="C1525" s="47"/>
      <c r="D1525" s="47"/>
    </row>
    <row r="1526" spans="1:4" x14ac:dyDescent="0.25">
      <c r="A1526" s="45">
        <v>21030102</v>
      </c>
      <c r="B1526" s="46" t="s">
        <v>62</v>
      </c>
      <c r="C1526" s="47"/>
      <c r="D1526" s="47"/>
    </row>
    <row r="1527" spans="1:4" x14ac:dyDescent="0.25">
      <c r="A1527" s="45">
        <v>21030103</v>
      </c>
      <c r="B1527" s="46" t="s">
        <v>63</v>
      </c>
      <c r="C1527" s="47"/>
      <c r="D1527" s="47"/>
    </row>
    <row r="1528" spans="1:4" x14ac:dyDescent="0.25">
      <c r="A1528" s="45"/>
      <c r="B1528" s="46"/>
      <c r="C1528" s="49"/>
      <c r="D1528" s="49"/>
    </row>
    <row r="1529" spans="1:4" s="38" customFormat="1" x14ac:dyDescent="0.2">
      <c r="A1529" s="605"/>
      <c r="B1529" s="606" t="s">
        <v>2</v>
      </c>
      <c r="C1529" s="110">
        <f>SUM(C1510:C1528)</f>
        <v>137702735</v>
      </c>
      <c r="D1529" s="110">
        <f>SUM(D1510:D1528)</f>
        <v>152197520.17699999</v>
      </c>
    </row>
    <row r="1530" spans="1:4" s="51" customFormat="1" x14ac:dyDescent="0.2">
      <c r="A1530" s="589"/>
      <c r="B1530" s="590"/>
      <c r="C1530" s="112"/>
      <c r="D1530" s="112"/>
    </row>
    <row r="1531" spans="1:4" x14ac:dyDescent="0.25">
      <c r="A1531" s="3456" t="s">
        <v>1459</v>
      </c>
      <c r="B1531" s="3456"/>
      <c r="C1531" s="3456"/>
      <c r="D1531" s="3456"/>
    </row>
    <row r="1532" spans="1:4" ht="16.5" thickBot="1" x14ac:dyDescent="0.3">
      <c r="A1532" s="3457" t="s">
        <v>2810</v>
      </c>
      <c r="B1532" s="3457"/>
      <c r="C1532" s="3457"/>
      <c r="D1532" s="3457"/>
    </row>
    <row r="1533" spans="1:4" x14ac:dyDescent="0.25">
      <c r="A1533" s="577" t="s">
        <v>0</v>
      </c>
      <c r="B1533" s="578"/>
      <c r="C1533" s="577" t="s">
        <v>7</v>
      </c>
      <c r="D1533" s="579" t="s">
        <v>2447</v>
      </c>
    </row>
    <row r="1534" spans="1:4" s="38" customFormat="1" x14ac:dyDescent="0.2">
      <c r="A1534" s="580" t="s">
        <v>1</v>
      </c>
      <c r="B1534" s="581" t="s">
        <v>5</v>
      </c>
      <c r="C1534" s="580" t="s">
        <v>6</v>
      </c>
      <c r="D1534" s="580" t="s">
        <v>2448</v>
      </c>
    </row>
    <row r="1535" spans="1:4" s="38" customFormat="1" x14ac:dyDescent="0.2">
      <c r="A1535" s="582"/>
      <c r="B1535" s="583"/>
      <c r="C1535" s="580">
        <v>2020</v>
      </c>
      <c r="D1535" s="580">
        <v>2021</v>
      </c>
    </row>
    <row r="1536" spans="1:4" s="38" customFormat="1" ht="16.5" thickBot="1" x14ac:dyDescent="0.25">
      <c r="A1536" s="584"/>
      <c r="B1536" s="585"/>
      <c r="C1536" s="586" t="s">
        <v>4</v>
      </c>
      <c r="D1536" s="586" t="s">
        <v>4</v>
      </c>
    </row>
    <row r="1537" spans="1:4" x14ac:dyDescent="0.25">
      <c r="A1537" s="39"/>
      <c r="B1537" s="40" t="s">
        <v>1093</v>
      </c>
      <c r="C1537" s="41"/>
      <c r="D1537" s="41"/>
    </row>
    <row r="1538" spans="1:4" x14ac:dyDescent="0.25">
      <c r="A1538" s="42">
        <v>21010100</v>
      </c>
      <c r="B1538" s="43" t="s">
        <v>50</v>
      </c>
      <c r="C1538" s="106">
        <f>'APPENDIX PERS COSTS DETAILS'!D1720</f>
        <v>50740665</v>
      </c>
      <c r="D1538" s="106">
        <f>'APPENDIX PERS COSTS DETAILS'!F1717</f>
        <v>23520662</v>
      </c>
    </row>
    <row r="1539" spans="1:4" x14ac:dyDescent="0.25">
      <c r="A1539" s="45">
        <v>21010101</v>
      </c>
      <c r="B1539" s="46" t="s">
        <v>51</v>
      </c>
      <c r="C1539" s="36"/>
      <c r="D1539" s="36"/>
    </row>
    <row r="1540" spans="1:4" x14ac:dyDescent="0.25">
      <c r="A1540" s="45">
        <v>21010102</v>
      </c>
      <c r="B1540" s="46" t="s">
        <v>52</v>
      </c>
      <c r="C1540" s="48"/>
      <c r="D1540" s="48"/>
    </row>
    <row r="1541" spans="1:4" x14ac:dyDescent="0.25">
      <c r="A1541" s="45">
        <v>21010103</v>
      </c>
      <c r="B1541" s="46" t="s">
        <v>53</v>
      </c>
      <c r="C1541" s="106">
        <f>'APPENDIX PERS COSTS DETAILS'!D1719</f>
        <v>22046260</v>
      </c>
      <c r="D1541" s="106">
        <f>'APPENDIX PERS COSTS DETAILS'!F1719</f>
        <v>22046260</v>
      </c>
    </row>
    <row r="1542" spans="1:4" x14ac:dyDescent="0.25">
      <c r="A1542" s="42">
        <v>210201</v>
      </c>
      <c r="B1542" s="43" t="s">
        <v>54</v>
      </c>
      <c r="C1542" s="48"/>
      <c r="D1542" s="48"/>
    </row>
    <row r="1543" spans="1:4" x14ac:dyDescent="0.25">
      <c r="A1543" s="45">
        <v>21020101</v>
      </c>
      <c r="B1543" s="46" t="s">
        <v>55</v>
      </c>
      <c r="C1543" s="49"/>
      <c r="D1543" s="49"/>
    </row>
    <row r="1544" spans="1:4" x14ac:dyDescent="0.25">
      <c r="A1544" s="42">
        <v>21020200</v>
      </c>
      <c r="B1544" s="43" t="s">
        <v>56</v>
      </c>
      <c r="C1544" s="48"/>
      <c r="D1544" s="48"/>
    </row>
    <row r="1545" spans="1:4" x14ac:dyDescent="0.25">
      <c r="A1545" s="45">
        <v>21020201</v>
      </c>
      <c r="B1545" s="46" t="s">
        <v>122</v>
      </c>
      <c r="C1545" s="48"/>
      <c r="D1545" s="48"/>
    </row>
    <row r="1546" spans="1:4" x14ac:dyDescent="0.25">
      <c r="A1546" s="45">
        <v>21020202</v>
      </c>
      <c r="B1546" s="46" t="s">
        <v>123</v>
      </c>
      <c r="C1546" s="48"/>
      <c r="D1546" s="48"/>
    </row>
    <row r="1547" spans="1:4" x14ac:dyDescent="0.25">
      <c r="A1547" s="45">
        <v>21020203</v>
      </c>
      <c r="B1547" s="46" t="s">
        <v>57</v>
      </c>
      <c r="C1547" s="48"/>
      <c r="D1547" s="48"/>
    </row>
    <row r="1548" spans="1:4" x14ac:dyDescent="0.25">
      <c r="A1548" s="45">
        <v>21020204</v>
      </c>
      <c r="B1548" s="46" t="s">
        <v>58</v>
      </c>
      <c r="C1548" s="48"/>
      <c r="D1548" s="48"/>
    </row>
    <row r="1549" spans="1:4" x14ac:dyDescent="0.25">
      <c r="A1549" s="45">
        <v>21020205</v>
      </c>
      <c r="B1549" s="46" t="s">
        <v>59</v>
      </c>
      <c r="C1549" s="48"/>
      <c r="D1549" s="48"/>
    </row>
    <row r="1550" spans="1:4" ht="16.5" customHeight="1" x14ac:dyDescent="0.25">
      <c r="A1550" s="42">
        <v>21030100</v>
      </c>
      <c r="B1550" s="43" t="s">
        <v>60</v>
      </c>
      <c r="C1550" s="47"/>
      <c r="D1550" s="47"/>
    </row>
    <row r="1551" spans="1:4" x14ac:dyDescent="0.25">
      <c r="A1551" s="45">
        <v>21030101</v>
      </c>
      <c r="B1551" s="46" t="s">
        <v>61</v>
      </c>
      <c r="C1551" s="47"/>
      <c r="D1551" s="47"/>
    </row>
    <row r="1552" spans="1:4" x14ac:dyDescent="0.25">
      <c r="A1552" s="45">
        <v>21030102</v>
      </c>
      <c r="B1552" s="46" t="s">
        <v>62</v>
      </c>
      <c r="C1552" s="47"/>
      <c r="D1552" s="47"/>
    </row>
    <row r="1553" spans="1:4" x14ac:dyDescent="0.25">
      <c r="A1553" s="45">
        <v>21030103</v>
      </c>
      <c r="B1553" s="46" t="s">
        <v>63</v>
      </c>
      <c r="C1553" s="47"/>
      <c r="D1553" s="47"/>
    </row>
    <row r="1554" spans="1:4" x14ac:dyDescent="0.25">
      <c r="A1554" s="45"/>
      <c r="B1554" s="46"/>
      <c r="C1554" s="49"/>
      <c r="D1554" s="49"/>
    </row>
    <row r="1555" spans="1:4" x14ac:dyDescent="0.25">
      <c r="A1555" s="605"/>
      <c r="B1555" s="606" t="s">
        <v>2</v>
      </c>
      <c r="C1555" s="110">
        <f>SUM(C1536:C1554)</f>
        <v>72786925</v>
      </c>
      <c r="D1555" s="110">
        <f>SUM(D1536:D1554)</f>
        <v>45566922</v>
      </c>
    </row>
    <row r="1556" spans="1:4" x14ac:dyDescent="0.25">
      <c r="A1556" s="589"/>
      <c r="B1556" s="590"/>
      <c r="C1556" s="112"/>
      <c r="D1556" s="112"/>
    </row>
    <row r="1557" spans="1:4" x14ac:dyDescent="0.25">
      <c r="A1557" s="3456" t="s">
        <v>978</v>
      </c>
      <c r="B1557" s="3456"/>
      <c r="C1557" s="3456"/>
      <c r="D1557" s="3456"/>
    </row>
    <row r="1558" spans="1:4" ht="16.5" thickBot="1" x14ac:dyDescent="0.3">
      <c r="A1558" s="3457" t="s">
        <v>2811</v>
      </c>
      <c r="B1558" s="3457"/>
      <c r="C1558" s="3457"/>
      <c r="D1558" s="3457"/>
    </row>
    <row r="1559" spans="1:4" x14ac:dyDescent="0.25">
      <c r="A1559" s="577" t="s">
        <v>0</v>
      </c>
      <c r="B1559" s="578"/>
      <c r="C1559" s="577" t="s">
        <v>7</v>
      </c>
      <c r="D1559" s="579" t="s">
        <v>2447</v>
      </c>
    </row>
    <row r="1560" spans="1:4" s="38" customFormat="1" x14ac:dyDescent="0.2">
      <c r="A1560" s="580" t="s">
        <v>1</v>
      </c>
      <c r="B1560" s="581" t="s">
        <v>5</v>
      </c>
      <c r="C1560" s="580" t="s">
        <v>6</v>
      </c>
      <c r="D1560" s="580" t="s">
        <v>2448</v>
      </c>
    </row>
    <row r="1561" spans="1:4" s="38" customFormat="1" x14ac:dyDescent="0.2">
      <c r="A1561" s="582"/>
      <c r="B1561" s="583"/>
      <c r="C1561" s="580">
        <v>2020</v>
      </c>
      <c r="D1561" s="580">
        <v>2021</v>
      </c>
    </row>
    <row r="1562" spans="1:4" s="38" customFormat="1" ht="16.5" thickBot="1" x14ac:dyDescent="0.25">
      <c r="A1562" s="584"/>
      <c r="B1562" s="585"/>
      <c r="C1562" s="586" t="s">
        <v>4</v>
      </c>
      <c r="D1562" s="586" t="s">
        <v>4</v>
      </c>
    </row>
    <row r="1563" spans="1:4" ht="15" customHeight="1" x14ac:dyDescent="0.25">
      <c r="A1563" s="28"/>
      <c r="B1563" s="7" t="s">
        <v>1093</v>
      </c>
      <c r="C1563" s="29"/>
      <c r="D1563" s="29"/>
    </row>
    <row r="1564" spans="1:4" ht="15" customHeight="1" x14ac:dyDescent="0.25">
      <c r="A1564" s="30">
        <v>21010100</v>
      </c>
      <c r="B1564" s="31" t="s">
        <v>50</v>
      </c>
      <c r="C1564" s="108">
        <f>'APPENDIX PERS COSTS DETAILS'!D1745</f>
        <v>258399040</v>
      </c>
      <c r="D1564" s="108">
        <f>'APPENDIX PERS COSTS DETAILS'!F1745</f>
        <v>265610135</v>
      </c>
    </row>
    <row r="1565" spans="1:4" ht="15" customHeight="1" x14ac:dyDescent="0.25">
      <c r="A1565" s="33">
        <v>21010101</v>
      </c>
      <c r="B1565" s="34" t="s">
        <v>51</v>
      </c>
      <c r="C1565" s="36"/>
      <c r="D1565" s="36"/>
    </row>
    <row r="1566" spans="1:4" ht="15" customHeight="1" x14ac:dyDescent="0.25">
      <c r="A1566" s="33">
        <v>21010102</v>
      </c>
      <c r="B1566" s="34" t="s">
        <v>52</v>
      </c>
      <c r="C1566" s="36"/>
      <c r="D1566" s="36"/>
    </row>
    <row r="1567" spans="1:4" ht="15" customHeight="1" x14ac:dyDescent="0.25">
      <c r="A1567" s="33">
        <v>21010103</v>
      </c>
      <c r="B1567" s="34" t="s">
        <v>53</v>
      </c>
      <c r="C1567" s="108">
        <f>'APPENDIX PERS COSTS DETAILS'!D1750</f>
        <v>11245165</v>
      </c>
      <c r="D1567" s="108">
        <f>'APPENDIX PERS COSTS DETAILS'!F1750</f>
        <v>11245165</v>
      </c>
    </row>
    <row r="1568" spans="1:4" ht="15" customHeight="1" x14ac:dyDescent="0.25">
      <c r="A1568" s="30">
        <v>210201</v>
      </c>
      <c r="B1568" s="31" t="s">
        <v>54</v>
      </c>
      <c r="C1568" s="36"/>
      <c r="D1568" s="36"/>
    </row>
    <row r="1569" spans="1:4" ht="15" customHeight="1" x14ac:dyDescent="0.25">
      <c r="A1569" s="33">
        <v>21020101</v>
      </c>
      <c r="B1569" s="34" t="s">
        <v>55</v>
      </c>
      <c r="C1569" s="37"/>
      <c r="D1569" s="37"/>
    </row>
    <row r="1570" spans="1:4" ht="15" customHeight="1" x14ac:dyDescent="0.25">
      <c r="A1570" s="30">
        <v>21020200</v>
      </c>
      <c r="B1570" s="31" t="s">
        <v>56</v>
      </c>
      <c r="C1570" s="36"/>
      <c r="D1570" s="36"/>
    </row>
    <row r="1571" spans="1:4" ht="15" customHeight="1" x14ac:dyDescent="0.25">
      <c r="A1571" s="33">
        <v>21020201</v>
      </c>
      <c r="B1571" s="34" t="s">
        <v>122</v>
      </c>
      <c r="C1571" s="36"/>
      <c r="D1571" s="36"/>
    </row>
    <row r="1572" spans="1:4" ht="15" customHeight="1" x14ac:dyDescent="0.25">
      <c r="A1572" s="33">
        <v>21020202</v>
      </c>
      <c r="B1572" s="34" t="s">
        <v>123</v>
      </c>
      <c r="C1572" s="36"/>
      <c r="D1572" s="36"/>
    </row>
    <row r="1573" spans="1:4" ht="15" customHeight="1" x14ac:dyDescent="0.25">
      <c r="A1573" s="33">
        <v>21020203</v>
      </c>
      <c r="B1573" s="34" t="s">
        <v>57</v>
      </c>
      <c r="C1573" s="36"/>
      <c r="D1573" s="36"/>
    </row>
    <row r="1574" spans="1:4" ht="15" customHeight="1" x14ac:dyDescent="0.25">
      <c r="A1574" s="33">
        <v>21020204</v>
      </c>
      <c r="B1574" s="34" t="s">
        <v>58</v>
      </c>
      <c r="C1574" s="36"/>
      <c r="D1574" s="36"/>
    </row>
    <row r="1575" spans="1:4" ht="15" customHeight="1" x14ac:dyDescent="0.25">
      <c r="A1575" s="33">
        <v>21020205</v>
      </c>
      <c r="B1575" s="34" t="s">
        <v>59</v>
      </c>
      <c r="C1575" s="36"/>
      <c r="D1575" s="36"/>
    </row>
    <row r="1576" spans="1:4" x14ac:dyDescent="0.25">
      <c r="A1576" s="30">
        <v>21030100</v>
      </c>
      <c r="B1576" s="31" t="s">
        <v>60</v>
      </c>
      <c r="C1576" s="35"/>
      <c r="D1576" s="35"/>
    </row>
    <row r="1577" spans="1:4" x14ac:dyDescent="0.25">
      <c r="A1577" s="33">
        <v>21030101</v>
      </c>
      <c r="B1577" s="34" t="s">
        <v>61</v>
      </c>
      <c r="C1577" s="35"/>
      <c r="D1577" s="35"/>
    </row>
    <row r="1578" spans="1:4" x14ac:dyDescent="0.25">
      <c r="A1578" s="33">
        <v>21030102</v>
      </c>
      <c r="B1578" s="34" t="s">
        <v>62</v>
      </c>
      <c r="C1578" s="35"/>
      <c r="D1578" s="35"/>
    </row>
    <row r="1579" spans="1:4" x14ac:dyDescent="0.25">
      <c r="A1579" s="33">
        <v>21030103</v>
      </c>
      <c r="B1579" s="34" t="s">
        <v>63</v>
      </c>
      <c r="C1579" s="35"/>
      <c r="D1579" s="35"/>
    </row>
    <row r="1580" spans="1:4" x14ac:dyDescent="0.25">
      <c r="A1580" s="33"/>
      <c r="B1580" s="34"/>
      <c r="C1580" s="37"/>
      <c r="D1580" s="37"/>
    </row>
    <row r="1581" spans="1:4" s="38" customFormat="1" x14ac:dyDescent="0.25">
      <c r="A1581" s="593"/>
      <c r="B1581" s="594" t="s">
        <v>2</v>
      </c>
      <c r="C1581" s="109">
        <f>SUM(C1562:C1580)</f>
        <v>269644205</v>
      </c>
      <c r="D1581" s="109">
        <f>SUM(D1562:D1580)</f>
        <v>276855300</v>
      </c>
    </row>
    <row r="1582" spans="1:4" s="51" customFormat="1" x14ac:dyDescent="0.25">
      <c r="A1582" s="3458"/>
      <c r="B1582" s="3458"/>
      <c r="C1582" s="3458"/>
      <c r="D1582" s="3458"/>
    </row>
    <row r="1583" spans="1:4" x14ac:dyDescent="0.25">
      <c r="A1583" s="3467" t="s">
        <v>1409</v>
      </c>
      <c r="B1583" s="3467"/>
      <c r="C1583" s="3467"/>
      <c r="D1583" s="3467"/>
    </row>
    <row r="1584" spans="1:4" ht="16.5" thickBot="1" x14ac:dyDescent="0.3">
      <c r="A1584" s="3468" t="s">
        <v>2812</v>
      </c>
      <c r="B1584" s="3468"/>
      <c r="C1584" s="3468"/>
      <c r="D1584" s="3468"/>
    </row>
    <row r="1585" spans="1:4" x14ac:dyDescent="0.25">
      <c r="A1585" s="577" t="s">
        <v>0</v>
      </c>
      <c r="B1585" s="578"/>
      <c r="C1585" s="577" t="s">
        <v>7</v>
      </c>
      <c r="D1585" s="579" t="s">
        <v>2447</v>
      </c>
    </row>
    <row r="1586" spans="1:4" s="38" customFormat="1" x14ac:dyDescent="0.2">
      <c r="A1586" s="580" t="s">
        <v>1</v>
      </c>
      <c r="B1586" s="581" t="s">
        <v>5</v>
      </c>
      <c r="C1586" s="580" t="s">
        <v>6</v>
      </c>
      <c r="D1586" s="580" t="s">
        <v>2448</v>
      </c>
    </row>
    <row r="1587" spans="1:4" s="38" customFormat="1" x14ac:dyDescent="0.2">
      <c r="A1587" s="582"/>
      <c r="B1587" s="583"/>
      <c r="C1587" s="580">
        <v>2020</v>
      </c>
      <c r="D1587" s="580">
        <v>2021</v>
      </c>
    </row>
    <row r="1588" spans="1:4" s="38" customFormat="1" ht="16.5" thickBot="1" x14ac:dyDescent="0.25">
      <c r="A1588" s="584"/>
      <c r="B1588" s="585"/>
      <c r="C1588" s="586" t="s">
        <v>4</v>
      </c>
      <c r="D1588" s="586" t="s">
        <v>4</v>
      </c>
    </row>
    <row r="1589" spans="1:4" x14ac:dyDescent="0.25">
      <c r="A1589" s="48"/>
      <c r="B1589" s="40" t="s">
        <v>1093</v>
      </c>
      <c r="C1589" s="47"/>
      <c r="D1589" s="47"/>
    </row>
    <row r="1590" spans="1:4" x14ac:dyDescent="0.25">
      <c r="A1590" s="42">
        <v>21010100</v>
      </c>
      <c r="B1590" s="43" t="s">
        <v>50</v>
      </c>
      <c r="C1590" s="106">
        <f>'APPENDIX PERS COSTS DETAILS'!D1778</f>
        <v>18834750</v>
      </c>
      <c r="D1590" s="106">
        <f>'APPENDIX PERS COSTS DETAILS'!F1778</f>
        <v>20769610</v>
      </c>
    </row>
    <row r="1591" spans="1:4" x14ac:dyDescent="0.25">
      <c r="A1591" s="45">
        <v>21010101</v>
      </c>
      <c r="B1591" s="46" t="s">
        <v>51</v>
      </c>
      <c r="C1591" s="36"/>
      <c r="D1591" s="36"/>
    </row>
    <row r="1592" spans="1:4" x14ac:dyDescent="0.25">
      <c r="A1592" s="45">
        <v>21010102</v>
      </c>
      <c r="B1592" s="46" t="s">
        <v>52</v>
      </c>
      <c r="C1592" s="48"/>
      <c r="D1592" s="48"/>
    </row>
    <row r="1593" spans="1:4" x14ac:dyDescent="0.25">
      <c r="A1593" s="45">
        <v>21010103</v>
      </c>
      <c r="B1593" s="46" t="s">
        <v>53</v>
      </c>
      <c r="C1593" s="106"/>
      <c r="D1593" s="106"/>
    </row>
    <row r="1594" spans="1:4" x14ac:dyDescent="0.25">
      <c r="A1594" s="42">
        <v>210201</v>
      </c>
      <c r="B1594" s="43" t="s">
        <v>54</v>
      </c>
      <c r="C1594" s="48"/>
      <c r="D1594" s="48"/>
    </row>
    <row r="1595" spans="1:4" x14ac:dyDescent="0.25">
      <c r="A1595" s="45">
        <v>21020101</v>
      </c>
      <c r="B1595" s="46" t="s">
        <v>55</v>
      </c>
      <c r="C1595" s="49"/>
      <c r="D1595" s="49"/>
    </row>
    <row r="1596" spans="1:4" x14ac:dyDescent="0.25">
      <c r="A1596" s="42">
        <v>21020200</v>
      </c>
      <c r="B1596" s="43" t="s">
        <v>56</v>
      </c>
      <c r="C1596" s="48"/>
      <c r="D1596" s="48"/>
    </row>
    <row r="1597" spans="1:4" x14ac:dyDescent="0.25">
      <c r="A1597" s="45">
        <v>21020201</v>
      </c>
      <c r="B1597" s="46" t="s">
        <v>122</v>
      </c>
      <c r="C1597" s="48"/>
      <c r="D1597" s="48"/>
    </row>
    <row r="1598" spans="1:4" x14ac:dyDescent="0.25">
      <c r="A1598" s="45">
        <v>21020202</v>
      </c>
      <c r="B1598" s="46" t="s">
        <v>123</v>
      </c>
      <c r="C1598" s="48"/>
      <c r="D1598" s="48"/>
    </row>
    <row r="1599" spans="1:4" x14ac:dyDescent="0.25">
      <c r="A1599" s="45">
        <v>21020203</v>
      </c>
      <c r="B1599" s="46" t="s">
        <v>57</v>
      </c>
      <c r="C1599" s="48"/>
      <c r="D1599" s="48"/>
    </row>
    <row r="1600" spans="1:4" x14ac:dyDescent="0.25">
      <c r="A1600" s="45">
        <v>21020204</v>
      </c>
      <c r="B1600" s="46" t="s">
        <v>58</v>
      </c>
      <c r="C1600" s="48"/>
      <c r="D1600" s="48"/>
    </row>
    <row r="1601" spans="1:4" x14ac:dyDescent="0.25">
      <c r="A1601" s="45">
        <v>21020205</v>
      </c>
      <c r="B1601" s="46" t="s">
        <v>59</v>
      </c>
      <c r="C1601" s="48"/>
      <c r="D1601" s="48"/>
    </row>
    <row r="1602" spans="1:4" x14ac:dyDescent="0.25">
      <c r="A1602" s="42">
        <v>21030100</v>
      </c>
      <c r="B1602" s="43" t="s">
        <v>60</v>
      </c>
      <c r="C1602" s="47"/>
      <c r="D1602" s="47"/>
    </row>
    <row r="1603" spans="1:4" x14ac:dyDescent="0.25">
      <c r="A1603" s="45">
        <v>21030101</v>
      </c>
      <c r="B1603" s="46" t="s">
        <v>61</v>
      </c>
      <c r="C1603" s="47"/>
      <c r="D1603" s="47"/>
    </row>
    <row r="1604" spans="1:4" x14ac:dyDescent="0.25">
      <c r="A1604" s="45">
        <v>21030102</v>
      </c>
      <c r="B1604" s="46" t="s">
        <v>62</v>
      </c>
      <c r="C1604" s="47"/>
      <c r="D1604" s="47"/>
    </row>
    <row r="1605" spans="1:4" x14ac:dyDescent="0.25">
      <c r="A1605" s="45">
        <v>21030103</v>
      </c>
      <c r="B1605" s="46" t="s">
        <v>63</v>
      </c>
      <c r="C1605" s="47"/>
      <c r="D1605" s="47"/>
    </row>
    <row r="1606" spans="1:4" x14ac:dyDescent="0.25">
      <c r="A1606" s="45"/>
      <c r="B1606" s="46"/>
      <c r="C1606" s="49"/>
      <c r="D1606" s="49"/>
    </row>
    <row r="1607" spans="1:4" s="38" customFormat="1" x14ac:dyDescent="0.2">
      <c r="A1607" s="587"/>
      <c r="B1607" s="588" t="s">
        <v>2</v>
      </c>
      <c r="C1607" s="107">
        <f>SUM(C1590:C1606)</f>
        <v>18834750</v>
      </c>
      <c r="D1607" s="107">
        <f>SUM(D1590:D1606)</f>
        <v>20769610</v>
      </c>
    </row>
    <row r="1608" spans="1:4" s="51" customFormat="1" x14ac:dyDescent="0.25">
      <c r="A1608" s="603"/>
      <c r="B1608" s="604"/>
      <c r="C1608" s="114"/>
      <c r="D1608" s="114"/>
    </row>
    <row r="1609" spans="1:4" x14ac:dyDescent="0.25">
      <c r="A1609" s="3456" t="s">
        <v>669</v>
      </c>
      <c r="B1609" s="3456"/>
      <c r="C1609" s="3456"/>
      <c r="D1609" s="3456"/>
    </row>
    <row r="1610" spans="1:4" ht="16.5" thickBot="1" x14ac:dyDescent="0.3">
      <c r="A1610" s="3457" t="s">
        <v>2813</v>
      </c>
      <c r="B1610" s="3457"/>
      <c r="C1610" s="3457"/>
      <c r="D1610" s="3457"/>
    </row>
    <row r="1611" spans="1:4" x14ac:dyDescent="0.25">
      <c r="A1611" s="577" t="s">
        <v>0</v>
      </c>
      <c r="B1611" s="578"/>
      <c r="C1611" s="577" t="s">
        <v>7</v>
      </c>
      <c r="D1611" s="579" t="s">
        <v>2447</v>
      </c>
    </row>
    <row r="1612" spans="1:4" s="38" customFormat="1" x14ac:dyDescent="0.2">
      <c r="A1612" s="580" t="s">
        <v>1</v>
      </c>
      <c r="B1612" s="581" t="s">
        <v>5</v>
      </c>
      <c r="C1612" s="580" t="s">
        <v>6</v>
      </c>
      <c r="D1612" s="580" t="s">
        <v>2448</v>
      </c>
    </row>
    <row r="1613" spans="1:4" s="38" customFormat="1" x14ac:dyDescent="0.2">
      <c r="A1613" s="582"/>
      <c r="B1613" s="583"/>
      <c r="C1613" s="580">
        <v>2020</v>
      </c>
      <c r="D1613" s="580">
        <v>2021</v>
      </c>
    </row>
    <row r="1614" spans="1:4" s="38" customFormat="1" ht="16.5" thickBot="1" x14ac:dyDescent="0.25">
      <c r="A1614" s="584"/>
      <c r="B1614" s="585"/>
      <c r="C1614" s="586" t="s">
        <v>4</v>
      </c>
      <c r="D1614" s="586" t="s">
        <v>4</v>
      </c>
    </row>
    <row r="1615" spans="1:4" x14ac:dyDescent="0.25">
      <c r="A1615" s="48"/>
      <c r="B1615" s="40" t="s">
        <v>1093</v>
      </c>
      <c r="C1615" s="47"/>
      <c r="D1615" s="47"/>
    </row>
    <row r="1616" spans="1:4" x14ac:dyDescent="0.25">
      <c r="A1616" s="42">
        <v>21010100</v>
      </c>
      <c r="B1616" s="43" t="s">
        <v>50</v>
      </c>
      <c r="C1616" s="106">
        <f>'APPENDIX PERS COSTS DETAILS'!D1801</f>
        <v>23815760</v>
      </c>
      <c r="D1616" s="106">
        <f>'APPENDIX PERS COSTS DETAILS'!F1801</f>
        <v>35819324</v>
      </c>
    </row>
    <row r="1617" spans="1:4" x14ac:dyDescent="0.25">
      <c r="A1617" s="45">
        <v>21010101</v>
      </c>
      <c r="B1617" s="46" t="s">
        <v>51</v>
      </c>
      <c r="C1617" s="36"/>
      <c r="D1617" s="36"/>
    </row>
    <row r="1618" spans="1:4" x14ac:dyDescent="0.25">
      <c r="A1618" s="45">
        <v>21010102</v>
      </c>
      <c r="B1618" s="46" t="s">
        <v>52</v>
      </c>
      <c r="C1618" s="48"/>
      <c r="D1618" s="48"/>
    </row>
    <row r="1619" spans="1:4" x14ac:dyDescent="0.25">
      <c r="A1619" s="45">
        <v>21010103</v>
      </c>
      <c r="B1619" s="46" t="s">
        <v>53</v>
      </c>
      <c r="C1619" s="106">
        <f>'APPENDIX PERS COSTS DETAILS'!D1806</f>
        <v>11158050</v>
      </c>
      <c r="D1619" s="106">
        <f>'APPENDIX PERS COSTS DETAILS'!F1806</f>
        <v>11158050</v>
      </c>
    </row>
    <row r="1620" spans="1:4" x14ac:dyDescent="0.25">
      <c r="A1620" s="42">
        <v>210201</v>
      </c>
      <c r="B1620" s="43" t="s">
        <v>54</v>
      </c>
      <c r="C1620" s="48"/>
      <c r="D1620" s="48"/>
    </row>
    <row r="1621" spans="1:4" x14ac:dyDescent="0.25">
      <c r="A1621" s="45">
        <v>21020101</v>
      </c>
      <c r="B1621" s="46" t="s">
        <v>55</v>
      </c>
      <c r="C1621" s="49"/>
      <c r="D1621" s="49"/>
    </row>
    <row r="1622" spans="1:4" x14ac:dyDescent="0.25">
      <c r="A1622" s="42">
        <v>21020200</v>
      </c>
      <c r="B1622" s="43" t="s">
        <v>56</v>
      </c>
      <c r="C1622" s="48"/>
      <c r="D1622" s="48"/>
    </row>
    <row r="1623" spans="1:4" x14ac:dyDescent="0.25">
      <c r="A1623" s="45">
        <v>21020201</v>
      </c>
      <c r="B1623" s="46" t="s">
        <v>122</v>
      </c>
      <c r="C1623" s="48"/>
      <c r="D1623" s="48"/>
    </row>
    <row r="1624" spans="1:4" x14ac:dyDescent="0.25">
      <c r="A1624" s="45">
        <v>21020202</v>
      </c>
      <c r="B1624" s="46" t="s">
        <v>123</v>
      </c>
      <c r="C1624" s="48"/>
      <c r="D1624" s="48"/>
    </row>
    <row r="1625" spans="1:4" x14ac:dyDescent="0.25">
      <c r="A1625" s="45">
        <v>21020203</v>
      </c>
      <c r="B1625" s="46" t="s">
        <v>57</v>
      </c>
      <c r="C1625" s="48"/>
      <c r="D1625" s="48"/>
    </row>
    <row r="1626" spans="1:4" x14ac:dyDescent="0.25">
      <c r="A1626" s="45">
        <v>21020204</v>
      </c>
      <c r="B1626" s="46" t="s">
        <v>58</v>
      </c>
      <c r="C1626" s="48"/>
      <c r="D1626" s="48"/>
    </row>
    <row r="1627" spans="1:4" x14ac:dyDescent="0.25">
      <c r="A1627" s="45">
        <v>21020205</v>
      </c>
      <c r="B1627" s="46" t="s">
        <v>59</v>
      </c>
      <c r="C1627" s="48"/>
      <c r="D1627" s="48"/>
    </row>
    <row r="1628" spans="1:4" ht="15" customHeight="1" x14ac:dyDescent="0.25">
      <c r="A1628" s="42">
        <v>21030100</v>
      </c>
      <c r="B1628" s="43" t="s">
        <v>60</v>
      </c>
      <c r="C1628" s="47"/>
      <c r="D1628" s="47"/>
    </row>
    <row r="1629" spans="1:4" x14ac:dyDescent="0.25">
      <c r="A1629" s="45">
        <v>21030101</v>
      </c>
      <c r="B1629" s="46" t="s">
        <v>61</v>
      </c>
      <c r="C1629" s="47"/>
      <c r="D1629" s="47"/>
    </row>
    <row r="1630" spans="1:4" x14ac:dyDescent="0.25">
      <c r="A1630" s="45">
        <v>21030102</v>
      </c>
      <c r="B1630" s="46" t="s">
        <v>62</v>
      </c>
      <c r="C1630" s="47"/>
      <c r="D1630" s="47"/>
    </row>
    <row r="1631" spans="1:4" x14ac:dyDescent="0.25">
      <c r="A1631" s="45">
        <v>21030103</v>
      </c>
      <c r="B1631" s="46" t="s">
        <v>63</v>
      </c>
      <c r="C1631" s="47"/>
      <c r="D1631" s="47"/>
    </row>
    <row r="1632" spans="1:4" x14ac:dyDescent="0.25">
      <c r="A1632" s="45"/>
      <c r="B1632" s="46"/>
      <c r="C1632" s="49"/>
      <c r="D1632" s="49"/>
    </row>
    <row r="1633" spans="1:4" x14ac:dyDescent="0.25">
      <c r="A1633" s="587"/>
      <c r="B1633" s="588" t="s">
        <v>2</v>
      </c>
      <c r="C1633" s="107">
        <f>SUM(C1616:C1632)</f>
        <v>34973810</v>
      </c>
      <c r="D1633" s="107">
        <f>SUM(D1616:D1632)</f>
        <v>46977374</v>
      </c>
    </row>
    <row r="1634" spans="1:4" s="26" customFormat="1" ht="23.25" customHeight="1" x14ac:dyDescent="0.25">
      <c r="A1634" s="27"/>
      <c r="B1634" s="27"/>
      <c r="C1634" s="27"/>
      <c r="D1634" s="27"/>
    </row>
    <row r="1635" spans="1:4" x14ac:dyDescent="0.25">
      <c r="A1635" s="3456" t="s">
        <v>171</v>
      </c>
      <c r="B1635" s="3456"/>
      <c r="C1635" s="3456"/>
      <c r="D1635" s="3456"/>
    </row>
    <row r="1636" spans="1:4" ht="16.5" thickBot="1" x14ac:dyDescent="0.3">
      <c r="A1636" s="3457" t="s">
        <v>2814</v>
      </c>
      <c r="B1636" s="3457"/>
      <c r="C1636" s="3457"/>
      <c r="D1636" s="3457"/>
    </row>
    <row r="1637" spans="1:4" x14ac:dyDescent="0.25">
      <c r="A1637" s="577" t="s">
        <v>0</v>
      </c>
      <c r="B1637" s="578"/>
      <c r="C1637" s="577" t="s">
        <v>7</v>
      </c>
      <c r="D1637" s="579" t="s">
        <v>2447</v>
      </c>
    </row>
    <row r="1638" spans="1:4" s="38" customFormat="1" x14ac:dyDescent="0.2">
      <c r="A1638" s="580" t="s">
        <v>1</v>
      </c>
      <c r="B1638" s="581" t="s">
        <v>5</v>
      </c>
      <c r="C1638" s="580" t="s">
        <v>6</v>
      </c>
      <c r="D1638" s="580" t="s">
        <v>2448</v>
      </c>
    </row>
    <row r="1639" spans="1:4" s="38" customFormat="1" x14ac:dyDescent="0.2">
      <c r="A1639" s="582"/>
      <c r="B1639" s="583"/>
      <c r="C1639" s="580">
        <v>2020</v>
      </c>
      <c r="D1639" s="580">
        <v>2021</v>
      </c>
    </row>
    <row r="1640" spans="1:4" s="38" customFormat="1" ht="16.5" thickBot="1" x14ac:dyDescent="0.25">
      <c r="A1640" s="584"/>
      <c r="B1640" s="585"/>
      <c r="C1640" s="586" t="s">
        <v>4</v>
      </c>
      <c r="D1640" s="586" t="s">
        <v>4</v>
      </c>
    </row>
    <row r="1641" spans="1:4" x14ac:dyDescent="0.25">
      <c r="A1641" s="28"/>
      <c r="B1641" s="7" t="s">
        <v>1093</v>
      </c>
      <c r="C1641" s="29"/>
      <c r="D1641" s="29"/>
    </row>
    <row r="1642" spans="1:4" x14ac:dyDescent="0.25">
      <c r="A1642" s="30">
        <v>21010100</v>
      </c>
      <c r="B1642" s="31" t="s">
        <v>50</v>
      </c>
      <c r="C1642" s="108">
        <f>'APPENDIX PERS COSTS DETAILS'!D1830</f>
        <v>57201395</v>
      </c>
      <c r="D1642" s="108">
        <f>'APPENDIX PERS COSTS DETAILS'!F1830</f>
        <v>59604983</v>
      </c>
    </row>
    <row r="1643" spans="1:4" x14ac:dyDescent="0.25">
      <c r="A1643" s="33">
        <v>21010101</v>
      </c>
      <c r="B1643" s="34" t="s">
        <v>51</v>
      </c>
      <c r="C1643" s="36"/>
      <c r="D1643" s="36"/>
    </row>
    <row r="1644" spans="1:4" x14ac:dyDescent="0.25">
      <c r="A1644" s="33">
        <v>21010102</v>
      </c>
      <c r="B1644" s="34" t="s">
        <v>52</v>
      </c>
      <c r="C1644" s="36"/>
      <c r="D1644" s="36"/>
    </row>
    <row r="1645" spans="1:4" x14ac:dyDescent="0.25">
      <c r="A1645" s="33">
        <v>21010103</v>
      </c>
      <c r="B1645" s="34" t="s">
        <v>53</v>
      </c>
      <c r="C1645" s="108">
        <f>'APPENDIX PERS COSTS DETAILS'!D1835</f>
        <v>11245165</v>
      </c>
      <c r="D1645" s="108">
        <f>'APPENDIX PERS COSTS DETAILS'!F1835</f>
        <v>11245165</v>
      </c>
    </row>
    <row r="1646" spans="1:4" x14ac:dyDescent="0.25">
      <c r="A1646" s="30">
        <v>210201</v>
      </c>
      <c r="B1646" s="31" t="s">
        <v>54</v>
      </c>
      <c r="C1646" s="36"/>
      <c r="D1646" s="36"/>
    </row>
    <row r="1647" spans="1:4" x14ac:dyDescent="0.25">
      <c r="A1647" s="33">
        <v>21020101</v>
      </c>
      <c r="B1647" s="34" t="s">
        <v>55</v>
      </c>
      <c r="C1647" s="37"/>
      <c r="D1647" s="37"/>
    </row>
    <row r="1648" spans="1:4" x14ac:dyDescent="0.25">
      <c r="A1648" s="30">
        <v>21020200</v>
      </c>
      <c r="B1648" s="31" t="s">
        <v>56</v>
      </c>
      <c r="C1648" s="36"/>
      <c r="D1648" s="36"/>
    </row>
    <row r="1649" spans="1:4" x14ac:dyDescent="0.25">
      <c r="A1649" s="33">
        <v>21020201</v>
      </c>
      <c r="B1649" s="34" t="s">
        <v>122</v>
      </c>
      <c r="C1649" s="36"/>
      <c r="D1649" s="36"/>
    </row>
    <row r="1650" spans="1:4" x14ac:dyDescent="0.25">
      <c r="A1650" s="33">
        <v>21020202</v>
      </c>
      <c r="B1650" s="34" t="s">
        <v>123</v>
      </c>
      <c r="C1650" s="36"/>
      <c r="D1650" s="36"/>
    </row>
    <row r="1651" spans="1:4" x14ac:dyDescent="0.25">
      <c r="A1651" s="33">
        <v>21020203</v>
      </c>
      <c r="B1651" s="34" t="s">
        <v>57</v>
      </c>
      <c r="C1651" s="36"/>
      <c r="D1651" s="36"/>
    </row>
    <row r="1652" spans="1:4" x14ac:dyDescent="0.25">
      <c r="A1652" s="33">
        <v>21020204</v>
      </c>
      <c r="B1652" s="34" t="s">
        <v>58</v>
      </c>
      <c r="C1652" s="36"/>
      <c r="D1652" s="36"/>
    </row>
    <row r="1653" spans="1:4" x14ac:dyDescent="0.25">
      <c r="A1653" s="33">
        <v>21020205</v>
      </c>
      <c r="B1653" s="34" t="s">
        <v>59</v>
      </c>
      <c r="C1653" s="36"/>
      <c r="D1653" s="36"/>
    </row>
    <row r="1654" spans="1:4" x14ac:dyDescent="0.25">
      <c r="A1654" s="30">
        <v>21030100</v>
      </c>
      <c r="B1654" s="31" t="s">
        <v>60</v>
      </c>
      <c r="C1654" s="35"/>
      <c r="D1654" s="35"/>
    </row>
    <row r="1655" spans="1:4" x14ac:dyDescent="0.25">
      <c r="A1655" s="33">
        <v>21030101</v>
      </c>
      <c r="B1655" s="34" t="s">
        <v>61</v>
      </c>
      <c r="C1655" s="35"/>
      <c r="D1655" s="35"/>
    </row>
    <row r="1656" spans="1:4" x14ac:dyDescent="0.25">
      <c r="A1656" s="33">
        <v>21030102</v>
      </c>
      <c r="B1656" s="34" t="s">
        <v>62</v>
      </c>
      <c r="C1656" s="35"/>
      <c r="D1656" s="35"/>
    </row>
    <row r="1657" spans="1:4" x14ac:dyDescent="0.25">
      <c r="A1657" s="33">
        <v>21030103</v>
      </c>
      <c r="B1657" s="34" t="s">
        <v>63</v>
      </c>
      <c r="C1657" s="35"/>
      <c r="D1657" s="35"/>
    </row>
    <row r="1658" spans="1:4" x14ac:dyDescent="0.25">
      <c r="A1658" s="33"/>
      <c r="B1658" s="34"/>
      <c r="C1658" s="37"/>
      <c r="D1658" s="37"/>
    </row>
    <row r="1659" spans="1:4" x14ac:dyDescent="0.25">
      <c r="A1659" s="593"/>
      <c r="B1659" s="594" t="s">
        <v>2</v>
      </c>
      <c r="C1659" s="109">
        <f>SUM(C1640:C1658)</f>
        <v>68446560</v>
      </c>
      <c r="D1659" s="109">
        <f>SUM(D1640:D1658)</f>
        <v>70850148</v>
      </c>
    </row>
    <row r="1660" spans="1:4" s="26" customFormat="1" x14ac:dyDescent="0.25">
      <c r="A1660" s="3458"/>
      <c r="B1660" s="3458"/>
      <c r="C1660" s="3458"/>
      <c r="D1660" s="3458"/>
    </row>
    <row r="1661" spans="1:4" x14ac:dyDescent="0.25">
      <c r="A1661" s="3456" t="s">
        <v>172</v>
      </c>
      <c r="B1661" s="3456"/>
      <c r="C1661" s="3456"/>
      <c r="D1661" s="3456"/>
    </row>
    <row r="1662" spans="1:4" ht="16.5" thickBot="1" x14ac:dyDescent="0.3">
      <c r="A1662" s="3457" t="s">
        <v>2815</v>
      </c>
      <c r="B1662" s="3457"/>
      <c r="C1662" s="3457"/>
      <c r="D1662" s="3457"/>
    </row>
    <row r="1663" spans="1:4" x14ac:dyDescent="0.25">
      <c r="A1663" s="577" t="s">
        <v>0</v>
      </c>
      <c r="B1663" s="578"/>
      <c r="C1663" s="577" t="s">
        <v>7</v>
      </c>
      <c r="D1663" s="579" t="s">
        <v>2447</v>
      </c>
    </row>
    <row r="1664" spans="1:4" s="38" customFormat="1" x14ac:dyDescent="0.2">
      <c r="A1664" s="580" t="s">
        <v>1</v>
      </c>
      <c r="B1664" s="581" t="s">
        <v>5</v>
      </c>
      <c r="C1664" s="580" t="s">
        <v>6</v>
      </c>
      <c r="D1664" s="580" t="s">
        <v>2448</v>
      </c>
    </row>
    <row r="1665" spans="1:4" s="38" customFormat="1" x14ac:dyDescent="0.2">
      <c r="A1665" s="582"/>
      <c r="B1665" s="583"/>
      <c r="C1665" s="580">
        <v>2020</v>
      </c>
      <c r="D1665" s="580">
        <v>2021</v>
      </c>
    </row>
    <row r="1666" spans="1:4" s="38" customFormat="1" ht="16.5" thickBot="1" x14ac:dyDescent="0.25">
      <c r="A1666" s="584"/>
      <c r="B1666" s="585"/>
      <c r="C1666" s="586" t="s">
        <v>4</v>
      </c>
      <c r="D1666" s="586" t="s">
        <v>4</v>
      </c>
    </row>
    <row r="1667" spans="1:4" x14ac:dyDescent="0.25">
      <c r="A1667" s="36"/>
      <c r="B1667" s="6" t="s">
        <v>1093</v>
      </c>
      <c r="C1667" s="35"/>
      <c r="D1667" s="35"/>
    </row>
    <row r="1668" spans="1:4" x14ac:dyDescent="0.25">
      <c r="A1668" s="30">
        <v>21010100</v>
      </c>
      <c r="B1668" s="31" t="s">
        <v>50</v>
      </c>
      <c r="C1668" s="108">
        <f>'APPENDIX PERS COSTS DETAILS'!D1859</f>
        <v>31725020</v>
      </c>
      <c r="D1668" s="108">
        <f>'APPENDIX PERS COSTS DETAILS'!F1859</f>
        <v>36595795</v>
      </c>
    </row>
    <row r="1669" spans="1:4" x14ac:dyDescent="0.25">
      <c r="A1669" s="33">
        <v>21010101</v>
      </c>
      <c r="B1669" s="34" t="s">
        <v>51</v>
      </c>
      <c r="C1669" s="36"/>
      <c r="D1669" s="36"/>
    </row>
    <row r="1670" spans="1:4" x14ac:dyDescent="0.25">
      <c r="A1670" s="33">
        <v>21010102</v>
      </c>
      <c r="B1670" s="34" t="s">
        <v>52</v>
      </c>
      <c r="C1670" s="36"/>
      <c r="D1670" s="36"/>
    </row>
    <row r="1671" spans="1:4" x14ac:dyDescent="0.25">
      <c r="A1671" s="33">
        <v>21010103</v>
      </c>
      <c r="B1671" s="34" t="s">
        <v>53</v>
      </c>
      <c r="C1671" s="108">
        <f>'APPENDIX PERS COSTS DETAILS'!D1862</f>
        <v>5729815</v>
      </c>
      <c r="D1671" s="108">
        <f>'APPENDIX PERS COSTS DETAILS'!F1862</f>
        <v>5729815</v>
      </c>
    </row>
    <row r="1672" spans="1:4" x14ac:dyDescent="0.25">
      <c r="A1672" s="30">
        <v>210201</v>
      </c>
      <c r="B1672" s="31" t="s">
        <v>54</v>
      </c>
      <c r="C1672" s="36"/>
      <c r="D1672" s="36"/>
    </row>
    <row r="1673" spans="1:4" x14ac:dyDescent="0.25">
      <c r="A1673" s="33">
        <v>21020101</v>
      </c>
      <c r="B1673" s="34" t="s">
        <v>55</v>
      </c>
      <c r="C1673" s="37"/>
      <c r="D1673" s="37"/>
    </row>
    <row r="1674" spans="1:4" x14ac:dyDescent="0.25">
      <c r="A1674" s="30">
        <v>21020200</v>
      </c>
      <c r="B1674" s="31" t="s">
        <v>56</v>
      </c>
      <c r="C1674" s="36"/>
      <c r="D1674" s="36"/>
    </row>
    <row r="1675" spans="1:4" x14ac:dyDescent="0.25">
      <c r="A1675" s="33">
        <v>21020201</v>
      </c>
      <c r="B1675" s="34" t="s">
        <v>122</v>
      </c>
      <c r="C1675" s="36"/>
      <c r="D1675" s="36"/>
    </row>
    <row r="1676" spans="1:4" x14ac:dyDescent="0.25">
      <c r="A1676" s="33">
        <v>21020202</v>
      </c>
      <c r="B1676" s="34" t="s">
        <v>123</v>
      </c>
      <c r="C1676" s="36"/>
      <c r="D1676" s="36"/>
    </row>
    <row r="1677" spans="1:4" x14ac:dyDescent="0.25">
      <c r="A1677" s="33">
        <v>21020203</v>
      </c>
      <c r="B1677" s="34" t="s">
        <v>57</v>
      </c>
      <c r="C1677" s="36"/>
      <c r="D1677" s="36"/>
    </row>
    <row r="1678" spans="1:4" x14ac:dyDescent="0.25">
      <c r="A1678" s="33">
        <v>21020204</v>
      </c>
      <c r="B1678" s="34" t="s">
        <v>58</v>
      </c>
      <c r="C1678" s="36"/>
      <c r="D1678" s="36"/>
    </row>
    <row r="1679" spans="1:4" x14ac:dyDescent="0.25">
      <c r="A1679" s="33">
        <v>21020205</v>
      </c>
      <c r="B1679" s="34" t="s">
        <v>59</v>
      </c>
      <c r="C1679" s="36"/>
      <c r="D1679" s="36"/>
    </row>
    <row r="1680" spans="1:4" x14ac:dyDescent="0.25">
      <c r="A1680" s="30">
        <v>21030100</v>
      </c>
      <c r="B1680" s="31" t="s">
        <v>60</v>
      </c>
      <c r="C1680" s="35"/>
      <c r="D1680" s="35"/>
    </row>
    <row r="1681" spans="1:4" x14ac:dyDescent="0.25">
      <c r="A1681" s="33">
        <v>21030101</v>
      </c>
      <c r="B1681" s="34" t="s">
        <v>61</v>
      </c>
      <c r="C1681" s="35"/>
      <c r="D1681" s="35"/>
    </row>
    <row r="1682" spans="1:4" s="612" customFormat="1" x14ac:dyDescent="0.25">
      <c r="A1682" s="33">
        <v>21030102</v>
      </c>
      <c r="B1682" s="34" t="s">
        <v>62</v>
      </c>
      <c r="C1682" s="35"/>
      <c r="D1682" s="35"/>
    </row>
    <row r="1683" spans="1:4" x14ac:dyDescent="0.25">
      <c r="A1683" s="33">
        <v>21030103</v>
      </c>
      <c r="B1683" s="34" t="s">
        <v>63</v>
      </c>
      <c r="C1683" s="35"/>
      <c r="D1683" s="35"/>
    </row>
    <row r="1684" spans="1:4" x14ac:dyDescent="0.25">
      <c r="A1684" s="33"/>
      <c r="B1684" s="34"/>
      <c r="C1684" s="35"/>
      <c r="D1684" s="35"/>
    </row>
    <row r="1685" spans="1:4" x14ac:dyDescent="0.25">
      <c r="A1685" s="33"/>
      <c r="B1685" s="607" t="s">
        <v>2</v>
      </c>
      <c r="C1685" s="1966">
        <f>SUM(C1666:C1684)</f>
        <v>37454835</v>
      </c>
      <c r="D1685" s="1966">
        <f>SUM(D1666:D1684)</f>
        <v>42325610</v>
      </c>
    </row>
    <row r="1686" spans="1:4" x14ac:dyDescent="0.25">
      <c r="A1686" s="3458"/>
      <c r="B1686" s="3458"/>
      <c r="C1686" s="3458"/>
      <c r="D1686" s="3458"/>
    </row>
    <row r="1687" spans="1:4" x14ac:dyDescent="0.25">
      <c r="A1687" s="3456" t="s">
        <v>1094</v>
      </c>
      <c r="B1687" s="3456"/>
      <c r="C1687" s="3456"/>
      <c r="D1687" s="3456"/>
    </row>
    <row r="1688" spans="1:4" ht="16.5" thickBot="1" x14ac:dyDescent="0.3">
      <c r="A1688" s="3460" t="s">
        <v>2816</v>
      </c>
      <c r="B1688" s="3460"/>
      <c r="C1688" s="3460"/>
      <c r="D1688" s="3460"/>
    </row>
    <row r="1689" spans="1:4" x14ac:dyDescent="0.25">
      <c r="A1689" s="577" t="s">
        <v>0</v>
      </c>
      <c r="B1689" s="578"/>
      <c r="C1689" s="577" t="s">
        <v>7</v>
      </c>
      <c r="D1689" s="579" t="s">
        <v>2447</v>
      </c>
    </row>
    <row r="1690" spans="1:4" s="38" customFormat="1" x14ac:dyDescent="0.2">
      <c r="A1690" s="580" t="s">
        <v>1</v>
      </c>
      <c r="B1690" s="581" t="s">
        <v>5</v>
      </c>
      <c r="C1690" s="580" t="s">
        <v>6</v>
      </c>
      <c r="D1690" s="580" t="s">
        <v>2448</v>
      </c>
    </row>
    <row r="1691" spans="1:4" s="38" customFormat="1" x14ac:dyDescent="0.2">
      <c r="A1691" s="582"/>
      <c r="B1691" s="583"/>
      <c r="C1691" s="580">
        <v>2020</v>
      </c>
      <c r="D1691" s="580">
        <v>2021</v>
      </c>
    </row>
    <row r="1692" spans="1:4" s="38" customFormat="1" ht="16.5" thickBot="1" x14ac:dyDescent="0.25">
      <c r="A1692" s="584"/>
      <c r="B1692" s="585"/>
      <c r="C1692" s="586" t="s">
        <v>4</v>
      </c>
      <c r="D1692" s="586" t="s">
        <v>4</v>
      </c>
    </row>
    <row r="1693" spans="1:4" x14ac:dyDescent="0.25">
      <c r="A1693" s="28"/>
      <c r="B1693" s="7" t="s">
        <v>1093</v>
      </c>
      <c r="C1693" s="29"/>
      <c r="D1693" s="29"/>
    </row>
    <row r="1694" spans="1:4" x14ac:dyDescent="0.25">
      <c r="A1694" s="30">
        <v>21010100</v>
      </c>
      <c r="B1694" s="31" t="s">
        <v>50</v>
      </c>
      <c r="C1694" s="108">
        <f>'APPENDIX PERS COSTS DETAILS'!D1891</f>
        <v>224745455</v>
      </c>
      <c r="D1694" s="108">
        <f>'APPENDIX PERS COSTS DETAILS'!F1891</f>
        <v>232367063</v>
      </c>
    </row>
    <row r="1695" spans="1:4" x14ac:dyDescent="0.25">
      <c r="A1695" s="33">
        <v>21010101</v>
      </c>
      <c r="B1695" s="34" t="s">
        <v>51</v>
      </c>
      <c r="C1695" s="36"/>
      <c r="D1695" s="36"/>
    </row>
    <row r="1696" spans="1:4" x14ac:dyDescent="0.25">
      <c r="A1696" s="33">
        <v>21010102</v>
      </c>
      <c r="B1696" s="34" t="s">
        <v>52</v>
      </c>
      <c r="C1696" s="36"/>
      <c r="D1696" s="36"/>
    </row>
    <row r="1697" spans="1:4" x14ac:dyDescent="0.25">
      <c r="A1697" s="33">
        <v>21010103</v>
      </c>
      <c r="B1697" s="34" t="s">
        <v>53</v>
      </c>
      <c r="C1697" s="108">
        <f>'APPENDIX PERS COSTS DETAILS'!D1896</f>
        <v>11158050</v>
      </c>
      <c r="D1697" s="108">
        <f>'APPENDIX PERS COSTS DETAILS'!F1896</f>
        <v>11158050</v>
      </c>
    </row>
    <row r="1698" spans="1:4" x14ac:dyDescent="0.25">
      <c r="A1698" s="30">
        <v>210201</v>
      </c>
      <c r="B1698" s="31" t="s">
        <v>54</v>
      </c>
      <c r="C1698" s="36"/>
      <c r="D1698" s="36"/>
    </row>
    <row r="1699" spans="1:4" x14ac:dyDescent="0.25">
      <c r="A1699" s="33">
        <v>21020101</v>
      </c>
      <c r="B1699" s="34" t="s">
        <v>55</v>
      </c>
      <c r="C1699" s="37"/>
      <c r="D1699" s="37"/>
    </row>
    <row r="1700" spans="1:4" x14ac:dyDescent="0.25">
      <c r="A1700" s="30">
        <v>21020200</v>
      </c>
      <c r="B1700" s="31" t="s">
        <v>56</v>
      </c>
      <c r="C1700" s="36"/>
      <c r="D1700" s="36"/>
    </row>
    <row r="1701" spans="1:4" x14ac:dyDescent="0.25">
      <c r="A1701" s="33">
        <v>21020201</v>
      </c>
      <c r="B1701" s="34" t="s">
        <v>122</v>
      </c>
      <c r="C1701" s="36"/>
      <c r="D1701" s="36"/>
    </row>
    <row r="1702" spans="1:4" x14ac:dyDescent="0.25">
      <c r="A1702" s="33">
        <v>21020202</v>
      </c>
      <c r="B1702" s="34" t="s">
        <v>123</v>
      </c>
      <c r="C1702" s="36"/>
      <c r="D1702" s="36"/>
    </row>
    <row r="1703" spans="1:4" x14ac:dyDescent="0.25">
      <c r="A1703" s="33">
        <v>21020203</v>
      </c>
      <c r="B1703" s="34" t="s">
        <v>57</v>
      </c>
      <c r="C1703" s="36"/>
      <c r="D1703" s="36"/>
    </row>
    <row r="1704" spans="1:4" x14ac:dyDescent="0.25">
      <c r="A1704" s="33">
        <v>21020204</v>
      </c>
      <c r="B1704" s="34" t="s">
        <v>58</v>
      </c>
      <c r="C1704" s="36"/>
      <c r="D1704" s="36"/>
    </row>
    <row r="1705" spans="1:4" x14ac:dyDescent="0.25">
      <c r="A1705" s="33">
        <v>21020205</v>
      </c>
      <c r="B1705" s="34" t="s">
        <v>59</v>
      </c>
      <c r="C1705" s="36"/>
      <c r="D1705" s="36"/>
    </row>
    <row r="1706" spans="1:4" x14ac:dyDescent="0.25">
      <c r="A1706" s="30">
        <v>21030100</v>
      </c>
      <c r="B1706" s="31" t="s">
        <v>60</v>
      </c>
      <c r="C1706" s="35"/>
      <c r="D1706" s="35"/>
    </row>
    <row r="1707" spans="1:4" x14ac:dyDescent="0.25">
      <c r="A1707" s="33">
        <v>21030101</v>
      </c>
      <c r="B1707" s="34" t="s">
        <v>61</v>
      </c>
      <c r="C1707" s="35"/>
      <c r="D1707" s="35"/>
    </row>
    <row r="1708" spans="1:4" x14ac:dyDescent="0.25">
      <c r="A1708" s="33">
        <v>21030102</v>
      </c>
      <c r="B1708" s="34" t="s">
        <v>62</v>
      </c>
      <c r="C1708" s="35"/>
      <c r="D1708" s="35"/>
    </row>
    <row r="1709" spans="1:4" x14ac:dyDescent="0.25">
      <c r="A1709" s="33">
        <v>21030103</v>
      </c>
      <c r="B1709" s="34" t="s">
        <v>63</v>
      </c>
      <c r="C1709" s="35"/>
      <c r="D1709" s="35"/>
    </row>
    <row r="1710" spans="1:4" x14ac:dyDescent="0.25">
      <c r="A1710" s="33"/>
      <c r="B1710" s="34"/>
      <c r="C1710" s="35"/>
      <c r="D1710" s="35"/>
    </row>
    <row r="1711" spans="1:4" x14ac:dyDescent="0.25">
      <c r="A1711" s="593"/>
      <c r="B1711" s="594" t="s">
        <v>2</v>
      </c>
      <c r="C1711" s="109">
        <f>SUM(C1694:C1709)</f>
        <v>235903505</v>
      </c>
      <c r="D1711" s="109">
        <f>SUM(D1694:D1709)</f>
        <v>243525113</v>
      </c>
    </row>
    <row r="1712" spans="1:4" s="26" customFormat="1" x14ac:dyDescent="0.25">
      <c r="A1712" s="27"/>
      <c r="B1712" s="27"/>
      <c r="C1712" s="27"/>
      <c r="D1712" s="27"/>
    </row>
    <row r="1713" spans="1:4" x14ac:dyDescent="0.25">
      <c r="A1713" s="3456" t="s">
        <v>173</v>
      </c>
      <c r="B1713" s="3456"/>
      <c r="C1713" s="3456"/>
      <c r="D1713" s="3456"/>
    </row>
    <row r="1714" spans="1:4" ht="16.5" thickBot="1" x14ac:dyDescent="0.3">
      <c r="A1714" s="3457" t="s">
        <v>2817</v>
      </c>
      <c r="B1714" s="3457"/>
      <c r="C1714" s="3457"/>
      <c r="D1714" s="3457"/>
    </row>
    <row r="1715" spans="1:4" x14ac:dyDescent="0.25">
      <c r="A1715" s="577" t="s">
        <v>0</v>
      </c>
      <c r="B1715" s="578"/>
      <c r="C1715" s="577" t="s">
        <v>7</v>
      </c>
      <c r="D1715" s="579" t="s">
        <v>2447</v>
      </c>
    </row>
    <row r="1716" spans="1:4" s="38" customFormat="1" x14ac:dyDescent="0.2">
      <c r="A1716" s="580" t="s">
        <v>1</v>
      </c>
      <c r="B1716" s="581" t="s">
        <v>5</v>
      </c>
      <c r="C1716" s="580" t="s">
        <v>6</v>
      </c>
      <c r="D1716" s="580" t="s">
        <v>2448</v>
      </c>
    </row>
    <row r="1717" spans="1:4" s="38" customFormat="1" x14ac:dyDescent="0.2">
      <c r="A1717" s="582"/>
      <c r="B1717" s="583"/>
      <c r="C1717" s="580">
        <v>2020</v>
      </c>
      <c r="D1717" s="580">
        <v>2021</v>
      </c>
    </row>
    <row r="1718" spans="1:4" s="38" customFormat="1" ht="16.5" thickBot="1" x14ac:dyDescent="0.25">
      <c r="A1718" s="584"/>
      <c r="B1718" s="585"/>
      <c r="C1718" s="586" t="s">
        <v>4</v>
      </c>
      <c r="D1718" s="586" t="s">
        <v>4</v>
      </c>
    </row>
    <row r="1719" spans="1:4" x14ac:dyDescent="0.25">
      <c r="A1719" s="28"/>
      <c r="B1719" s="7" t="s">
        <v>1093</v>
      </c>
      <c r="C1719" s="29"/>
      <c r="D1719" s="29"/>
    </row>
    <row r="1720" spans="1:4" x14ac:dyDescent="0.25">
      <c r="A1720" s="30">
        <v>21010100</v>
      </c>
      <c r="B1720" s="31" t="s">
        <v>50</v>
      </c>
      <c r="C1720" s="108">
        <f>'APPENDIX PERS COSTS DETAILS'!D1926</f>
        <v>7954118480</v>
      </c>
      <c r="D1720" s="108">
        <f>'APPENDIX PERS COSTS DETAILS'!F1919+'APPENDIX PERS COSTS DETAILS'!F1924+'APPENDIX PERS COSTS DETAILS'!F1925</f>
        <v>8005954441</v>
      </c>
    </row>
    <row r="1721" spans="1:4" x14ac:dyDescent="0.25">
      <c r="A1721" s="33">
        <v>21010101</v>
      </c>
      <c r="B1721" s="34" t="s">
        <v>51</v>
      </c>
      <c r="C1721" s="36"/>
      <c r="D1721" s="36"/>
    </row>
    <row r="1722" spans="1:4" x14ac:dyDescent="0.25">
      <c r="A1722" s="33">
        <v>21010102</v>
      </c>
      <c r="B1722" s="34" t="s">
        <v>52</v>
      </c>
      <c r="C1722" s="36"/>
      <c r="D1722" s="36"/>
    </row>
    <row r="1723" spans="1:4" x14ac:dyDescent="0.25">
      <c r="A1723" s="33">
        <v>21010103</v>
      </c>
      <c r="B1723" s="34" t="s">
        <v>53</v>
      </c>
      <c r="C1723" s="108">
        <f>'APPENDIX PERS COSTS DETAILS'!D1931</f>
        <v>11245165</v>
      </c>
      <c r="D1723" s="108">
        <f>'APPENDIX PERS COSTS DETAILS'!F1931</f>
        <v>11245165</v>
      </c>
    </row>
    <row r="1724" spans="1:4" x14ac:dyDescent="0.25">
      <c r="A1724" s="30">
        <v>210201</v>
      </c>
      <c r="B1724" s="31" t="s">
        <v>54</v>
      </c>
      <c r="C1724" s="36"/>
      <c r="D1724" s="36"/>
    </row>
    <row r="1725" spans="1:4" x14ac:dyDescent="0.25">
      <c r="A1725" s="33">
        <v>21020101</v>
      </c>
      <c r="B1725" s="34" t="s">
        <v>55</v>
      </c>
      <c r="C1725" s="37"/>
      <c r="D1725" s="37"/>
    </row>
    <row r="1726" spans="1:4" x14ac:dyDescent="0.25">
      <c r="A1726" s="30">
        <v>21020200</v>
      </c>
      <c r="B1726" s="31" t="s">
        <v>56</v>
      </c>
      <c r="C1726" s="36"/>
      <c r="D1726" s="36"/>
    </row>
    <row r="1727" spans="1:4" x14ac:dyDescent="0.25">
      <c r="A1727" s="33">
        <v>21020201</v>
      </c>
      <c r="B1727" s="34" t="s">
        <v>122</v>
      </c>
      <c r="C1727" s="36"/>
      <c r="D1727" s="36"/>
    </row>
    <row r="1728" spans="1:4" x14ac:dyDescent="0.25">
      <c r="A1728" s="33">
        <v>21020202</v>
      </c>
      <c r="B1728" s="34" t="s">
        <v>123</v>
      </c>
      <c r="C1728" s="36"/>
      <c r="D1728" s="36"/>
    </row>
    <row r="1729" spans="1:4" x14ac:dyDescent="0.25">
      <c r="A1729" s="33">
        <v>21020203</v>
      </c>
      <c r="B1729" s="34" t="s">
        <v>57</v>
      </c>
      <c r="C1729" s="36"/>
      <c r="D1729" s="36"/>
    </row>
    <row r="1730" spans="1:4" x14ac:dyDescent="0.25">
      <c r="A1730" s="33">
        <v>21020204</v>
      </c>
      <c r="B1730" s="34" t="s">
        <v>58</v>
      </c>
      <c r="C1730" s="36"/>
      <c r="D1730" s="36"/>
    </row>
    <row r="1731" spans="1:4" x14ac:dyDescent="0.25">
      <c r="A1731" s="33">
        <v>21020205</v>
      </c>
      <c r="B1731" s="34" t="s">
        <v>59</v>
      </c>
      <c r="C1731" s="36"/>
      <c r="D1731" s="36"/>
    </row>
    <row r="1732" spans="1:4" x14ac:dyDescent="0.25">
      <c r="A1732" s="30">
        <v>21030100</v>
      </c>
      <c r="B1732" s="31" t="s">
        <v>60</v>
      </c>
      <c r="C1732" s="35"/>
      <c r="D1732" s="35"/>
    </row>
    <row r="1733" spans="1:4" x14ac:dyDescent="0.25">
      <c r="A1733" s="33">
        <v>21030101</v>
      </c>
      <c r="B1733" s="34" t="s">
        <v>61</v>
      </c>
      <c r="C1733" s="35"/>
      <c r="D1733" s="35"/>
    </row>
    <row r="1734" spans="1:4" x14ac:dyDescent="0.25">
      <c r="A1734" s="33">
        <v>21030102</v>
      </c>
      <c r="B1734" s="34" t="s">
        <v>62</v>
      </c>
      <c r="C1734" s="35"/>
      <c r="D1734" s="35"/>
    </row>
    <row r="1735" spans="1:4" ht="20.25" customHeight="1" x14ac:dyDescent="0.25">
      <c r="A1735" s="33">
        <v>21030103</v>
      </c>
      <c r="B1735" s="34" t="s">
        <v>63</v>
      </c>
      <c r="C1735" s="35"/>
      <c r="D1735" s="35"/>
    </row>
    <row r="1736" spans="1:4" ht="21" customHeight="1" x14ac:dyDescent="0.25">
      <c r="A1736" s="33"/>
      <c r="B1736" s="34"/>
      <c r="C1736" s="37"/>
      <c r="D1736" s="37"/>
    </row>
    <row r="1737" spans="1:4" x14ac:dyDescent="0.25">
      <c r="A1737" s="593"/>
      <c r="B1737" s="594" t="s">
        <v>2</v>
      </c>
      <c r="C1737" s="109">
        <f>SUM(C1718:C1736)</f>
        <v>7965363645</v>
      </c>
      <c r="D1737" s="109">
        <f>SUM(D1718:D1736)</f>
        <v>8017199606</v>
      </c>
    </row>
    <row r="1738" spans="1:4" s="280" customFormat="1" x14ac:dyDescent="0.25">
      <c r="A1738" s="603"/>
      <c r="B1738" s="604"/>
      <c r="C1738" s="114"/>
      <c r="D1738" s="114"/>
    </row>
    <row r="1739" spans="1:4" x14ac:dyDescent="0.25">
      <c r="A1739" s="3456" t="s">
        <v>1411</v>
      </c>
      <c r="B1739" s="3456"/>
      <c r="C1739" s="3456"/>
      <c r="D1739" s="3456"/>
    </row>
    <row r="1740" spans="1:4" ht="16.5" thickBot="1" x14ac:dyDescent="0.3">
      <c r="A1740" s="3457" t="s">
        <v>2832</v>
      </c>
      <c r="B1740" s="3457"/>
      <c r="C1740" s="3457"/>
      <c r="D1740" s="3457"/>
    </row>
    <row r="1741" spans="1:4" x14ac:dyDescent="0.25">
      <c r="A1741" s="577" t="s">
        <v>0</v>
      </c>
      <c r="B1741" s="578"/>
      <c r="C1741" s="577" t="s">
        <v>7</v>
      </c>
      <c r="D1741" s="579" t="s">
        <v>2447</v>
      </c>
    </row>
    <row r="1742" spans="1:4" s="38" customFormat="1" x14ac:dyDescent="0.2">
      <c r="A1742" s="580" t="s">
        <v>1</v>
      </c>
      <c r="B1742" s="581" t="s">
        <v>5</v>
      </c>
      <c r="C1742" s="580" t="s">
        <v>6</v>
      </c>
      <c r="D1742" s="580" t="s">
        <v>2448</v>
      </c>
    </row>
    <row r="1743" spans="1:4" s="38" customFormat="1" x14ac:dyDescent="0.2">
      <c r="A1743" s="582"/>
      <c r="B1743" s="583"/>
      <c r="C1743" s="580">
        <v>2020</v>
      </c>
      <c r="D1743" s="580">
        <v>2021</v>
      </c>
    </row>
    <row r="1744" spans="1:4" s="38" customFormat="1" ht="16.5" thickBot="1" x14ac:dyDescent="0.25">
      <c r="A1744" s="584"/>
      <c r="B1744" s="585"/>
      <c r="C1744" s="586" t="s">
        <v>4</v>
      </c>
      <c r="D1744" s="586" t="s">
        <v>4</v>
      </c>
    </row>
    <row r="1745" spans="1:4" x14ac:dyDescent="0.25">
      <c r="A1745" s="28"/>
      <c r="B1745" s="7" t="s">
        <v>1093</v>
      </c>
      <c r="C1745" s="29"/>
      <c r="D1745" s="29"/>
    </row>
    <row r="1746" spans="1:4" x14ac:dyDescent="0.25">
      <c r="A1746" s="30">
        <v>21010100</v>
      </c>
      <c r="B1746" s="31" t="s">
        <v>50</v>
      </c>
      <c r="C1746" s="108">
        <f>'APPENDIX PERS COSTS DETAILS'!C1955</f>
        <v>99950751.469999999</v>
      </c>
      <c r="D1746" s="108">
        <f>'APPENDIX PERS COSTS DETAILS'!F1955</f>
        <v>98966272</v>
      </c>
    </row>
    <row r="1747" spans="1:4" x14ac:dyDescent="0.25">
      <c r="A1747" s="33">
        <v>21010101</v>
      </c>
      <c r="B1747" s="34" t="s">
        <v>51</v>
      </c>
      <c r="C1747" s="36"/>
      <c r="D1747" s="36"/>
    </row>
    <row r="1748" spans="1:4" x14ac:dyDescent="0.25">
      <c r="A1748" s="33">
        <v>21010102</v>
      </c>
      <c r="B1748" s="34" t="s">
        <v>52</v>
      </c>
      <c r="C1748" s="36"/>
      <c r="D1748" s="36"/>
    </row>
    <row r="1749" spans="1:4" x14ac:dyDescent="0.25">
      <c r="A1749" s="33">
        <v>21010103</v>
      </c>
      <c r="B1749" s="34" t="s">
        <v>53</v>
      </c>
      <c r="C1749" s="108">
        <f>'APPENDIX PERS COSTS DETAILS'!C1958</f>
        <v>13817448</v>
      </c>
      <c r="D1749" s="108">
        <f>'APPENDIX PERS COSTS DETAILS'!F1958</f>
        <v>13817448</v>
      </c>
    </row>
    <row r="1750" spans="1:4" x14ac:dyDescent="0.25">
      <c r="A1750" s="30">
        <v>210201</v>
      </c>
      <c r="B1750" s="31" t="s">
        <v>54</v>
      </c>
      <c r="C1750" s="36"/>
      <c r="D1750" s="36"/>
    </row>
    <row r="1751" spans="1:4" x14ac:dyDescent="0.25">
      <c r="A1751" s="33">
        <v>21020101</v>
      </c>
      <c r="B1751" s="34" t="s">
        <v>55</v>
      </c>
      <c r="C1751" s="37"/>
      <c r="D1751" s="37"/>
    </row>
    <row r="1752" spans="1:4" x14ac:dyDescent="0.25">
      <c r="A1752" s="30">
        <v>21020200</v>
      </c>
      <c r="B1752" s="31" t="s">
        <v>56</v>
      </c>
      <c r="C1752" s="36"/>
      <c r="D1752" s="36"/>
    </row>
    <row r="1753" spans="1:4" x14ac:dyDescent="0.25">
      <c r="A1753" s="33">
        <v>21020201</v>
      </c>
      <c r="B1753" s="34" t="s">
        <v>122</v>
      </c>
      <c r="C1753" s="36"/>
      <c r="D1753" s="36"/>
    </row>
    <row r="1754" spans="1:4" x14ac:dyDescent="0.25">
      <c r="A1754" s="33">
        <v>21020202</v>
      </c>
      <c r="B1754" s="34" t="s">
        <v>123</v>
      </c>
      <c r="C1754" s="36"/>
      <c r="D1754" s="36"/>
    </row>
    <row r="1755" spans="1:4" x14ac:dyDescent="0.25">
      <c r="A1755" s="33">
        <v>21020203</v>
      </c>
      <c r="B1755" s="34" t="s">
        <v>57</v>
      </c>
      <c r="C1755" s="36"/>
      <c r="D1755" s="36"/>
    </row>
    <row r="1756" spans="1:4" x14ac:dyDescent="0.25">
      <c r="A1756" s="33">
        <v>21020204</v>
      </c>
      <c r="B1756" s="34" t="s">
        <v>58</v>
      </c>
      <c r="C1756" s="36"/>
      <c r="D1756" s="36"/>
    </row>
    <row r="1757" spans="1:4" x14ac:dyDescent="0.25">
      <c r="A1757" s="33">
        <v>21020205</v>
      </c>
      <c r="B1757" s="34" t="s">
        <v>59</v>
      </c>
      <c r="C1757" s="36"/>
      <c r="D1757" s="36"/>
    </row>
    <row r="1758" spans="1:4" x14ac:dyDescent="0.25">
      <c r="A1758" s="30">
        <v>21030100</v>
      </c>
      <c r="B1758" s="31" t="s">
        <v>60</v>
      </c>
      <c r="C1758" s="35"/>
      <c r="D1758" s="35"/>
    </row>
    <row r="1759" spans="1:4" x14ac:dyDescent="0.25">
      <c r="A1759" s="33">
        <v>21030101</v>
      </c>
      <c r="B1759" s="34" t="s">
        <v>61</v>
      </c>
      <c r="C1759" s="35"/>
      <c r="D1759" s="35"/>
    </row>
    <row r="1760" spans="1:4" x14ac:dyDescent="0.25">
      <c r="A1760" s="33">
        <v>21030102</v>
      </c>
      <c r="B1760" s="34" t="s">
        <v>62</v>
      </c>
      <c r="C1760" s="35"/>
      <c r="D1760" s="35"/>
    </row>
    <row r="1761" spans="1:4" x14ac:dyDescent="0.25">
      <c r="A1761" s="33">
        <v>21030103</v>
      </c>
      <c r="B1761" s="34" t="s">
        <v>63</v>
      </c>
      <c r="C1761" s="35"/>
      <c r="D1761" s="35"/>
    </row>
    <row r="1762" spans="1:4" x14ac:dyDescent="0.25">
      <c r="A1762" s="33"/>
      <c r="B1762" s="34"/>
      <c r="C1762" s="37"/>
      <c r="D1762" s="37"/>
    </row>
    <row r="1763" spans="1:4" x14ac:dyDescent="0.25">
      <c r="A1763" s="599"/>
      <c r="B1763" s="607" t="s">
        <v>2</v>
      </c>
      <c r="C1763" s="111">
        <f>SUM(C1744:C1762)</f>
        <v>113768199.47</v>
      </c>
      <c r="D1763" s="111">
        <f>SUM(D1744:D1762)</f>
        <v>112783720</v>
      </c>
    </row>
    <row r="1764" spans="1:4" x14ac:dyDescent="0.25">
      <c r="A1764" s="603"/>
      <c r="B1764" s="604"/>
      <c r="C1764" s="114"/>
      <c r="D1764" s="114"/>
    </row>
    <row r="1765" spans="1:4" x14ac:dyDescent="0.25">
      <c r="A1765" s="3465" t="s">
        <v>2755</v>
      </c>
      <c r="B1765" s="3465"/>
      <c r="C1765" s="3465"/>
      <c r="D1765" s="3465"/>
    </row>
    <row r="1766" spans="1:4" s="38" customFormat="1" ht="16.5" thickBot="1" x14ac:dyDescent="0.25">
      <c r="A1766" s="3466" t="s">
        <v>2818</v>
      </c>
      <c r="B1766" s="3466"/>
      <c r="C1766" s="3466"/>
      <c r="D1766" s="3466"/>
    </row>
    <row r="1767" spans="1:4" x14ac:dyDescent="0.25">
      <c r="A1767" s="577" t="s">
        <v>0</v>
      </c>
      <c r="B1767" s="578"/>
      <c r="C1767" s="577" t="s">
        <v>7</v>
      </c>
      <c r="D1767" s="579" t="s">
        <v>2447</v>
      </c>
    </row>
    <row r="1768" spans="1:4" s="38" customFormat="1" x14ac:dyDescent="0.2">
      <c r="A1768" s="580" t="s">
        <v>1</v>
      </c>
      <c r="B1768" s="581" t="s">
        <v>5</v>
      </c>
      <c r="C1768" s="580" t="s">
        <v>6</v>
      </c>
      <c r="D1768" s="580" t="s">
        <v>2448</v>
      </c>
    </row>
    <row r="1769" spans="1:4" s="38" customFormat="1" x14ac:dyDescent="0.2">
      <c r="A1769" s="582"/>
      <c r="B1769" s="583"/>
      <c r="C1769" s="580">
        <v>2020</v>
      </c>
      <c r="D1769" s="580">
        <v>2021</v>
      </c>
    </row>
    <row r="1770" spans="1:4" s="38" customFormat="1" ht="16.5" thickBot="1" x14ac:dyDescent="0.25">
      <c r="A1770" s="584"/>
      <c r="B1770" s="585"/>
      <c r="C1770" s="586" t="s">
        <v>4</v>
      </c>
      <c r="D1770" s="586" t="s">
        <v>4</v>
      </c>
    </row>
    <row r="1771" spans="1:4" s="38" customFormat="1" x14ac:dyDescent="0.2">
      <c r="A1771" s="48"/>
      <c r="B1771" s="52" t="s">
        <v>1093</v>
      </c>
      <c r="C1771" s="47"/>
      <c r="D1771" s="47"/>
    </row>
    <row r="1772" spans="1:4" s="38" customFormat="1" x14ac:dyDescent="0.2">
      <c r="A1772" s="42">
        <v>21010100</v>
      </c>
      <c r="B1772" s="43" t="s">
        <v>50</v>
      </c>
      <c r="C1772" s="106">
        <f>'APPENDIX PERS COSTS DETAILS'!C2041</f>
        <v>158587170</v>
      </c>
      <c r="D1772" s="106">
        <f>'APPENDIX PERS COSTS DETAILS'!F2041</f>
        <v>161623687</v>
      </c>
    </row>
    <row r="1773" spans="1:4" s="38" customFormat="1" x14ac:dyDescent="0.2">
      <c r="A1773" s="45">
        <v>21010101</v>
      </c>
      <c r="B1773" s="46" t="s">
        <v>51</v>
      </c>
      <c r="C1773" s="48"/>
      <c r="D1773" s="48"/>
    </row>
    <row r="1774" spans="1:4" s="38" customFormat="1" x14ac:dyDescent="0.2">
      <c r="A1774" s="45">
        <v>21010102</v>
      </c>
      <c r="B1774" s="46" t="s">
        <v>52</v>
      </c>
      <c r="C1774" s="48"/>
      <c r="D1774" s="48"/>
    </row>
    <row r="1775" spans="1:4" s="38" customFormat="1" x14ac:dyDescent="0.2">
      <c r="A1775" s="45">
        <v>21010103</v>
      </c>
      <c r="B1775" s="46" t="s">
        <v>53</v>
      </c>
      <c r="C1775" s="106"/>
      <c r="D1775" s="106"/>
    </row>
    <row r="1776" spans="1:4" s="38" customFormat="1" x14ac:dyDescent="0.2">
      <c r="A1776" s="42">
        <v>210201</v>
      </c>
      <c r="B1776" s="43" t="s">
        <v>54</v>
      </c>
      <c r="C1776" s="48"/>
      <c r="D1776" s="48"/>
    </row>
    <row r="1777" spans="1:4" s="38" customFormat="1" x14ac:dyDescent="0.2">
      <c r="A1777" s="45">
        <v>21020101</v>
      </c>
      <c r="B1777" s="46" t="s">
        <v>55</v>
      </c>
      <c r="C1777" s="49"/>
      <c r="D1777" s="49"/>
    </row>
    <row r="1778" spans="1:4" s="38" customFormat="1" x14ac:dyDescent="0.2">
      <c r="A1778" s="42">
        <v>21020200</v>
      </c>
      <c r="B1778" s="43" t="s">
        <v>56</v>
      </c>
      <c r="C1778" s="48"/>
      <c r="D1778" s="48"/>
    </row>
    <row r="1779" spans="1:4" s="38" customFormat="1" x14ac:dyDescent="0.2">
      <c r="A1779" s="45">
        <v>21020201</v>
      </c>
      <c r="B1779" s="46" t="s">
        <v>122</v>
      </c>
      <c r="C1779" s="48"/>
      <c r="D1779" s="48"/>
    </row>
    <row r="1780" spans="1:4" s="38" customFormat="1" x14ac:dyDescent="0.2">
      <c r="A1780" s="45">
        <v>21020202</v>
      </c>
      <c r="B1780" s="46" t="s">
        <v>123</v>
      </c>
      <c r="C1780" s="48"/>
      <c r="D1780" s="48"/>
    </row>
    <row r="1781" spans="1:4" s="38" customFormat="1" x14ac:dyDescent="0.2">
      <c r="A1781" s="45">
        <v>21020203</v>
      </c>
      <c r="B1781" s="46" t="s">
        <v>57</v>
      </c>
      <c r="C1781" s="48"/>
      <c r="D1781" s="48"/>
    </row>
    <row r="1782" spans="1:4" s="38" customFormat="1" x14ac:dyDescent="0.2">
      <c r="A1782" s="45">
        <v>21020204</v>
      </c>
      <c r="B1782" s="46" t="s">
        <v>58</v>
      </c>
      <c r="C1782" s="48"/>
      <c r="D1782" s="48"/>
    </row>
    <row r="1783" spans="1:4" s="38" customFormat="1" x14ac:dyDescent="0.2">
      <c r="A1783" s="45">
        <v>21020205</v>
      </c>
      <c r="B1783" s="46" t="s">
        <v>59</v>
      </c>
      <c r="C1783" s="48"/>
      <c r="D1783" s="48"/>
    </row>
    <row r="1784" spans="1:4" s="38" customFormat="1" x14ac:dyDescent="0.2">
      <c r="A1784" s="42">
        <v>21030100</v>
      </c>
      <c r="B1784" s="43" t="s">
        <v>60</v>
      </c>
      <c r="C1784" s="47"/>
      <c r="D1784" s="47"/>
    </row>
    <row r="1785" spans="1:4" s="38" customFormat="1" x14ac:dyDescent="0.2">
      <c r="A1785" s="45">
        <v>21030101</v>
      </c>
      <c r="B1785" s="46" t="s">
        <v>61</v>
      </c>
      <c r="C1785" s="47"/>
      <c r="D1785" s="47"/>
    </row>
    <row r="1786" spans="1:4" s="38" customFormat="1" x14ac:dyDescent="0.2">
      <c r="A1786" s="45">
        <v>21030102</v>
      </c>
      <c r="B1786" s="46" t="s">
        <v>62</v>
      </c>
      <c r="C1786" s="47"/>
      <c r="D1786" s="47"/>
    </row>
    <row r="1787" spans="1:4" s="51" customFormat="1" x14ac:dyDescent="0.2">
      <c r="A1787" s="45">
        <v>21030103</v>
      </c>
      <c r="B1787" s="46" t="s">
        <v>63</v>
      </c>
      <c r="C1787" s="47"/>
      <c r="D1787" s="47"/>
    </row>
    <row r="1788" spans="1:4" x14ac:dyDescent="0.25">
      <c r="A1788" s="45"/>
      <c r="B1788" s="46"/>
      <c r="C1788" s="47"/>
      <c r="D1788" s="47"/>
    </row>
    <row r="1789" spans="1:4" s="26" customFormat="1" x14ac:dyDescent="0.25">
      <c r="A1789" s="587"/>
      <c r="B1789" s="588" t="s">
        <v>2</v>
      </c>
      <c r="C1789" s="107">
        <f>SUM(C1770:C1788)</f>
        <v>158587170</v>
      </c>
      <c r="D1789" s="107">
        <f>SUM(D1770:D1788)</f>
        <v>161623687</v>
      </c>
    </row>
    <row r="1790" spans="1:4" x14ac:dyDescent="0.25">
      <c r="A1790" s="3461"/>
      <c r="B1790" s="3461"/>
      <c r="C1790" s="3461"/>
      <c r="D1790" s="3461"/>
    </row>
    <row r="1791" spans="1:4" s="38" customFormat="1" x14ac:dyDescent="0.2">
      <c r="A1791" s="3465" t="s">
        <v>1413</v>
      </c>
      <c r="B1791" s="3465"/>
      <c r="C1791" s="3465"/>
      <c r="D1791" s="3465"/>
    </row>
    <row r="1792" spans="1:4" s="38" customFormat="1" ht="16.5" thickBot="1" x14ac:dyDescent="0.25">
      <c r="A1792" s="3466" t="s">
        <v>2819</v>
      </c>
      <c r="B1792" s="3466"/>
      <c r="C1792" s="3466"/>
      <c r="D1792" s="3466"/>
    </row>
    <row r="1793" spans="1:4" x14ac:dyDescent="0.25">
      <c r="A1793" s="577" t="s">
        <v>0</v>
      </c>
      <c r="B1793" s="578"/>
      <c r="C1793" s="577" t="s">
        <v>7</v>
      </c>
      <c r="D1793" s="579" t="s">
        <v>2447</v>
      </c>
    </row>
    <row r="1794" spans="1:4" s="38" customFormat="1" x14ac:dyDescent="0.2">
      <c r="A1794" s="580" t="s">
        <v>1</v>
      </c>
      <c r="B1794" s="581" t="s">
        <v>5</v>
      </c>
      <c r="C1794" s="580" t="s">
        <v>6</v>
      </c>
      <c r="D1794" s="580" t="s">
        <v>2448</v>
      </c>
    </row>
    <row r="1795" spans="1:4" s="38" customFormat="1" x14ac:dyDescent="0.2">
      <c r="A1795" s="582"/>
      <c r="B1795" s="583"/>
      <c r="C1795" s="580">
        <v>2020</v>
      </c>
      <c r="D1795" s="580">
        <v>2021</v>
      </c>
    </row>
    <row r="1796" spans="1:4" s="38" customFormat="1" ht="16.5" thickBot="1" x14ac:dyDescent="0.25">
      <c r="A1796" s="584"/>
      <c r="B1796" s="585"/>
      <c r="C1796" s="586" t="s">
        <v>4</v>
      </c>
      <c r="D1796" s="586" t="s">
        <v>4</v>
      </c>
    </row>
    <row r="1797" spans="1:4" s="38" customFormat="1" x14ac:dyDescent="0.2">
      <c r="A1797" s="48"/>
      <c r="B1797" s="52" t="s">
        <v>1093</v>
      </c>
      <c r="C1797" s="47"/>
      <c r="D1797" s="47"/>
    </row>
    <row r="1798" spans="1:4" s="38" customFormat="1" x14ac:dyDescent="0.2">
      <c r="A1798" s="42">
        <v>21010100</v>
      </c>
      <c r="B1798" s="43" t="s">
        <v>50</v>
      </c>
      <c r="C1798" s="106">
        <f>'APPENDIX PERS COSTS DETAILS'!D1922</f>
        <v>211900775</v>
      </c>
      <c r="D1798" s="106">
        <f>'APPENDIX PERS COSTS DETAILS'!F2067</f>
        <v>98620164</v>
      </c>
    </row>
    <row r="1799" spans="1:4" s="38" customFormat="1" x14ac:dyDescent="0.2">
      <c r="A1799" s="45">
        <v>21010101</v>
      </c>
      <c r="B1799" s="46" t="s">
        <v>51</v>
      </c>
      <c r="C1799" s="48"/>
      <c r="D1799" s="48"/>
    </row>
    <row r="1800" spans="1:4" s="38" customFormat="1" x14ac:dyDescent="0.2">
      <c r="A1800" s="45">
        <v>21010102</v>
      </c>
      <c r="B1800" s="46" t="s">
        <v>52</v>
      </c>
      <c r="C1800" s="48"/>
      <c r="D1800" s="48"/>
    </row>
    <row r="1801" spans="1:4" s="38" customFormat="1" x14ac:dyDescent="0.2">
      <c r="A1801" s="45">
        <v>21010103</v>
      </c>
      <c r="B1801" s="46" t="s">
        <v>53</v>
      </c>
      <c r="C1801" s="106"/>
      <c r="D1801" s="106"/>
    </row>
    <row r="1802" spans="1:4" s="38" customFormat="1" x14ac:dyDescent="0.2">
      <c r="A1802" s="42">
        <v>210201</v>
      </c>
      <c r="B1802" s="43" t="s">
        <v>54</v>
      </c>
      <c r="C1802" s="48"/>
      <c r="D1802" s="48"/>
    </row>
    <row r="1803" spans="1:4" s="38" customFormat="1" x14ac:dyDescent="0.2">
      <c r="A1803" s="45">
        <v>21020101</v>
      </c>
      <c r="B1803" s="46" t="s">
        <v>55</v>
      </c>
      <c r="C1803" s="49"/>
      <c r="D1803" s="49"/>
    </row>
    <row r="1804" spans="1:4" s="38" customFormat="1" x14ac:dyDescent="0.2">
      <c r="A1804" s="42">
        <v>21020200</v>
      </c>
      <c r="B1804" s="43" t="s">
        <v>56</v>
      </c>
      <c r="C1804" s="48"/>
      <c r="D1804" s="48"/>
    </row>
    <row r="1805" spans="1:4" s="38" customFormat="1" x14ac:dyDescent="0.2">
      <c r="A1805" s="45">
        <v>21020201</v>
      </c>
      <c r="B1805" s="46" t="s">
        <v>122</v>
      </c>
      <c r="C1805" s="48"/>
      <c r="D1805" s="48"/>
    </row>
    <row r="1806" spans="1:4" s="38" customFormat="1" x14ac:dyDescent="0.2">
      <c r="A1806" s="45">
        <v>21020202</v>
      </c>
      <c r="B1806" s="46" t="s">
        <v>123</v>
      </c>
      <c r="C1806" s="48"/>
      <c r="D1806" s="48"/>
    </row>
    <row r="1807" spans="1:4" s="38" customFormat="1" x14ac:dyDescent="0.2">
      <c r="A1807" s="45">
        <v>21020203</v>
      </c>
      <c r="B1807" s="46" t="s">
        <v>57</v>
      </c>
      <c r="C1807" s="48"/>
      <c r="D1807" s="48"/>
    </row>
    <row r="1808" spans="1:4" s="38" customFormat="1" x14ac:dyDescent="0.2">
      <c r="A1808" s="45">
        <v>21020204</v>
      </c>
      <c r="B1808" s="46" t="s">
        <v>58</v>
      </c>
      <c r="C1808" s="48"/>
      <c r="D1808" s="48"/>
    </row>
    <row r="1809" spans="1:4" s="38" customFormat="1" x14ac:dyDescent="0.2">
      <c r="A1809" s="45">
        <v>21020205</v>
      </c>
      <c r="B1809" s="46" t="s">
        <v>59</v>
      </c>
      <c r="C1809" s="48"/>
      <c r="D1809" s="48"/>
    </row>
    <row r="1810" spans="1:4" s="38" customFormat="1" x14ac:dyDescent="0.2">
      <c r="A1810" s="42">
        <v>21030100</v>
      </c>
      <c r="B1810" s="43" t="s">
        <v>60</v>
      </c>
      <c r="C1810" s="47"/>
      <c r="D1810" s="47"/>
    </row>
    <row r="1811" spans="1:4" s="38" customFormat="1" x14ac:dyDescent="0.2">
      <c r="A1811" s="45">
        <v>21030101</v>
      </c>
      <c r="B1811" s="46" t="s">
        <v>61</v>
      </c>
      <c r="C1811" s="47"/>
      <c r="D1811" s="47"/>
    </row>
    <row r="1812" spans="1:4" s="38" customFormat="1" x14ac:dyDescent="0.2">
      <c r="A1812" s="45">
        <v>21030102</v>
      </c>
      <c r="B1812" s="46" t="s">
        <v>62</v>
      </c>
      <c r="C1812" s="47"/>
      <c r="D1812" s="47"/>
    </row>
    <row r="1813" spans="1:4" s="51" customFormat="1" x14ac:dyDescent="0.2">
      <c r="A1813" s="45">
        <v>21030103</v>
      </c>
      <c r="B1813" s="46" t="s">
        <v>63</v>
      </c>
      <c r="C1813" s="47"/>
      <c r="D1813" s="47"/>
    </row>
    <row r="1814" spans="1:4" x14ac:dyDescent="0.25">
      <c r="A1814" s="45"/>
      <c r="B1814" s="46"/>
      <c r="C1814" s="47"/>
      <c r="D1814" s="47"/>
    </row>
    <row r="1815" spans="1:4" s="26" customFormat="1" x14ac:dyDescent="0.25">
      <c r="A1815" s="587"/>
      <c r="B1815" s="588" t="s">
        <v>2</v>
      </c>
      <c r="C1815" s="107">
        <f>SUM(C1796:C1814)</f>
        <v>211900775</v>
      </c>
      <c r="D1815" s="107">
        <f>SUM(D1796:D1814)</f>
        <v>98620164</v>
      </c>
    </row>
    <row r="1816" spans="1:4" s="26" customFormat="1" x14ac:dyDescent="0.25">
      <c r="A1816" s="589"/>
      <c r="B1816" s="590"/>
      <c r="C1816" s="112"/>
      <c r="D1816" s="112"/>
    </row>
    <row r="1817" spans="1:4" x14ac:dyDescent="0.25">
      <c r="A1817" s="3465" t="s">
        <v>3130</v>
      </c>
      <c r="B1817" s="3465"/>
      <c r="C1817" s="3465"/>
      <c r="D1817" s="3465"/>
    </row>
    <row r="1818" spans="1:4" s="38" customFormat="1" ht="16.5" thickBot="1" x14ac:dyDescent="0.25">
      <c r="A1818" s="3465" t="s">
        <v>2820</v>
      </c>
      <c r="B1818" s="3465"/>
      <c r="C1818" s="3465"/>
      <c r="D1818" s="3465"/>
    </row>
    <row r="1819" spans="1:4" x14ac:dyDescent="0.25">
      <c r="A1819" s="577" t="s">
        <v>0</v>
      </c>
      <c r="B1819" s="578"/>
      <c r="C1819" s="577" t="s">
        <v>7</v>
      </c>
      <c r="D1819" s="579" t="s">
        <v>2447</v>
      </c>
    </row>
    <row r="1820" spans="1:4" s="38" customFormat="1" x14ac:dyDescent="0.2">
      <c r="A1820" s="580" t="s">
        <v>1</v>
      </c>
      <c r="B1820" s="581" t="s">
        <v>5</v>
      </c>
      <c r="C1820" s="580" t="s">
        <v>6</v>
      </c>
      <c r="D1820" s="580" t="s">
        <v>2448</v>
      </c>
    </row>
    <row r="1821" spans="1:4" s="38" customFormat="1" x14ac:dyDescent="0.2">
      <c r="A1821" s="582"/>
      <c r="B1821" s="583"/>
      <c r="C1821" s="580">
        <v>2020</v>
      </c>
      <c r="D1821" s="580">
        <v>2021</v>
      </c>
    </row>
    <row r="1822" spans="1:4" s="38" customFormat="1" ht="16.5" thickBot="1" x14ac:dyDescent="0.25">
      <c r="A1822" s="584"/>
      <c r="B1822" s="585"/>
      <c r="C1822" s="586" t="s">
        <v>4</v>
      </c>
      <c r="D1822" s="586" t="s">
        <v>4</v>
      </c>
    </row>
    <row r="1823" spans="1:4" s="38" customFormat="1" x14ac:dyDescent="0.2">
      <c r="A1823" s="48"/>
      <c r="B1823" s="52" t="s">
        <v>1093</v>
      </c>
      <c r="C1823" s="47"/>
      <c r="D1823" s="47"/>
    </row>
    <row r="1824" spans="1:4" s="38" customFormat="1" x14ac:dyDescent="0.2">
      <c r="A1824" s="42">
        <v>21010100</v>
      </c>
      <c r="B1824" s="43" t="s">
        <v>50</v>
      </c>
      <c r="C1824" s="106">
        <f>'APPENDIX PERS COSTS DETAILS'!D1921</f>
        <v>22580840</v>
      </c>
      <c r="D1824" s="106">
        <f>'APPENDIX PERS COSTS DETAILS'!F2093</f>
        <v>29000045</v>
      </c>
    </row>
    <row r="1825" spans="1:4" s="38" customFormat="1" x14ac:dyDescent="0.2">
      <c r="A1825" s="45">
        <v>21010101</v>
      </c>
      <c r="B1825" s="46" t="s">
        <v>51</v>
      </c>
      <c r="C1825" s="48"/>
      <c r="D1825" s="48"/>
    </row>
    <row r="1826" spans="1:4" s="38" customFormat="1" x14ac:dyDescent="0.2">
      <c r="A1826" s="45">
        <v>21010102</v>
      </c>
      <c r="B1826" s="46" t="s">
        <v>52</v>
      </c>
      <c r="C1826" s="48"/>
      <c r="D1826" s="48"/>
    </row>
    <row r="1827" spans="1:4" s="38" customFormat="1" x14ac:dyDescent="0.2">
      <c r="A1827" s="45">
        <v>21010103</v>
      </c>
      <c r="B1827" s="46" t="s">
        <v>53</v>
      </c>
      <c r="C1827" s="106"/>
      <c r="D1827" s="106"/>
    </row>
    <row r="1828" spans="1:4" s="38" customFormat="1" x14ac:dyDescent="0.2">
      <c r="A1828" s="42">
        <v>210201</v>
      </c>
      <c r="B1828" s="43" t="s">
        <v>54</v>
      </c>
      <c r="C1828" s="48"/>
      <c r="D1828" s="48"/>
    </row>
    <row r="1829" spans="1:4" s="38" customFormat="1" x14ac:dyDescent="0.2">
      <c r="A1829" s="45">
        <v>21020101</v>
      </c>
      <c r="B1829" s="46" t="s">
        <v>55</v>
      </c>
      <c r="C1829" s="49"/>
      <c r="D1829" s="49"/>
    </row>
    <row r="1830" spans="1:4" s="38" customFormat="1" x14ac:dyDescent="0.2">
      <c r="A1830" s="42">
        <v>21020200</v>
      </c>
      <c r="B1830" s="43" t="s">
        <v>56</v>
      </c>
      <c r="C1830" s="48"/>
      <c r="D1830" s="48"/>
    </row>
    <row r="1831" spans="1:4" s="38" customFormat="1" x14ac:dyDescent="0.2">
      <c r="A1831" s="45">
        <v>21020201</v>
      </c>
      <c r="B1831" s="46" t="s">
        <v>122</v>
      </c>
      <c r="C1831" s="48"/>
      <c r="D1831" s="48"/>
    </row>
    <row r="1832" spans="1:4" s="38" customFormat="1" x14ac:dyDescent="0.2">
      <c r="A1832" s="45">
        <v>21020202</v>
      </c>
      <c r="B1832" s="46" t="s">
        <v>123</v>
      </c>
      <c r="C1832" s="48"/>
      <c r="D1832" s="48"/>
    </row>
    <row r="1833" spans="1:4" s="38" customFormat="1" x14ac:dyDescent="0.2">
      <c r="A1833" s="45">
        <v>21020203</v>
      </c>
      <c r="B1833" s="46" t="s">
        <v>57</v>
      </c>
      <c r="C1833" s="48"/>
      <c r="D1833" s="48"/>
    </row>
    <row r="1834" spans="1:4" s="38" customFormat="1" x14ac:dyDescent="0.2">
      <c r="A1834" s="45">
        <v>21020204</v>
      </c>
      <c r="B1834" s="46" t="s">
        <v>58</v>
      </c>
      <c r="C1834" s="48"/>
      <c r="D1834" s="48"/>
    </row>
    <row r="1835" spans="1:4" s="38" customFormat="1" x14ac:dyDescent="0.2">
      <c r="A1835" s="45">
        <v>21020205</v>
      </c>
      <c r="B1835" s="46" t="s">
        <v>59</v>
      </c>
      <c r="C1835" s="48"/>
      <c r="D1835" s="48"/>
    </row>
    <row r="1836" spans="1:4" s="38" customFormat="1" x14ac:dyDescent="0.2">
      <c r="A1836" s="42">
        <v>21030100</v>
      </c>
      <c r="B1836" s="43" t="s">
        <v>60</v>
      </c>
      <c r="C1836" s="47"/>
      <c r="D1836" s="47"/>
    </row>
    <row r="1837" spans="1:4" s="38" customFormat="1" x14ac:dyDescent="0.2">
      <c r="A1837" s="45">
        <v>21030101</v>
      </c>
      <c r="B1837" s="46" t="s">
        <v>61</v>
      </c>
      <c r="C1837" s="47"/>
      <c r="D1837" s="47"/>
    </row>
    <row r="1838" spans="1:4" s="38" customFormat="1" x14ac:dyDescent="0.2">
      <c r="A1838" s="45">
        <v>21030102</v>
      </c>
      <c r="B1838" s="46" t="s">
        <v>62</v>
      </c>
      <c r="C1838" s="47"/>
      <c r="D1838" s="47"/>
    </row>
    <row r="1839" spans="1:4" s="51" customFormat="1" x14ac:dyDescent="0.2">
      <c r="A1839" s="45">
        <v>21030103</v>
      </c>
      <c r="B1839" s="46" t="s">
        <v>63</v>
      </c>
      <c r="C1839" s="47"/>
      <c r="D1839" s="47"/>
    </row>
    <row r="1840" spans="1:4" x14ac:dyDescent="0.25">
      <c r="A1840" s="45"/>
      <c r="B1840" s="46"/>
      <c r="C1840" s="47"/>
      <c r="D1840" s="47"/>
    </row>
    <row r="1841" spans="1:4" s="26" customFormat="1" x14ac:dyDescent="0.25">
      <c r="A1841" s="587"/>
      <c r="B1841" s="588" t="s">
        <v>2</v>
      </c>
      <c r="C1841" s="107">
        <f>SUM(C1822:C1840)</f>
        <v>22580840</v>
      </c>
      <c r="D1841" s="107">
        <f>SUM(D1822:D1840)</f>
        <v>29000045</v>
      </c>
    </row>
    <row r="1842" spans="1:4" x14ac:dyDescent="0.25">
      <c r="A1842" s="589"/>
      <c r="B1842" s="590"/>
      <c r="C1842" s="112"/>
      <c r="D1842" s="112"/>
    </row>
    <row r="1843" spans="1:4" x14ac:dyDescent="0.25">
      <c r="A1843" s="3463" t="s">
        <v>1414</v>
      </c>
      <c r="B1843" s="3463"/>
      <c r="C1843" s="3463"/>
      <c r="D1843" s="3463"/>
    </row>
    <row r="1844" spans="1:4" s="280" customFormat="1" ht="16.5" thickBot="1" x14ac:dyDescent="0.3">
      <c r="A1844" s="3464" t="s">
        <v>2821</v>
      </c>
      <c r="B1844" s="3464"/>
      <c r="C1844" s="3464"/>
      <c r="D1844" s="3464"/>
    </row>
    <row r="1845" spans="1:4" x14ac:dyDescent="0.25">
      <c r="A1845" s="577" t="s">
        <v>0</v>
      </c>
      <c r="B1845" s="578"/>
      <c r="C1845" s="577" t="s">
        <v>7</v>
      </c>
      <c r="D1845" s="579" t="s">
        <v>2447</v>
      </c>
    </row>
    <row r="1846" spans="1:4" s="38" customFormat="1" x14ac:dyDescent="0.2">
      <c r="A1846" s="580" t="s">
        <v>1</v>
      </c>
      <c r="B1846" s="581" t="s">
        <v>5</v>
      </c>
      <c r="C1846" s="580" t="s">
        <v>6</v>
      </c>
      <c r="D1846" s="580" t="s">
        <v>2448</v>
      </c>
    </row>
    <row r="1847" spans="1:4" s="38" customFormat="1" x14ac:dyDescent="0.2">
      <c r="A1847" s="582"/>
      <c r="B1847" s="583"/>
      <c r="C1847" s="580">
        <v>2020</v>
      </c>
      <c r="D1847" s="580">
        <v>2021</v>
      </c>
    </row>
    <row r="1848" spans="1:4" s="38" customFormat="1" ht="16.5" thickBot="1" x14ac:dyDescent="0.25">
      <c r="A1848" s="584"/>
      <c r="B1848" s="585"/>
      <c r="C1848" s="586" t="s">
        <v>4</v>
      </c>
      <c r="D1848" s="586" t="s">
        <v>4</v>
      </c>
    </row>
    <row r="1849" spans="1:4" s="280" customFormat="1" x14ac:dyDescent="0.25">
      <c r="A1849" s="28"/>
      <c r="B1849" s="7" t="s">
        <v>1093</v>
      </c>
      <c r="C1849" s="29"/>
      <c r="D1849" s="29"/>
    </row>
    <row r="1850" spans="1:4" s="280" customFormat="1" x14ac:dyDescent="0.25">
      <c r="A1850" s="30">
        <v>21010100</v>
      </c>
      <c r="B1850" s="31" t="s">
        <v>50</v>
      </c>
      <c r="C1850" s="108">
        <f>'APPENDIX PERS COSTS DETAILS'!C1985</f>
        <v>1254967126.25</v>
      </c>
      <c r="D1850" s="108">
        <f>'APPENDIX PERS COSTS DETAILS'!F1985</f>
        <v>1266755128.25</v>
      </c>
    </row>
    <row r="1851" spans="1:4" s="280" customFormat="1" x14ac:dyDescent="0.25">
      <c r="A1851" s="33">
        <v>21010101</v>
      </c>
      <c r="B1851" s="34" t="s">
        <v>51</v>
      </c>
      <c r="C1851" s="618"/>
      <c r="D1851" s="618"/>
    </row>
    <row r="1852" spans="1:4" s="280" customFormat="1" x14ac:dyDescent="0.25">
      <c r="A1852" s="33">
        <v>21010102</v>
      </c>
      <c r="B1852" s="34" t="s">
        <v>52</v>
      </c>
      <c r="C1852" s="36"/>
      <c r="D1852" s="36"/>
    </row>
    <row r="1853" spans="1:4" s="280" customFormat="1" x14ac:dyDescent="0.25">
      <c r="A1853" s="33">
        <v>21010103</v>
      </c>
      <c r="B1853" s="34" t="s">
        <v>53</v>
      </c>
      <c r="C1853" s="108"/>
      <c r="D1853" s="618"/>
    </row>
    <row r="1854" spans="1:4" s="280" customFormat="1" x14ac:dyDescent="0.25">
      <c r="A1854" s="30">
        <v>210201</v>
      </c>
      <c r="B1854" s="31" t="s">
        <v>54</v>
      </c>
      <c r="C1854" s="619"/>
      <c r="D1854" s="620"/>
    </row>
    <row r="1855" spans="1:4" s="280" customFormat="1" x14ac:dyDescent="0.25">
      <c r="A1855" s="33">
        <v>21020101</v>
      </c>
      <c r="B1855" s="34" t="s">
        <v>55</v>
      </c>
      <c r="C1855" s="37"/>
      <c r="D1855" s="37"/>
    </row>
    <row r="1856" spans="1:4" s="280" customFormat="1" x14ac:dyDescent="0.25">
      <c r="A1856" s="30">
        <v>21020200</v>
      </c>
      <c r="B1856" s="31" t="s">
        <v>56</v>
      </c>
      <c r="C1856" s="36"/>
      <c r="D1856" s="36"/>
    </row>
    <row r="1857" spans="1:4" s="280" customFormat="1" x14ac:dyDescent="0.25">
      <c r="A1857" s="33">
        <v>21020201</v>
      </c>
      <c r="B1857" s="34" t="s">
        <v>122</v>
      </c>
      <c r="C1857" s="36"/>
      <c r="D1857" s="36"/>
    </row>
    <row r="1858" spans="1:4" s="280" customFormat="1" x14ac:dyDescent="0.25">
      <c r="A1858" s="33">
        <v>21020202</v>
      </c>
      <c r="B1858" s="34" t="s">
        <v>123</v>
      </c>
      <c r="C1858" s="36"/>
      <c r="D1858" s="36"/>
    </row>
    <row r="1859" spans="1:4" s="280" customFormat="1" x14ac:dyDescent="0.25">
      <c r="A1859" s="33">
        <v>21020203</v>
      </c>
      <c r="B1859" s="34" t="s">
        <v>57</v>
      </c>
      <c r="C1859" s="36"/>
      <c r="D1859" s="36"/>
    </row>
    <row r="1860" spans="1:4" s="280" customFormat="1" x14ac:dyDescent="0.25">
      <c r="A1860" s="33">
        <v>21020204</v>
      </c>
      <c r="B1860" s="34" t="s">
        <v>58</v>
      </c>
      <c r="C1860" s="36"/>
      <c r="D1860" s="36"/>
    </row>
    <row r="1861" spans="1:4" s="280" customFormat="1" x14ac:dyDescent="0.25">
      <c r="A1861" s="33">
        <v>21020205</v>
      </c>
      <c r="B1861" s="34" t="s">
        <v>59</v>
      </c>
      <c r="C1861" s="36"/>
      <c r="D1861" s="36"/>
    </row>
    <row r="1862" spans="1:4" s="280" customFormat="1" x14ac:dyDescent="0.25">
      <c r="A1862" s="30">
        <v>21030100</v>
      </c>
      <c r="B1862" s="31" t="s">
        <v>60</v>
      </c>
      <c r="C1862" s="35"/>
      <c r="D1862" s="35"/>
    </row>
    <row r="1863" spans="1:4" s="280" customFormat="1" x14ac:dyDescent="0.25">
      <c r="A1863" s="33">
        <v>21030101</v>
      </c>
      <c r="B1863" s="34" t="s">
        <v>61</v>
      </c>
      <c r="C1863" s="35"/>
      <c r="D1863" s="35"/>
    </row>
    <row r="1864" spans="1:4" s="280" customFormat="1" x14ac:dyDescent="0.25">
      <c r="A1864" s="33">
        <v>21030102</v>
      </c>
      <c r="B1864" s="34" t="s">
        <v>62</v>
      </c>
      <c r="C1864" s="35"/>
      <c r="D1864" s="35"/>
    </row>
    <row r="1865" spans="1:4" s="280" customFormat="1" x14ac:dyDescent="0.25">
      <c r="A1865" s="33">
        <v>21030103</v>
      </c>
      <c r="B1865" s="34" t="s">
        <v>63</v>
      </c>
      <c r="C1865" s="35"/>
      <c r="D1865" s="35"/>
    </row>
    <row r="1866" spans="1:4" s="280" customFormat="1" x14ac:dyDescent="0.25">
      <c r="A1866" s="33"/>
      <c r="B1866" s="34"/>
      <c r="C1866" s="37"/>
      <c r="D1866" s="37"/>
    </row>
    <row r="1867" spans="1:4" x14ac:dyDescent="0.25">
      <c r="A1867" s="614"/>
      <c r="B1867" s="607" t="s">
        <v>2</v>
      </c>
      <c r="C1867" s="111">
        <f>SUM(C1848:C1866)</f>
        <v>1254967126.25</v>
      </c>
      <c r="D1867" s="111">
        <f>SUM(D1850:D1866)</f>
        <v>1266755128.25</v>
      </c>
    </row>
    <row r="1868" spans="1:4" s="26" customFormat="1" ht="20.25" x14ac:dyDescent="0.55000000000000004">
      <c r="A1868" s="615"/>
      <c r="B1868" s="616"/>
      <c r="C1868" s="617"/>
      <c r="D1868" s="617"/>
    </row>
    <row r="1869" spans="1:4" ht="18" customHeight="1" x14ac:dyDescent="0.25">
      <c r="A1869" s="3456" t="s">
        <v>2708</v>
      </c>
      <c r="B1869" s="3456"/>
      <c r="C1869" s="3456"/>
      <c r="D1869" s="3456"/>
    </row>
    <row r="1870" spans="1:4" ht="16.5" thickBot="1" x14ac:dyDescent="0.3">
      <c r="A1870" s="3457" t="s">
        <v>2833</v>
      </c>
      <c r="B1870" s="3457"/>
      <c r="C1870" s="3457"/>
      <c r="D1870" s="3457"/>
    </row>
    <row r="1871" spans="1:4" x14ac:dyDescent="0.25">
      <c r="A1871" s="577" t="s">
        <v>0</v>
      </c>
      <c r="B1871" s="578"/>
      <c r="C1871" s="577" t="s">
        <v>7</v>
      </c>
      <c r="D1871" s="579" t="s">
        <v>2447</v>
      </c>
    </row>
    <row r="1872" spans="1:4" s="38" customFormat="1" x14ac:dyDescent="0.2">
      <c r="A1872" s="580" t="s">
        <v>1</v>
      </c>
      <c r="B1872" s="581" t="s">
        <v>5</v>
      </c>
      <c r="C1872" s="580" t="s">
        <v>6</v>
      </c>
      <c r="D1872" s="580" t="s">
        <v>2448</v>
      </c>
    </row>
    <row r="1873" spans="1:4" s="38" customFormat="1" x14ac:dyDescent="0.2">
      <c r="A1873" s="582"/>
      <c r="B1873" s="583"/>
      <c r="C1873" s="580">
        <v>2020</v>
      </c>
      <c r="D1873" s="580">
        <v>2021</v>
      </c>
    </row>
    <row r="1874" spans="1:4" s="38" customFormat="1" ht="16.5" thickBot="1" x14ac:dyDescent="0.25">
      <c r="A1874" s="584"/>
      <c r="B1874" s="585"/>
      <c r="C1874" s="586" t="s">
        <v>4</v>
      </c>
      <c r="D1874" s="586" t="s">
        <v>4</v>
      </c>
    </row>
    <row r="1875" spans="1:4" x14ac:dyDescent="0.25">
      <c r="A1875" s="28"/>
      <c r="B1875" s="7" t="s">
        <v>1093</v>
      </c>
      <c r="C1875" s="29"/>
      <c r="D1875" s="29"/>
    </row>
    <row r="1876" spans="1:4" x14ac:dyDescent="0.25">
      <c r="A1876" s="30">
        <v>21010100</v>
      </c>
      <c r="B1876" s="31" t="s">
        <v>50</v>
      </c>
      <c r="C1876" s="108">
        <f>'APPENDIX PERS COSTS DETAILS'!D2009</f>
        <v>64592555</v>
      </c>
      <c r="D1876" s="108">
        <f>'APPENDIX PERS COSTS DETAILS'!F2009</f>
        <v>42243399</v>
      </c>
    </row>
    <row r="1877" spans="1:4" x14ac:dyDescent="0.25">
      <c r="A1877" s="33">
        <v>21010101</v>
      </c>
      <c r="B1877" s="34" t="s">
        <v>51</v>
      </c>
      <c r="C1877" s="36"/>
      <c r="D1877" s="36"/>
    </row>
    <row r="1878" spans="1:4" x14ac:dyDescent="0.25">
      <c r="A1878" s="33">
        <v>21010102</v>
      </c>
      <c r="B1878" s="34" t="s">
        <v>52</v>
      </c>
      <c r="C1878" s="36"/>
      <c r="D1878" s="36"/>
    </row>
    <row r="1879" spans="1:4" x14ac:dyDescent="0.25">
      <c r="A1879" s="33">
        <v>21010103</v>
      </c>
      <c r="B1879" s="34" t="s">
        <v>53</v>
      </c>
      <c r="C1879" s="108">
        <f>'APPENDIX PERS COSTS DETAILS'!D2013</f>
        <v>24604240</v>
      </c>
      <c r="D1879" s="108">
        <f>'APPENDIX PERS COSTS DETAILS'!F2013</f>
        <v>29470106</v>
      </c>
    </row>
    <row r="1880" spans="1:4" x14ac:dyDescent="0.25">
      <c r="A1880" s="30">
        <v>210201</v>
      </c>
      <c r="B1880" s="31" t="s">
        <v>54</v>
      </c>
      <c r="C1880" s="36"/>
      <c r="D1880" s="36"/>
    </row>
    <row r="1881" spans="1:4" x14ac:dyDescent="0.25">
      <c r="A1881" s="33">
        <v>21020101</v>
      </c>
      <c r="B1881" s="34" t="s">
        <v>55</v>
      </c>
      <c r="C1881" s="37"/>
      <c r="D1881" s="37"/>
    </row>
    <row r="1882" spans="1:4" x14ac:dyDescent="0.25">
      <c r="A1882" s="30">
        <v>21020200</v>
      </c>
      <c r="B1882" s="31" t="s">
        <v>56</v>
      </c>
      <c r="C1882" s="36"/>
      <c r="D1882" s="36"/>
    </row>
    <row r="1883" spans="1:4" x14ac:dyDescent="0.25">
      <c r="A1883" s="33">
        <v>21020201</v>
      </c>
      <c r="B1883" s="34" t="s">
        <v>122</v>
      </c>
      <c r="C1883" s="36"/>
      <c r="D1883" s="36"/>
    </row>
    <row r="1884" spans="1:4" x14ac:dyDescent="0.25">
      <c r="A1884" s="33">
        <v>21020202</v>
      </c>
      <c r="B1884" s="34" t="s">
        <v>123</v>
      </c>
      <c r="C1884" s="36"/>
      <c r="D1884" s="36"/>
    </row>
    <row r="1885" spans="1:4" x14ac:dyDescent="0.25">
      <c r="A1885" s="33">
        <v>21020203</v>
      </c>
      <c r="B1885" s="34" t="s">
        <v>57</v>
      </c>
      <c r="C1885" s="36"/>
      <c r="D1885" s="36"/>
    </row>
    <row r="1886" spans="1:4" x14ac:dyDescent="0.25">
      <c r="A1886" s="33">
        <v>21020204</v>
      </c>
      <c r="B1886" s="34" t="s">
        <v>58</v>
      </c>
      <c r="C1886" s="36"/>
      <c r="D1886" s="36"/>
    </row>
    <row r="1887" spans="1:4" x14ac:dyDescent="0.25">
      <c r="A1887" s="33">
        <v>21020205</v>
      </c>
      <c r="B1887" s="34" t="s">
        <v>59</v>
      </c>
      <c r="C1887" s="36"/>
      <c r="D1887" s="36"/>
    </row>
    <row r="1888" spans="1:4" x14ac:dyDescent="0.25">
      <c r="A1888" s="30">
        <v>21030100</v>
      </c>
      <c r="B1888" s="31" t="s">
        <v>60</v>
      </c>
      <c r="C1888" s="35"/>
      <c r="D1888" s="35"/>
    </row>
    <row r="1889" spans="1:4" x14ac:dyDescent="0.25">
      <c r="A1889" s="33">
        <v>21030101</v>
      </c>
      <c r="B1889" s="34" t="s">
        <v>61</v>
      </c>
      <c r="C1889" s="35"/>
      <c r="D1889" s="35"/>
    </row>
    <row r="1890" spans="1:4" x14ac:dyDescent="0.25">
      <c r="A1890" s="33">
        <v>21030102</v>
      </c>
      <c r="B1890" s="34" t="s">
        <v>62</v>
      </c>
      <c r="C1890" s="35"/>
      <c r="D1890" s="35"/>
    </row>
    <row r="1891" spans="1:4" x14ac:dyDescent="0.25">
      <c r="A1891" s="33">
        <v>21030103</v>
      </c>
      <c r="B1891" s="34" t="s">
        <v>63</v>
      </c>
      <c r="C1891" s="35"/>
      <c r="D1891" s="35"/>
    </row>
    <row r="1892" spans="1:4" x14ac:dyDescent="0.25">
      <c r="A1892" s="33"/>
      <c r="B1892" s="34"/>
      <c r="C1892" s="37"/>
      <c r="D1892" s="37"/>
    </row>
    <row r="1893" spans="1:4" x14ac:dyDescent="0.25">
      <c r="A1893" s="599"/>
      <c r="B1893" s="607" t="s">
        <v>2</v>
      </c>
      <c r="C1893" s="111">
        <f>SUM(C1874:C1892)</f>
        <v>89196795</v>
      </c>
      <c r="D1893" s="111">
        <f>SUM(D1874:D1892)</f>
        <v>71713505</v>
      </c>
    </row>
    <row r="1894" spans="1:4" x14ac:dyDescent="0.25">
      <c r="A1894" s="3458"/>
      <c r="B1894" s="3458"/>
      <c r="C1894" s="3458"/>
      <c r="D1894" s="3458"/>
    </row>
    <row r="1895" spans="1:4" x14ac:dyDescent="0.25">
      <c r="A1895" s="3456" t="s">
        <v>174</v>
      </c>
      <c r="B1895" s="3456"/>
      <c r="C1895" s="3456"/>
      <c r="D1895" s="3456"/>
    </row>
    <row r="1896" spans="1:4" ht="16.5" thickBot="1" x14ac:dyDescent="0.3">
      <c r="A1896" s="3457" t="s">
        <v>2822</v>
      </c>
      <c r="B1896" s="3457"/>
      <c r="C1896" s="3457"/>
      <c r="D1896" s="3457"/>
    </row>
    <row r="1897" spans="1:4" x14ac:dyDescent="0.25">
      <c r="A1897" s="577" t="s">
        <v>0</v>
      </c>
      <c r="B1897" s="578"/>
      <c r="C1897" s="577" t="s">
        <v>7</v>
      </c>
      <c r="D1897" s="579" t="s">
        <v>2447</v>
      </c>
    </row>
    <row r="1898" spans="1:4" s="38" customFormat="1" x14ac:dyDescent="0.2">
      <c r="A1898" s="580" t="s">
        <v>1</v>
      </c>
      <c r="B1898" s="581" t="s">
        <v>5</v>
      </c>
      <c r="C1898" s="580" t="s">
        <v>6</v>
      </c>
      <c r="D1898" s="580" t="s">
        <v>2448</v>
      </c>
    </row>
    <row r="1899" spans="1:4" s="38" customFormat="1" x14ac:dyDescent="0.2">
      <c r="A1899" s="582"/>
      <c r="B1899" s="583"/>
      <c r="C1899" s="580">
        <v>2020</v>
      </c>
      <c r="D1899" s="580">
        <v>2021</v>
      </c>
    </row>
    <row r="1900" spans="1:4" s="38" customFormat="1" ht="16.5" thickBot="1" x14ac:dyDescent="0.25">
      <c r="A1900" s="584"/>
      <c r="B1900" s="585"/>
      <c r="C1900" s="586" t="s">
        <v>4</v>
      </c>
      <c r="D1900" s="586" t="s">
        <v>4</v>
      </c>
    </row>
    <row r="1901" spans="1:4" x14ac:dyDescent="0.25">
      <c r="A1901" s="28"/>
      <c r="B1901" s="7" t="s">
        <v>1093</v>
      </c>
      <c r="C1901" s="29"/>
      <c r="D1901" s="29"/>
    </row>
    <row r="1902" spans="1:4" x14ac:dyDescent="0.25">
      <c r="A1902" s="30">
        <v>21010100</v>
      </c>
      <c r="B1902" s="31" t="s">
        <v>50</v>
      </c>
      <c r="C1902" s="108">
        <f>'APPENDIX PERS COSTS DETAILS'!D2115</f>
        <v>20149935</v>
      </c>
      <c r="D1902" s="108">
        <f>'APPENDIX PERS COSTS DETAILS'!F2115</f>
        <v>32679375</v>
      </c>
    </row>
    <row r="1903" spans="1:4" x14ac:dyDescent="0.25">
      <c r="A1903" s="33">
        <v>21010101</v>
      </c>
      <c r="B1903" s="34" t="s">
        <v>51</v>
      </c>
      <c r="C1903" s="36"/>
      <c r="D1903" s="36"/>
    </row>
    <row r="1904" spans="1:4" x14ac:dyDescent="0.25">
      <c r="A1904" s="33">
        <v>21010102</v>
      </c>
      <c r="B1904" s="34" t="s">
        <v>52</v>
      </c>
      <c r="C1904" s="36"/>
      <c r="D1904" s="36"/>
    </row>
    <row r="1905" spans="1:4" x14ac:dyDescent="0.25">
      <c r="A1905" s="33">
        <v>21010103</v>
      </c>
      <c r="B1905" s="34" t="s">
        <v>53</v>
      </c>
      <c r="C1905" s="108">
        <f>'APPENDIX PERS COSTS DETAILS'!D2127</f>
        <v>11158050</v>
      </c>
      <c r="D1905" s="108">
        <f>'APPENDIX PERS COSTS DETAILS'!F2127</f>
        <v>11158050</v>
      </c>
    </row>
    <row r="1906" spans="1:4" x14ac:dyDescent="0.25">
      <c r="A1906" s="30">
        <v>210201</v>
      </c>
      <c r="B1906" s="31" t="s">
        <v>54</v>
      </c>
      <c r="C1906" s="36"/>
      <c r="D1906" s="36"/>
    </row>
    <row r="1907" spans="1:4" x14ac:dyDescent="0.25">
      <c r="A1907" s="33">
        <v>21020101</v>
      </c>
      <c r="B1907" s="34" t="s">
        <v>55</v>
      </c>
      <c r="C1907" s="37"/>
      <c r="D1907" s="37"/>
    </row>
    <row r="1908" spans="1:4" x14ac:dyDescent="0.25">
      <c r="A1908" s="30">
        <v>21020200</v>
      </c>
      <c r="B1908" s="31" t="s">
        <v>56</v>
      </c>
      <c r="C1908" s="36"/>
      <c r="D1908" s="36"/>
    </row>
    <row r="1909" spans="1:4" x14ac:dyDescent="0.25">
      <c r="A1909" s="33">
        <v>21020201</v>
      </c>
      <c r="B1909" s="34" t="s">
        <v>122</v>
      </c>
      <c r="C1909" s="36"/>
      <c r="D1909" s="36"/>
    </row>
    <row r="1910" spans="1:4" x14ac:dyDescent="0.25">
      <c r="A1910" s="33">
        <v>21020202</v>
      </c>
      <c r="B1910" s="34" t="s">
        <v>123</v>
      </c>
      <c r="C1910" s="36"/>
      <c r="D1910" s="36"/>
    </row>
    <row r="1911" spans="1:4" x14ac:dyDescent="0.25">
      <c r="A1911" s="33">
        <v>21020203</v>
      </c>
      <c r="B1911" s="34" t="s">
        <v>57</v>
      </c>
      <c r="C1911" s="36"/>
      <c r="D1911" s="36"/>
    </row>
    <row r="1912" spans="1:4" x14ac:dyDescent="0.25">
      <c r="A1912" s="33">
        <v>21020204</v>
      </c>
      <c r="B1912" s="34" t="s">
        <v>58</v>
      </c>
      <c r="C1912" s="36"/>
      <c r="D1912" s="36"/>
    </row>
    <row r="1913" spans="1:4" x14ac:dyDescent="0.25">
      <c r="A1913" s="33">
        <v>21020205</v>
      </c>
      <c r="B1913" s="34" t="s">
        <v>59</v>
      </c>
      <c r="C1913" s="36"/>
      <c r="D1913" s="36"/>
    </row>
    <row r="1914" spans="1:4" x14ac:dyDescent="0.25">
      <c r="A1914" s="30">
        <v>21030100</v>
      </c>
      <c r="B1914" s="31" t="s">
        <v>60</v>
      </c>
      <c r="C1914" s="35"/>
      <c r="D1914" s="35"/>
    </row>
    <row r="1915" spans="1:4" x14ac:dyDescent="0.25">
      <c r="A1915" s="33">
        <v>21030101</v>
      </c>
      <c r="B1915" s="34" t="s">
        <v>61</v>
      </c>
      <c r="C1915" s="35"/>
      <c r="D1915" s="35"/>
    </row>
    <row r="1916" spans="1:4" x14ac:dyDescent="0.25">
      <c r="A1916" s="33">
        <v>21030102</v>
      </c>
      <c r="B1916" s="34" t="s">
        <v>62</v>
      </c>
      <c r="C1916" s="35"/>
      <c r="D1916" s="35"/>
    </row>
    <row r="1917" spans="1:4" x14ac:dyDescent="0.25">
      <c r="A1917" s="33">
        <v>21030103</v>
      </c>
      <c r="B1917" s="34" t="s">
        <v>63</v>
      </c>
      <c r="C1917" s="35"/>
      <c r="D1917" s="35"/>
    </row>
    <row r="1918" spans="1:4" x14ac:dyDescent="0.25">
      <c r="A1918" s="33"/>
      <c r="B1918" s="34"/>
      <c r="C1918" s="37"/>
      <c r="D1918" s="37"/>
    </row>
    <row r="1919" spans="1:4" s="26" customFormat="1" x14ac:dyDescent="0.25">
      <c r="A1919" s="593"/>
      <c r="B1919" s="594" t="s">
        <v>2</v>
      </c>
      <c r="C1919" s="109">
        <f>SUM(C1900:C1918)</f>
        <v>31307985</v>
      </c>
      <c r="D1919" s="109">
        <f>SUM(D1900:D1918)</f>
        <v>43837425</v>
      </c>
    </row>
    <row r="1920" spans="1:4" x14ac:dyDescent="0.25">
      <c r="A1920" s="3458"/>
      <c r="B1920" s="3458"/>
      <c r="C1920" s="3458"/>
      <c r="D1920" s="3458"/>
    </row>
    <row r="1921" spans="1:4" x14ac:dyDescent="0.25">
      <c r="A1921" s="3456" t="s">
        <v>2746</v>
      </c>
      <c r="B1921" s="3456"/>
      <c r="C1921" s="3456"/>
      <c r="D1921" s="3456"/>
    </row>
    <row r="1922" spans="1:4" ht="16.5" thickBot="1" x14ac:dyDescent="0.3">
      <c r="A1922" s="3457" t="s">
        <v>2747</v>
      </c>
      <c r="B1922" s="3457"/>
      <c r="C1922" s="3457"/>
      <c r="D1922" s="3457"/>
    </row>
    <row r="1923" spans="1:4" x14ac:dyDescent="0.25">
      <c r="A1923" s="577" t="s">
        <v>0</v>
      </c>
      <c r="B1923" s="578"/>
      <c r="C1923" s="577" t="s">
        <v>7</v>
      </c>
      <c r="D1923" s="579" t="s">
        <v>2447</v>
      </c>
    </row>
    <row r="1924" spans="1:4" s="38" customFormat="1" x14ac:dyDescent="0.2">
      <c r="A1924" s="580" t="s">
        <v>1</v>
      </c>
      <c r="B1924" s="581" t="s">
        <v>5</v>
      </c>
      <c r="C1924" s="580" t="s">
        <v>6</v>
      </c>
      <c r="D1924" s="580" t="s">
        <v>2448</v>
      </c>
    </row>
    <row r="1925" spans="1:4" s="38" customFormat="1" x14ac:dyDescent="0.2">
      <c r="A1925" s="582"/>
      <c r="B1925" s="583"/>
      <c r="C1925" s="580">
        <v>2020</v>
      </c>
      <c r="D1925" s="580">
        <v>2021</v>
      </c>
    </row>
    <row r="1926" spans="1:4" s="38" customFormat="1" ht="16.5" thickBot="1" x14ac:dyDescent="0.25">
      <c r="A1926" s="584"/>
      <c r="B1926" s="585"/>
      <c r="C1926" s="586" t="s">
        <v>4</v>
      </c>
      <c r="D1926" s="586" t="s">
        <v>4</v>
      </c>
    </row>
    <row r="1927" spans="1:4" x14ac:dyDescent="0.25">
      <c r="A1927" s="28"/>
      <c r="B1927" s="7" t="s">
        <v>1093</v>
      </c>
      <c r="C1927" s="29"/>
      <c r="D1927" s="29"/>
    </row>
    <row r="1928" spans="1:4" x14ac:dyDescent="0.25">
      <c r="A1928" s="30">
        <v>21010100</v>
      </c>
      <c r="B1928" s="31" t="s">
        <v>50</v>
      </c>
      <c r="C1928" s="108">
        <f>'APPENDIX PERS COSTS DETAILS'!C2226</f>
        <v>355205790</v>
      </c>
      <c r="D1928" s="108">
        <f>'APPENDIX PERS COSTS DETAILS'!F2226</f>
        <v>405392666</v>
      </c>
    </row>
    <row r="1929" spans="1:4" x14ac:dyDescent="0.25">
      <c r="A1929" s="33">
        <v>21010101</v>
      </c>
      <c r="B1929" s="34" t="s">
        <v>51</v>
      </c>
      <c r="C1929" s="108"/>
      <c r="D1929" s="108"/>
    </row>
    <row r="1930" spans="1:4" x14ac:dyDescent="0.25">
      <c r="A1930" s="33">
        <v>21010102</v>
      </c>
      <c r="B1930" s="34" t="s">
        <v>52</v>
      </c>
      <c r="C1930" s="36"/>
      <c r="D1930" s="36"/>
    </row>
    <row r="1931" spans="1:4" x14ac:dyDescent="0.25">
      <c r="A1931" s="33">
        <v>21010103</v>
      </c>
      <c r="B1931" s="34" t="s">
        <v>53</v>
      </c>
      <c r="C1931" s="108"/>
      <c r="D1931" s="108"/>
    </row>
    <row r="1932" spans="1:4" x14ac:dyDescent="0.25">
      <c r="A1932" s="30">
        <v>210201</v>
      </c>
      <c r="B1932" s="31" t="s">
        <v>54</v>
      </c>
      <c r="C1932" s="36"/>
      <c r="D1932" s="36"/>
    </row>
    <row r="1933" spans="1:4" x14ac:dyDescent="0.25">
      <c r="A1933" s="33">
        <v>21020101</v>
      </c>
      <c r="B1933" s="34" t="s">
        <v>55</v>
      </c>
      <c r="C1933" s="37"/>
      <c r="D1933" s="37"/>
    </row>
    <row r="1934" spans="1:4" x14ac:dyDescent="0.25">
      <c r="A1934" s="30">
        <v>21020200</v>
      </c>
      <c r="B1934" s="31" t="s">
        <v>56</v>
      </c>
      <c r="C1934" s="36"/>
      <c r="D1934" s="36"/>
    </row>
    <row r="1935" spans="1:4" x14ac:dyDescent="0.25">
      <c r="A1935" s="33">
        <v>21020201</v>
      </c>
      <c r="B1935" s="34" t="s">
        <v>122</v>
      </c>
      <c r="C1935" s="36"/>
      <c r="D1935" s="36"/>
    </row>
    <row r="1936" spans="1:4" x14ac:dyDescent="0.25">
      <c r="A1936" s="33">
        <v>21020202</v>
      </c>
      <c r="B1936" s="34" t="s">
        <v>123</v>
      </c>
      <c r="C1936" s="36"/>
      <c r="D1936" s="36"/>
    </row>
    <row r="1937" spans="1:4" x14ac:dyDescent="0.25">
      <c r="A1937" s="33">
        <v>21020203</v>
      </c>
      <c r="B1937" s="34" t="s">
        <v>57</v>
      </c>
      <c r="C1937" s="36"/>
      <c r="D1937" s="36"/>
    </row>
    <row r="1938" spans="1:4" x14ac:dyDescent="0.25">
      <c r="A1938" s="33">
        <v>21020204</v>
      </c>
      <c r="B1938" s="34" t="s">
        <v>58</v>
      </c>
      <c r="C1938" s="36"/>
      <c r="D1938" s="36"/>
    </row>
    <row r="1939" spans="1:4" x14ac:dyDescent="0.25">
      <c r="A1939" s="33">
        <v>21020205</v>
      </c>
      <c r="B1939" s="34" t="s">
        <v>59</v>
      </c>
      <c r="C1939" s="36"/>
      <c r="D1939" s="36"/>
    </row>
    <row r="1940" spans="1:4" x14ac:dyDescent="0.25">
      <c r="A1940" s="30">
        <v>21030100</v>
      </c>
      <c r="B1940" s="31" t="s">
        <v>60</v>
      </c>
      <c r="C1940" s="35"/>
      <c r="D1940" s="35"/>
    </row>
    <row r="1941" spans="1:4" x14ac:dyDescent="0.25">
      <c r="A1941" s="33">
        <v>21030101</v>
      </c>
      <c r="B1941" s="34" t="s">
        <v>61</v>
      </c>
      <c r="C1941" s="35"/>
      <c r="D1941" s="35"/>
    </row>
    <row r="1942" spans="1:4" x14ac:dyDescent="0.25">
      <c r="A1942" s="33">
        <v>21030102</v>
      </c>
      <c r="B1942" s="34" t="s">
        <v>62</v>
      </c>
      <c r="C1942" s="35"/>
      <c r="D1942" s="35"/>
    </row>
    <row r="1943" spans="1:4" x14ac:dyDescent="0.25">
      <c r="A1943" s="33">
        <v>21030103</v>
      </c>
      <c r="B1943" s="34" t="s">
        <v>63</v>
      </c>
      <c r="C1943" s="35"/>
      <c r="D1943" s="35"/>
    </row>
    <row r="1944" spans="1:4" x14ac:dyDescent="0.25">
      <c r="A1944" s="33"/>
      <c r="B1944" s="34"/>
      <c r="C1944" s="37"/>
      <c r="D1944" s="37"/>
    </row>
    <row r="1945" spans="1:4" s="26" customFormat="1" x14ac:dyDescent="0.25">
      <c r="A1945" s="593"/>
      <c r="B1945" s="594" t="s">
        <v>2</v>
      </c>
      <c r="C1945" s="109">
        <f>SUM(C1926:C1944)</f>
        <v>355205790</v>
      </c>
      <c r="D1945" s="109">
        <f>SUM(D1926:D1944)</f>
        <v>405392666</v>
      </c>
    </row>
    <row r="1946" spans="1:4" x14ac:dyDescent="0.25">
      <c r="A1946" s="576"/>
      <c r="B1946" s="576"/>
      <c r="C1946" s="576"/>
      <c r="D1946" s="576"/>
    </row>
    <row r="1947" spans="1:4" x14ac:dyDescent="0.25">
      <c r="A1947" s="3460" t="s">
        <v>1831</v>
      </c>
      <c r="B1947" s="3460"/>
      <c r="C1947" s="3460"/>
      <c r="D1947" s="3460"/>
    </row>
    <row r="1948" spans="1:4" ht="16.5" thickBot="1" x14ac:dyDescent="0.3">
      <c r="A1948" s="3457" t="s">
        <v>1830</v>
      </c>
      <c r="B1948" s="3457"/>
      <c r="C1948" s="3457"/>
      <c r="D1948" s="3457"/>
    </row>
    <row r="1949" spans="1:4" x14ac:dyDescent="0.25">
      <c r="A1949" s="577" t="s">
        <v>0</v>
      </c>
      <c r="B1949" s="578"/>
      <c r="C1949" s="577" t="s">
        <v>7</v>
      </c>
      <c r="D1949" s="579" t="s">
        <v>2447</v>
      </c>
    </row>
    <row r="1950" spans="1:4" s="38" customFormat="1" x14ac:dyDescent="0.2">
      <c r="A1950" s="580" t="s">
        <v>1</v>
      </c>
      <c r="B1950" s="581" t="s">
        <v>5</v>
      </c>
      <c r="C1950" s="580" t="s">
        <v>6</v>
      </c>
      <c r="D1950" s="580" t="s">
        <v>2448</v>
      </c>
    </row>
    <row r="1951" spans="1:4" s="38" customFormat="1" x14ac:dyDescent="0.2">
      <c r="A1951" s="582"/>
      <c r="B1951" s="583"/>
      <c r="C1951" s="580">
        <v>2020</v>
      </c>
      <c r="D1951" s="580">
        <v>2021</v>
      </c>
    </row>
    <row r="1952" spans="1:4" s="38" customFormat="1" ht="16.5" thickBot="1" x14ac:dyDescent="0.25">
      <c r="A1952" s="584"/>
      <c r="B1952" s="585"/>
      <c r="C1952" s="586" t="s">
        <v>4</v>
      </c>
      <c r="D1952" s="586" t="s">
        <v>4</v>
      </c>
    </row>
    <row r="1953" spans="1:4" x14ac:dyDescent="0.25">
      <c r="A1953" s="28"/>
      <c r="B1953" s="7" t="s">
        <v>1093</v>
      </c>
      <c r="C1953" s="29"/>
      <c r="D1953" s="29"/>
    </row>
    <row r="1954" spans="1:4" x14ac:dyDescent="0.25">
      <c r="A1954" s="30">
        <v>21010100</v>
      </c>
      <c r="B1954" s="31" t="s">
        <v>50</v>
      </c>
      <c r="C1954" s="108">
        <f>'APPENDIX PERS COSTS DETAILS'!C2253</f>
        <v>1477702394</v>
      </c>
      <c r="D1954" s="108">
        <f>'APPENDIX PERS COSTS DETAILS'!F2253</f>
        <v>1512553646</v>
      </c>
    </row>
    <row r="1955" spans="1:4" x14ac:dyDescent="0.25">
      <c r="A1955" s="33">
        <v>21010101</v>
      </c>
      <c r="B1955" s="34" t="s">
        <v>51</v>
      </c>
      <c r="C1955" s="108"/>
      <c r="D1955" s="108"/>
    </row>
    <row r="1956" spans="1:4" x14ac:dyDescent="0.25">
      <c r="A1956" s="33">
        <v>21010102</v>
      </c>
      <c r="B1956" s="34" t="s">
        <v>52</v>
      </c>
      <c r="C1956" s="36"/>
      <c r="D1956" s="36"/>
    </row>
    <row r="1957" spans="1:4" x14ac:dyDescent="0.25">
      <c r="A1957" s="33">
        <v>21010103</v>
      </c>
      <c r="B1957" s="34" t="s">
        <v>53</v>
      </c>
      <c r="C1957" s="108"/>
      <c r="D1957" s="108"/>
    </row>
    <row r="1958" spans="1:4" x14ac:dyDescent="0.25">
      <c r="A1958" s="30">
        <v>210201</v>
      </c>
      <c r="B1958" s="31" t="s">
        <v>54</v>
      </c>
      <c r="C1958" s="36"/>
      <c r="D1958" s="36"/>
    </row>
    <row r="1959" spans="1:4" x14ac:dyDescent="0.25">
      <c r="A1959" s="33">
        <v>21020101</v>
      </c>
      <c r="B1959" s="34" t="s">
        <v>55</v>
      </c>
      <c r="C1959" s="37"/>
      <c r="D1959" s="37"/>
    </row>
    <row r="1960" spans="1:4" x14ac:dyDescent="0.25">
      <c r="A1960" s="30">
        <v>21020200</v>
      </c>
      <c r="B1960" s="31" t="s">
        <v>56</v>
      </c>
      <c r="C1960" s="36"/>
      <c r="D1960" s="36"/>
    </row>
    <row r="1961" spans="1:4" x14ac:dyDescent="0.25">
      <c r="A1961" s="33">
        <v>21020201</v>
      </c>
      <c r="B1961" s="34" t="s">
        <v>122</v>
      </c>
      <c r="C1961" s="36"/>
      <c r="D1961" s="36"/>
    </row>
    <row r="1962" spans="1:4" x14ac:dyDescent="0.25">
      <c r="A1962" s="33">
        <v>21020202</v>
      </c>
      <c r="B1962" s="34" t="s">
        <v>123</v>
      </c>
      <c r="C1962" s="36"/>
      <c r="D1962" s="36"/>
    </row>
    <row r="1963" spans="1:4" x14ac:dyDescent="0.25">
      <c r="A1963" s="33">
        <v>21020203</v>
      </c>
      <c r="B1963" s="34" t="s">
        <v>57</v>
      </c>
      <c r="C1963" s="36"/>
      <c r="D1963" s="36"/>
    </row>
    <row r="1964" spans="1:4" x14ac:dyDescent="0.25">
      <c r="A1964" s="33">
        <v>21020204</v>
      </c>
      <c r="B1964" s="34" t="s">
        <v>58</v>
      </c>
      <c r="C1964" s="36"/>
      <c r="D1964" s="36"/>
    </row>
    <row r="1965" spans="1:4" x14ac:dyDescent="0.25">
      <c r="A1965" s="33">
        <v>21020205</v>
      </c>
      <c r="B1965" s="34" t="s">
        <v>59</v>
      </c>
      <c r="C1965" s="36"/>
      <c r="D1965" s="36"/>
    </row>
    <row r="1966" spans="1:4" x14ac:dyDescent="0.25">
      <c r="A1966" s="30">
        <v>21030100</v>
      </c>
      <c r="B1966" s="31" t="s">
        <v>60</v>
      </c>
      <c r="C1966" s="35"/>
      <c r="D1966" s="35"/>
    </row>
    <row r="1967" spans="1:4" x14ac:dyDescent="0.25">
      <c r="A1967" s="33">
        <v>21030101</v>
      </c>
      <c r="B1967" s="34" t="s">
        <v>61</v>
      </c>
      <c r="C1967" s="35"/>
      <c r="D1967" s="35"/>
    </row>
    <row r="1968" spans="1:4" x14ac:dyDescent="0.25">
      <c r="A1968" s="33">
        <v>21030102</v>
      </c>
      <c r="B1968" s="34" t="s">
        <v>62</v>
      </c>
      <c r="C1968" s="35"/>
      <c r="D1968" s="35"/>
    </row>
    <row r="1969" spans="1:4" x14ac:dyDescent="0.25">
      <c r="A1969" s="33">
        <v>21030103</v>
      </c>
      <c r="B1969" s="34" t="s">
        <v>63</v>
      </c>
      <c r="C1969" s="35"/>
      <c r="D1969" s="35"/>
    </row>
    <row r="1970" spans="1:4" x14ac:dyDescent="0.25">
      <c r="A1970" s="33"/>
      <c r="B1970" s="34"/>
      <c r="C1970" s="37"/>
      <c r="D1970" s="37"/>
    </row>
    <row r="1971" spans="1:4" s="280" customFormat="1" x14ac:dyDescent="0.25">
      <c r="A1971" s="593"/>
      <c r="B1971" s="594" t="s">
        <v>2</v>
      </c>
      <c r="C1971" s="109">
        <f>SUM(C1952:C1970)</f>
        <v>1477702394</v>
      </c>
      <c r="D1971" s="109">
        <f>SUM(D1952:D1970)</f>
        <v>1512553646</v>
      </c>
    </row>
    <row r="1972" spans="1:4" s="280" customFormat="1" x14ac:dyDescent="0.25">
      <c r="A1972" s="576"/>
      <c r="B1972" s="576"/>
      <c r="C1972" s="576"/>
      <c r="D1972" s="576"/>
    </row>
    <row r="1973" spans="1:4" s="280" customFormat="1" x14ac:dyDescent="0.25">
      <c r="A1973" s="3461" t="s">
        <v>2393</v>
      </c>
      <c r="B1973" s="3461"/>
      <c r="C1973" s="3461"/>
      <c r="D1973" s="3461"/>
    </row>
    <row r="1974" spans="1:4" s="280" customFormat="1" ht="16.5" thickBot="1" x14ac:dyDescent="0.3">
      <c r="A1974" s="3462" t="s">
        <v>2823</v>
      </c>
      <c r="B1974" s="3462"/>
      <c r="C1974" s="3462"/>
      <c r="D1974" s="3462"/>
    </row>
    <row r="1975" spans="1:4" x14ac:dyDescent="0.25">
      <c r="A1975" s="577" t="s">
        <v>0</v>
      </c>
      <c r="B1975" s="578"/>
      <c r="C1975" s="577" t="s">
        <v>7</v>
      </c>
      <c r="D1975" s="579" t="s">
        <v>2447</v>
      </c>
    </row>
    <row r="1976" spans="1:4" s="38" customFormat="1" x14ac:dyDescent="0.2">
      <c r="A1976" s="580" t="s">
        <v>1</v>
      </c>
      <c r="B1976" s="581" t="s">
        <v>5</v>
      </c>
      <c r="C1976" s="580" t="s">
        <v>6</v>
      </c>
      <c r="D1976" s="580" t="s">
        <v>2448</v>
      </c>
    </row>
    <row r="1977" spans="1:4" s="38" customFormat="1" x14ac:dyDescent="0.2">
      <c r="A1977" s="582"/>
      <c r="B1977" s="583"/>
      <c r="C1977" s="580">
        <v>2020</v>
      </c>
      <c r="D1977" s="580">
        <v>2021</v>
      </c>
    </row>
    <row r="1978" spans="1:4" s="38" customFormat="1" ht="16.5" thickBot="1" x14ac:dyDescent="0.25">
      <c r="A1978" s="584"/>
      <c r="B1978" s="585"/>
      <c r="C1978" s="586" t="s">
        <v>4</v>
      </c>
      <c r="D1978" s="586" t="s">
        <v>4</v>
      </c>
    </row>
    <row r="1979" spans="1:4" s="280" customFormat="1" x14ac:dyDescent="0.25">
      <c r="A1979" s="28"/>
      <c r="B1979" s="7" t="s">
        <v>1093</v>
      </c>
      <c r="C1979" s="29"/>
      <c r="D1979" s="29"/>
    </row>
    <row r="1980" spans="1:4" s="280" customFormat="1" x14ac:dyDescent="0.25">
      <c r="A1980" s="30">
        <v>21010100</v>
      </c>
      <c r="B1980" s="31" t="s">
        <v>50</v>
      </c>
      <c r="C1980" s="108">
        <f>'APPENDIX PERS COSTS DETAILS'!D2199</f>
        <v>979552795</v>
      </c>
      <c r="D1980" s="108">
        <f>'APPENDIX PERS COSTS DETAILS'!F2199</f>
        <v>993751632</v>
      </c>
    </row>
    <row r="1981" spans="1:4" s="280" customFormat="1" x14ac:dyDescent="0.25">
      <c r="A1981" s="33">
        <v>21010101</v>
      </c>
      <c r="B1981" s="34" t="s">
        <v>51</v>
      </c>
      <c r="D1981" s="108"/>
    </row>
    <row r="1982" spans="1:4" s="280" customFormat="1" x14ac:dyDescent="0.25">
      <c r="A1982" s="33">
        <v>21010102</v>
      </c>
      <c r="B1982" s="34" t="s">
        <v>52</v>
      </c>
      <c r="C1982" s="36"/>
      <c r="D1982" s="36"/>
    </row>
    <row r="1983" spans="1:4" s="280" customFormat="1" x14ac:dyDescent="0.25">
      <c r="A1983" s="33">
        <v>21010103</v>
      </c>
      <c r="B1983" s="34" t="s">
        <v>53</v>
      </c>
      <c r="C1983" s="108"/>
      <c r="D1983" s="618"/>
    </row>
    <row r="1984" spans="1:4" s="280" customFormat="1" x14ac:dyDescent="0.25">
      <c r="A1984" s="30">
        <v>210201</v>
      </c>
      <c r="B1984" s="31" t="s">
        <v>54</v>
      </c>
      <c r="C1984" s="619"/>
      <c r="D1984" s="620"/>
    </row>
    <row r="1985" spans="1:4" s="280" customFormat="1" x14ac:dyDescent="0.25">
      <c r="A1985" s="33">
        <v>21020101</v>
      </c>
      <c r="B1985" s="34" t="s">
        <v>55</v>
      </c>
      <c r="C1985" s="37"/>
      <c r="D1985" s="37"/>
    </row>
    <row r="1986" spans="1:4" s="280" customFormat="1" x14ac:dyDescent="0.25">
      <c r="A1986" s="30">
        <v>21020200</v>
      </c>
      <c r="B1986" s="31" t="s">
        <v>56</v>
      </c>
      <c r="C1986" s="36"/>
      <c r="D1986" s="36"/>
    </row>
    <row r="1987" spans="1:4" s="280" customFormat="1" x14ac:dyDescent="0.25">
      <c r="A1987" s="33">
        <v>21020201</v>
      </c>
      <c r="B1987" s="34" t="s">
        <v>122</v>
      </c>
      <c r="C1987" s="36"/>
      <c r="D1987" s="36"/>
    </row>
    <row r="1988" spans="1:4" s="280" customFormat="1" x14ac:dyDescent="0.25">
      <c r="A1988" s="33">
        <v>21020202</v>
      </c>
      <c r="B1988" s="34" t="s">
        <v>123</v>
      </c>
      <c r="C1988" s="36"/>
      <c r="D1988" s="36"/>
    </row>
    <row r="1989" spans="1:4" s="280" customFormat="1" x14ac:dyDescent="0.25">
      <c r="A1989" s="33">
        <v>21020203</v>
      </c>
      <c r="B1989" s="34" t="s">
        <v>57</v>
      </c>
      <c r="C1989" s="36"/>
      <c r="D1989" s="36"/>
    </row>
    <row r="1990" spans="1:4" s="280" customFormat="1" x14ac:dyDescent="0.25">
      <c r="A1990" s="33">
        <v>21020204</v>
      </c>
      <c r="B1990" s="34" t="s">
        <v>58</v>
      </c>
      <c r="C1990" s="36"/>
      <c r="D1990" s="36"/>
    </row>
    <row r="1991" spans="1:4" s="280" customFormat="1" x14ac:dyDescent="0.25">
      <c r="A1991" s="33">
        <v>21020205</v>
      </c>
      <c r="B1991" s="34" t="s">
        <v>59</v>
      </c>
      <c r="C1991" s="36"/>
      <c r="D1991" s="36"/>
    </row>
    <row r="1992" spans="1:4" s="280" customFormat="1" x14ac:dyDescent="0.25">
      <c r="A1992" s="30">
        <v>21030100</v>
      </c>
      <c r="B1992" s="31" t="s">
        <v>60</v>
      </c>
      <c r="C1992" s="35"/>
      <c r="D1992" s="35"/>
    </row>
    <row r="1993" spans="1:4" s="280" customFormat="1" x14ac:dyDescent="0.25">
      <c r="A1993" s="33">
        <v>21030101</v>
      </c>
      <c r="B1993" s="34" t="s">
        <v>61</v>
      </c>
      <c r="C1993" s="35"/>
      <c r="D1993" s="35"/>
    </row>
    <row r="1994" spans="1:4" s="280" customFormat="1" x14ac:dyDescent="0.25">
      <c r="A1994" s="33">
        <v>21030102</v>
      </c>
      <c r="B1994" s="34" t="s">
        <v>62</v>
      </c>
      <c r="C1994" s="35"/>
      <c r="D1994" s="35"/>
    </row>
    <row r="1995" spans="1:4" s="280" customFormat="1" x14ac:dyDescent="0.25">
      <c r="A1995" s="33">
        <v>21030103</v>
      </c>
      <c r="B1995" s="34" t="s">
        <v>63</v>
      </c>
      <c r="C1995" s="35"/>
      <c r="D1995" s="35"/>
    </row>
    <row r="1996" spans="1:4" s="280" customFormat="1" x14ac:dyDescent="0.25">
      <c r="A1996" s="33"/>
      <c r="B1996" s="34"/>
      <c r="C1996" s="37"/>
      <c r="D1996" s="37"/>
    </row>
    <row r="1997" spans="1:4" x14ac:dyDescent="0.25">
      <c r="A1997" s="614"/>
      <c r="B1997" s="607" t="s">
        <v>2</v>
      </c>
      <c r="C1997" s="111">
        <f>SUM(C1978:C1996)</f>
        <v>979552795</v>
      </c>
      <c r="D1997" s="111">
        <f>SUM(D1980:D1996)</f>
        <v>993751632</v>
      </c>
    </row>
    <row r="1998" spans="1:4" s="26" customFormat="1" ht="20.25" x14ac:dyDescent="0.55000000000000004">
      <c r="A1998" s="615"/>
      <c r="B1998" s="616"/>
      <c r="C1998" s="617"/>
      <c r="D1998" s="617"/>
    </row>
    <row r="1999" spans="1:4" x14ac:dyDescent="0.25">
      <c r="A1999" s="3456" t="s">
        <v>1823</v>
      </c>
      <c r="B1999" s="3456"/>
      <c r="C1999" s="3456"/>
      <c r="D1999" s="3456"/>
    </row>
    <row r="2000" spans="1:4" ht="16.5" thickBot="1" x14ac:dyDescent="0.3">
      <c r="A2000" s="3457" t="s">
        <v>1822</v>
      </c>
      <c r="B2000" s="3457"/>
      <c r="C2000" s="3457"/>
      <c r="D2000" s="3457"/>
    </row>
    <row r="2001" spans="1:4" x14ac:dyDescent="0.25">
      <c r="A2001" s="577" t="s">
        <v>0</v>
      </c>
      <c r="B2001" s="578"/>
      <c r="C2001" s="577" t="s">
        <v>7</v>
      </c>
      <c r="D2001" s="579" t="s">
        <v>2447</v>
      </c>
    </row>
    <row r="2002" spans="1:4" s="38" customFormat="1" x14ac:dyDescent="0.2">
      <c r="A2002" s="580" t="s">
        <v>1</v>
      </c>
      <c r="B2002" s="581" t="s">
        <v>5</v>
      </c>
      <c r="C2002" s="580" t="s">
        <v>6</v>
      </c>
      <c r="D2002" s="580" t="s">
        <v>2448</v>
      </c>
    </row>
    <row r="2003" spans="1:4" s="38" customFormat="1" x14ac:dyDescent="0.2">
      <c r="A2003" s="582"/>
      <c r="B2003" s="583"/>
      <c r="C2003" s="580">
        <v>2020</v>
      </c>
      <c r="D2003" s="580">
        <v>2021</v>
      </c>
    </row>
    <row r="2004" spans="1:4" s="38" customFormat="1" ht="16.5" thickBot="1" x14ac:dyDescent="0.25">
      <c r="A2004" s="584"/>
      <c r="B2004" s="585"/>
      <c r="C2004" s="586" t="s">
        <v>4</v>
      </c>
      <c r="D2004" s="586" t="s">
        <v>4</v>
      </c>
    </row>
    <row r="2005" spans="1:4" x14ac:dyDescent="0.25">
      <c r="A2005" s="28"/>
      <c r="B2005" s="7" t="s">
        <v>1093</v>
      </c>
      <c r="C2005" s="29"/>
      <c r="D2005" s="29"/>
    </row>
    <row r="2006" spans="1:4" x14ac:dyDescent="0.25">
      <c r="A2006" s="30">
        <v>21010100</v>
      </c>
      <c r="B2006" s="31" t="s">
        <v>50</v>
      </c>
      <c r="C2006" s="35">
        <f>'APPENDIX PERS COSTS DETAILS'!D2173</f>
        <v>1999764725</v>
      </c>
      <c r="D2006" s="108">
        <f>'APPENDIX PERS COSTS DETAILS'!F2173</f>
        <v>2678791963</v>
      </c>
    </row>
    <row r="2007" spans="1:4" x14ac:dyDescent="0.25">
      <c r="A2007" s="33">
        <v>21010101</v>
      </c>
      <c r="B2007" s="34" t="s">
        <v>51</v>
      </c>
      <c r="C2007" s="108"/>
      <c r="D2007" s="108"/>
    </row>
    <row r="2008" spans="1:4" x14ac:dyDescent="0.25">
      <c r="A2008" s="33">
        <v>21010102</v>
      </c>
      <c r="B2008" s="34" t="s">
        <v>52</v>
      </c>
      <c r="C2008" s="36"/>
      <c r="D2008" s="36"/>
    </row>
    <row r="2009" spans="1:4" x14ac:dyDescent="0.25">
      <c r="A2009" s="33">
        <v>21010103</v>
      </c>
      <c r="B2009" s="34" t="s">
        <v>53</v>
      </c>
      <c r="C2009" s="108"/>
      <c r="D2009" s="108"/>
    </row>
    <row r="2010" spans="1:4" x14ac:dyDescent="0.25">
      <c r="A2010" s="30">
        <v>210201</v>
      </c>
      <c r="B2010" s="31" t="s">
        <v>54</v>
      </c>
      <c r="C2010" s="36"/>
      <c r="D2010" s="36"/>
    </row>
    <row r="2011" spans="1:4" x14ac:dyDescent="0.25">
      <c r="A2011" s="33">
        <v>21020101</v>
      </c>
      <c r="B2011" s="34" t="s">
        <v>55</v>
      </c>
      <c r="C2011" s="37"/>
      <c r="D2011" s="37"/>
    </row>
    <row r="2012" spans="1:4" x14ac:dyDescent="0.25">
      <c r="A2012" s="30">
        <v>21020200</v>
      </c>
      <c r="B2012" s="31" t="s">
        <v>56</v>
      </c>
      <c r="C2012" s="36"/>
      <c r="D2012" s="36"/>
    </row>
    <row r="2013" spans="1:4" x14ac:dyDescent="0.25">
      <c r="A2013" s="33">
        <v>21020201</v>
      </c>
      <c r="B2013" s="34" t="s">
        <v>122</v>
      </c>
      <c r="C2013" s="36"/>
      <c r="D2013" s="36"/>
    </row>
    <row r="2014" spans="1:4" x14ac:dyDescent="0.25">
      <c r="A2014" s="33">
        <v>21020202</v>
      </c>
      <c r="B2014" s="34" t="s">
        <v>123</v>
      </c>
      <c r="C2014" s="36"/>
      <c r="D2014" s="36"/>
    </row>
    <row r="2015" spans="1:4" x14ac:dyDescent="0.25">
      <c r="A2015" s="33">
        <v>21020203</v>
      </c>
      <c r="B2015" s="34" t="s">
        <v>57</v>
      </c>
      <c r="C2015" s="36"/>
      <c r="D2015" s="36"/>
    </row>
    <row r="2016" spans="1:4" x14ac:dyDescent="0.25">
      <c r="A2016" s="33">
        <v>21020204</v>
      </c>
      <c r="B2016" s="34" t="s">
        <v>58</v>
      </c>
      <c r="C2016" s="36"/>
      <c r="D2016" s="36"/>
    </row>
    <row r="2017" spans="1:4" x14ac:dyDescent="0.25">
      <c r="A2017" s="33">
        <v>21020205</v>
      </c>
      <c r="B2017" s="34" t="s">
        <v>59</v>
      </c>
      <c r="C2017" s="36"/>
      <c r="D2017" s="36"/>
    </row>
    <row r="2018" spans="1:4" x14ac:dyDescent="0.25">
      <c r="A2018" s="30">
        <v>21030100</v>
      </c>
      <c r="B2018" s="31" t="s">
        <v>60</v>
      </c>
      <c r="C2018" s="35"/>
      <c r="D2018" s="35"/>
    </row>
    <row r="2019" spans="1:4" x14ac:dyDescent="0.25">
      <c r="A2019" s="33">
        <v>21030101</v>
      </c>
      <c r="B2019" s="34" t="s">
        <v>61</v>
      </c>
      <c r="C2019" s="35"/>
      <c r="D2019" s="35"/>
    </row>
    <row r="2020" spans="1:4" x14ac:dyDescent="0.25">
      <c r="A2020" s="33">
        <v>21030102</v>
      </c>
      <c r="B2020" s="34" t="s">
        <v>62</v>
      </c>
      <c r="C2020" s="35"/>
      <c r="D2020" s="35"/>
    </row>
    <row r="2021" spans="1:4" x14ac:dyDescent="0.25">
      <c r="A2021" s="33">
        <v>21030103</v>
      </c>
      <c r="B2021" s="34" t="s">
        <v>63</v>
      </c>
      <c r="C2021" s="35"/>
      <c r="D2021" s="35"/>
    </row>
    <row r="2022" spans="1:4" x14ac:dyDescent="0.25">
      <c r="A2022" s="33"/>
      <c r="B2022" s="34"/>
      <c r="C2022" s="37"/>
      <c r="D2022" s="37"/>
    </row>
    <row r="2023" spans="1:4" s="26" customFormat="1" x14ac:dyDescent="0.25">
      <c r="A2023" s="593"/>
      <c r="B2023" s="594" t="s">
        <v>2</v>
      </c>
      <c r="C2023" s="109">
        <f>SUM(C2004:C2022)</f>
        <v>1999764725</v>
      </c>
      <c r="D2023" s="109">
        <f>SUM(D2004:D2022)</f>
        <v>2678791963</v>
      </c>
    </row>
    <row r="2024" spans="1:4" x14ac:dyDescent="0.25">
      <c r="A2024" s="576"/>
      <c r="B2024" s="576"/>
      <c r="C2024" s="576"/>
      <c r="D2024" s="576"/>
    </row>
    <row r="2025" spans="1:4" x14ac:dyDescent="0.25">
      <c r="A2025" s="3460" t="s">
        <v>1465</v>
      </c>
      <c r="B2025" s="3460"/>
      <c r="C2025" s="3460"/>
      <c r="D2025" s="3460"/>
    </row>
    <row r="2026" spans="1:4" ht="16.5" thickBot="1" x14ac:dyDescent="0.3">
      <c r="A2026" s="3457" t="s">
        <v>2748</v>
      </c>
      <c r="B2026" s="3457"/>
      <c r="C2026" s="3457"/>
      <c r="D2026" s="3457"/>
    </row>
    <row r="2027" spans="1:4" x14ac:dyDescent="0.25">
      <c r="A2027" s="577" t="s">
        <v>0</v>
      </c>
      <c r="B2027" s="578"/>
      <c r="C2027" s="577" t="s">
        <v>7</v>
      </c>
      <c r="D2027" s="579" t="s">
        <v>2447</v>
      </c>
    </row>
    <row r="2028" spans="1:4" s="38" customFormat="1" x14ac:dyDescent="0.2">
      <c r="A2028" s="580" t="s">
        <v>1</v>
      </c>
      <c r="B2028" s="581" t="s">
        <v>5</v>
      </c>
      <c r="C2028" s="580" t="s">
        <v>6</v>
      </c>
      <c r="D2028" s="580" t="s">
        <v>2448</v>
      </c>
    </row>
    <row r="2029" spans="1:4" s="38" customFormat="1" x14ac:dyDescent="0.2">
      <c r="A2029" s="582"/>
      <c r="B2029" s="583"/>
      <c r="C2029" s="580">
        <v>2020</v>
      </c>
      <c r="D2029" s="580">
        <v>2021</v>
      </c>
    </row>
    <row r="2030" spans="1:4" s="38" customFormat="1" ht="16.5" thickBot="1" x14ac:dyDescent="0.25">
      <c r="A2030" s="584"/>
      <c r="B2030" s="585"/>
      <c r="C2030" s="586" t="s">
        <v>4</v>
      </c>
      <c r="D2030" s="586" t="s">
        <v>4</v>
      </c>
    </row>
    <row r="2031" spans="1:4" x14ac:dyDescent="0.25">
      <c r="A2031" s="28"/>
      <c r="B2031" s="7" t="s">
        <v>1093</v>
      </c>
      <c r="C2031" s="29"/>
      <c r="D2031" s="29"/>
    </row>
    <row r="2032" spans="1:4" x14ac:dyDescent="0.25">
      <c r="A2032" s="30">
        <v>21010100</v>
      </c>
      <c r="B2032" s="31" t="s">
        <v>50</v>
      </c>
      <c r="C2032" s="108">
        <f>'APPENDIX PERS COSTS DETAILS'!D2279</f>
        <v>43789314.619999997</v>
      </c>
      <c r="D2032" s="108">
        <f>'APPENDIX PERS COSTS DETAILS'!F2279</f>
        <v>43688886.100000001</v>
      </c>
    </row>
    <row r="2033" spans="1:4" x14ac:dyDescent="0.25">
      <c r="A2033" s="33">
        <v>21010101</v>
      </c>
      <c r="B2033" s="34" t="s">
        <v>51</v>
      </c>
      <c r="C2033" s="108"/>
      <c r="D2033" s="108"/>
    </row>
    <row r="2034" spans="1:4" x14ac:dyDescent="0.25">
      <c r="A2034" s="33">
        <v>21010102</v>
      </c>
      <c r="B2034" s="34" t="s">
        <v>52</v>
      </c>
      <c r="C2034" s="36"/>
      <c r="D2034" s="36"/>
    </row>
    <row r="2035" spans="1:4" x14ac:dyDescent="0.25">
      <c r="A2035" s="33">
        <v>21010103</v>
      </c>
      <c r="B2035" s="34" t="s">
        <v>53</v>
      </c>
      <c r="C2035" s="108"/>
      <c r="D2035" s="108"/>
    </row>
    <row r="2036" spans="1:4" x14ac:dyDescent="0.25">
      <c r="A2036" s="30">
        <v>210201</v>
      </c>
      <c r="B2036" s="31" t="s">
        <v>54</v>
      </c>
      <c r="C2036" s="36"/>
      <c r="D2036" s="36"/>
    </row>
    <row r="2037" spans="1:4" x14ac:dyDescent="0.25">
      <c r="A2037" s="33">
        <v>21020101</v>
      </c>
      <c r="B2037" s="34" t="s">
        <v>55</v>
      </c>
      <c r="C2037" s="37"/>
      <c r="D2037" s="37"/>
    </row>
    <row r="2038" spans="1:4" x14ac:dyDescent="0.25">
      <c r="A2038" s="30">
        <v>21020200</v>
      </c>
      <c r="B2038" s="31" t="s">
        <v>56</v>
      </c>
      <c r="C2038" s="36"/>
      <c r="D2038" s="36"/>
    </row>
    <row r="2039" spans="1:4" x14ac:dyDescent="0.25">
      <c r="A2039" s="33">
        <v>21020201</v>
      </c>
      <c r="B2039" s="34" t="s">
        <v>122</v>
      </c>
      <c r="C2039" s="36"/>
      <c r="D2039" s="36"/>
    </row>
    <row r="2040" spans="1:4" x14ac:dyDescent="0.25">
      <c r="A2040" s="33">
        <v>21020202</v>
      </c>
      <c r="B2040" s="34" t="s">
        <v>123</v>
      </c>
      <c r="C2040" s="36"/>
      <c r="D2040" s="36"/>
    </row>
    <row r="2041" spans="1:4" x14ac:dyDescent="0.25">
      <c r="A2041" s="33">
        <v>21020203</v>
      </c>
      <c r="B2041" s="34" t="s">
        <v>57</v>
      </c>
      <c r="C2041" s="36"/>
      <c r="D2041" s="36"/>
    </row>
    <row r="2042" spans="1:4" x14ac:dyDescent="0.25">
      <c r="A2042" s="33">
        <v>21020204</v>
      </c>
      <c r="B2042" s="34" t="s">
        <v>58</v>
      </c>
      <c r="C2042" s="36"/>
      <c r="D2042" s="36"/>
    </row>
    <row r="2043" spans="1:4" x14ac:dyDescent="0.25">
      <c r="A2043" s="33">
        <v>21020205</v>
      </c>
      <c r="B2043" s="34" t="s">
        <v>59</v>
      </c>
      <c r="C2043" s="36"/>
      <c r="D2043" s="36"/>
    </row>
    <row r="2044" spans="1:4" x14ac:dyDescent="0.25">
      <c r="A2044" s="30">
        <v>21030100</v>
      </c>
      <c r="B2044" s="31" t="s">
        <v>60</v>
      </c>
      <c r="C2044" s="35"/>
      <c r="D2044" s="35"/>
    </row>
    <row r="2045" spans="1:4" x14ac:dyDescent="0.25">
      <c r="A2045" s="33">
        <v>21030101</v>
      </c>
      <c r="B2045" s="34" t="s">
        <v>61</v>
      </c>
      <c r="C2045" s="35"/>
      <c r="D2045" s="35"/>
    </row>
    <row r="2046" spans="1:4" x14ac:dyDescent="0.25">
      <c r="A2046" s="33">
        <v>21030102</v>
      </c>
      <c r="B2046" s="34" t="s">
        <v>62</v>
      </c>
      <c r="C2046" s="35"/>
      <c r="D2046" s="35"/>
    </row>
    <row r="2047" spans="1:4" x14ac:dyDescent="0.25">
      <c r="A2047" s="33">
        <v>21030103</v>
      </c>
      <c r="B2047" s="34" t="s">
        <v>63</v>
      </c>
      <c r="C2047" s="35"/>
      <c r="D2047" s="35"/>
    </row>
    <row r="2048" spans="1:4" x14ac:dyDescent="0.25">
      <c r="A2048" s="33"/>
      <c r="B2048" s="34"/>
      <c r="C2048" s="37"/>
      <c r="D2048" s="37"/>
    </row>
    <row r="2049" spans="1:4" s="280" customFormat="1" x14ac:dyDescent="0.25">
      <c r="A2049" s="593"/>
      <c r="B2049" s="594" t="s">
        <v>2</v>
      </c>
      <c r="C2049" s="109">
        <f>SUM(C2030:C2048)</f>
        <v>43789314.619999997</v>
      </c>
      <c r="D2049" s="109">
        <f>SUM(D2030:D2048)</f>
        <v>43688886.100000001</v>
      </c>
    </row>
    <row r="2050" spans="1:4" s="280" customFormat="1" x14ac:dyDescent="0.25">
      <c r="A2050" s="576"/>
      <c r="B2050" s="576"/>
      <c r="C2050" s="576"/>
      <c r="D2050" s="576"/>
    </row>
    <row r="2051" spans="1:4" x14ac:dyDescent="0.25">
      <c r="A2051" s="3456" t="s">
        <v>175</v>
      </c>
      <c r="B2051" s="3456"/>
      <c r="C2051" s="3456"/>
      <c r="D2051" s="3456"/>
    </row>
    <row r="2052" spans="1:4" ht="16.5" thickBot="1" x14ac:dyDescent="0.3">
      <c r="A2052" s="3457" t="s">
        <v>2824</v>
      </c>
      <c r="B2052" s="3457"/>
      <c r="C2052" s="3457"/>
      <c r="D2052" s="3457"/>
    </row>
    <row r="2053" spans="1:4" x14ac:dyDescent="0.25">
      <c r="A2053" s="577" t="s">
        <v>0</v>
      </c>
      <c r="B2053" s="578"/>
      <c r="C2053" s="577" t="s">
        <v>7</v>
      </c>
      <c r="D2053" s="579" t="s">
        <v>2447</v>
      </c>
    </row>
    <row r="2054" spans="1:4" s="38" customFormat="1" x14ac:dyDescent="0.2">
      <c r="A2054" s="580" t="s">
        <v>1</v>
      </c>
      <c r="B2054" s="581" t="s">
        <v>5</v>
      </c>
      <c r="C2054" s="580" t="s">
        <v>6</v>
      </c>
      <c r="D2054" s="580" t="s">
        <v>2448</v>
      </c>
    </row>
    <row r="2055" spans="1:4" s="38" customFormat="1" x14ac:dyDescent="0.2">
      <c r="A2055" s="582"/>
      <c r="B2055" s="583"/>
      <c r="C2055" s="580">
        <v>2020</v>
      </c>
      <c r="D2055" s="580">
        <v>2021</v>
      </c>
    </row>
    <row r="2056" spans="1:4" s="38" customFormat="1" ht="16.5" thickBot="1" x14ac:dyDescent="0.25">
      <c r="A2056" s="584"/>
      <c r="B2056" s="585"/>
      <c r="C2056" s="586" t="s">
        <v>4</v>
      </c>
      <c r="D2056" s="586" t="s">
        <v>4</v>
      </c>
    </row>
    <row r="2057" spans="1:4" x14ac:dyDescent="0.25">
      <c r="A2057" s="28"/>
      <c r="B2057" s="7" t="s">
        <v>1093</v>
      </c>
      <c r="C2057" s="29"/>
      <c r="D2057" s="29"/>
    </row>
    <row r="2058" spans="1:4" x14ac:dyDescent="0.25">
      <c r="A2058" s="30">
        <v>21010100</v>
      </c>
      <c r="B2058" s="31" t="s">
        <v>50</v>
      </c>
      <c r="C2058" s="108">
        <f>'APPENDIX PERS COSTS DETAILS'!D2301</f>
        <v>134827610</v>
      </c>
      <c r="D2058" s="108">
        <f>'APPENDIX PERS COSTS DETAILS'!F2311</f>
        <v>122374777</v>
      </c>
    </row>
    <row r="2059" spans="1:4" x14ac:dyDescent="0.25">
      <c r="A2059" s="33">
        <v>21010101</v>
      </c>
      <c r="B2059" s="34" t="s">
        <v>51</v>
      </c>
      <c r="C2059" s="36"/>
      <c r="D2059" s="36"/>
    </row>
    <row r="2060" spans="1:4" x14ac:dyDescent="0.25">
      <c r="A2060" s="33">
        <v>21010102</v>
      </c>
      <c r="B2060" s="34" t="s">
        <v>52</v>
      </c>
      <c r="C2060" s="36"/>
      <c r="D2060" s="36"/>
    </row>
    <row r="2061" spans="1:4" x14ac:dyDescent="0.25">
      <c r="A2061" s="33">
        <v>21010103</v>
      </c>
      <c r="B2061" s="34" t="s">
        <v>53</v>
      </c>
      <c r="C2061" s="108">
        <f>'APPENDIX PERS COSTS DETAILS'!D2316</f>
        <v>11245165</v>
      </c>
      <c r="D2061" s="108">
        <f>'APPENDIX PERS COSTS DETAILS'!F2316</f>
        <v>11245165</v>
      </c>
    </row>
    <row r="2062" spans="1:4" x14ac:dyDescent="0.25">
      <c r="A2062" s="30">
        <v>210201</v>
      </c>
      <c r="B2062" s="31" t="s">
        <v>54</v>
      </c>
      <c r="C2062" s="36"/>
      <c r="D2062" s="36"/>
    </row>
    <row r="2063" spans="1:4" x14ac:dyDescent="0.25">
      <c r="A2063" s="33">
        <v>21020101</v>
      </c>
      <c r="B2063" s="34" t="s">
        <v>55</v>
      </c>
      <c r="C2063" s="37"/>
      <c r="D2063" s="37"/>
    </row>
    <row r="2064" spans="1:4" x14ac:dyDescent="0.25">
      <c r="A2064" s="30">
        <v>21020200</v>
      </c>
      <c r="B2064" s="31" t="s">
        <v>56</v>
      </c>
      <c r="C2064" s="36"/>
      <c r="D2064" s="36"/>
    </row>
    <row r="2065" spans="1:4" x14ac:dyDescent="0.25">
      <c r="A2065" s="33">
        <v>21020201</v>
      </c>
      <c r="B2065" s="34" t="s">
        <v>122</v>
      </c>
      <c r="C2065" s="36"/>
      <c r="D2065" s="36"/>
    </row>
    <row r="2066" spans="1:4" x14ac:dyDescent="0.25">
      <c r="A2066" s="33">
        <v>21020202</v>
      </c>
      <c r="B2066" s="34" t="s">
        <v>123</v>
      </c>
      <c r="C2066" s="36"/>
      <c r="D2066" s="36"/>
    </row>
    <row r="2067" spans="1:4" x14ac:dyDescent="0.25">
      <c r="A2067" s="33">
        <v>21020203</v>
      </c>
      <c r="B2067" s="34" t="s">
        <v>57</v>
      </c>
      <c r="C2067" s="36"/>
      <c r="D2067" s="36"/>
    </row>
    <row r="2068" spans="1:4" x14ac:dyDescent="0.25">
      <c r="A2068" s="33">
        <v>21020204</v>
      </c>
      <c r="B2068" s="34" t="s">
        <v>58</v>
      </c>
      <c r="C2068" s="36"/>
      <c r="D2068" s="36"/>
    </row>
    <row r="2069" spans="1:4" x14ac:dyDescent="0.25">
      <c r="A2069" s="33">
        <v>21020205</v>
      </c>
      <c r="B2069" s="34" t="s">
        <v>59</v>
      </c>
      <c r="C2069" s="36"/>
      <c r="D2069" s="36"/>
    </row>
    <row r="2070" spans="1:4" x14ac:dyDescent="0.25">
      <c r="A2070" s="30">
        <v>21030100</v>
      </c>
      <c r="B2070" s="31" t="s">
        <v>60</v>
      </c>
      <c r="C2070" s="35"/>
      <c r="D2070" s="35"/>
    </row>
    <row r="2071" spans="1:4" x14ac:dyDescent="0.25">
      <c r="A2071" s="33">
        <v>21030101</v>
      </c>
      <c r="B2071" s="34" t="s">
        <v>61</v>
      </c>
      <c r="C2071" s="35"/>
      <c r="D2071" s="35"/>
    </row>
    <row r="2072" spans="1:4" x14ac:dyDescent="0.25">
      <c r="A2072" s="33">
        <v>21030102</v>
      </c>
      <c r="B2072" s="34" t="s">
        <v>62</v>
      </c>
      <c r="C2072" s="35"/>
      <c r="D2072" s="35"/>
    </row>
    <row r="2073" spans="1:4" x14ac:dyDescent="0.25">
      <c r="A2073" s="33">
        <v>21030103</v>
      </c>
      <c r="B2073" s="34" t="s">
        <v>63</v>
      </c>
      <c r="C2073" s="35"/>
      <c r="D2073" s="35"/>
    </row>
    <row r="2074" spans="1:4" x14ac:dyDescent="0.25">
      <c r="A2074" s="33"/>
      <c r="B2074" s="34"/>
      <c r="C2074" s="37"/>
      <c r="D2074" s="37"/>
    </row>
    <row r="2075" spans="1:4" x14ac:dyDescent="0.25">
      <c r="A2075" s="593"/>
      <c r="B2075" s="594" t="s">
        <v>2</v>
      </c>
      <c r="C2075" s="109">
        <f>SUM(C2056:C2074)</f>
        <v>146072775</v>
      </c>
      <c r="D2075" s="109">
        <f>SUM(D2057:D2074)</f>
        <v>133619942</v>
      </c>
    </row>
    <row r="2076" spans="1:4" x14ac:dyDescent="0.25">
      <c r="A2076" s="3458"/>
      <c r="B2076" s="3458"/>
      <c r="C2076" s="3458"/>
      <c r="D2076" s="3458"/>
    </row>
    <row r="2077" spans="1:4" x14ac:dyDescent="0.25">
      <c r="A2077" s="3456" t="s">
        <v>3139</v>
      </c>
      <c r="B2077" s="3456"/>
      <c r="C2077" s="3456"/>
      <c r="D2077" s="3456"/>
    </row>
    <row r="2078" spans="1:4" ht="16.5" thickBot="1" x14ac:dyDescent="0.3">
      <c r="A2078" s="3457" t="s">
        <v>3140</v>
      </c>
      <c r="B2078" s="3457"/>
      <c r="C2078" s="3457"/>
      <c r="D2078" s="3457"/>
    </row>
    <row r="2079" spans="1:4" x14ac:dyDescent="0.25">
      <c r="A2079" s="577" t="s">
        <v>0</v>
      </c>
      <c r="B2079" s="578"/>
      <c r="C2079" s="577" t="s">
        <v>7</v>
      </c>
      <c r="D2079" s="579" t="s">
        <v>2447</v>
      </c>
    </row>
    <row r="2080" spans="1:4" s="38" customFormat="1" x14ac:dyDescent="0.2">
      <c r="A2080" s="580" t="s">
        <v>1</v>
      </c>
      <c r="B2080" s="581" t="s">
        <v>5</v>
      </c>
      <c r="C2080" s="580" t="s">
        <v>6</v>
      </c>
      <c r="D2080" s="580" t="s">
        <v>2448</v>
      </c>
    </row>
    <row r="2081" spans="1:4" s="38" customFormat="1" x14ac:dyDescent="0.2">
      <c r="A2081" s="582"/>
      <c r="B2081" s="583"/>
      <c r="C2081" s="580">
        <v>2020</v>
      </c>
      <c r="D2081" s="580">
        <v>2021</v>
      </c>
    </row>
    <row r="2082" spans="1:4" s="38" customFormat="1" ht="16.5" thickBot="1" x14ac:dyDescent="0.25">
      <c r="A2082" s="584"/>
      <c r="B2082" s="585"/>
      <c r="C2082" s="586" t="s">
        <v>4</v>
      </c>
      <c r="D2082" s="586" t="s">
        <v>4</v>
      </c>
    </row>
    <row r="2083" spans="1:4" x14ac:dyDescent="0.25">
      <c r="A2083" s="28"/>
      <c r="B2083" s="7" t="s">
        <v>1093</v>
      </c>
      <c r="C2083" s="29"/>
      <c r="D2083" s="29"/>
    </row>
    <row r="2084" spans="1:4" x14ac:dyDescent="0.25">
      <c r="A2084" s="30">
        <v>21010100</v>
      </c>
      <c r="B2084" s="31" t="s">
        <v>50</v>
      </c>
      <c r="C2084" s="108">
        <f>'APPENDIX PERS COSTS DETAILS'!C2344</f>
        <v>23731070</v>
      </c>
      <c r="D2084" s="108">
        <f>'APPENDIX PERS COSTS DETAILS'!F2344</f>
        <v>34051649</v>
      </c>
    </row>
    <row r="2085" spans="1:4" x14ac:dyDescent="0.25">
      <c r="A2085" s="33">
        <v>21010101</v>
      </c>
      <c r="B2085" s="34" t="s">
        <v>51</v>
      </c>
      <c r="C2085" s="36"/>
      <c r="D2085" s="36"/>
    </row>
    <row r="2086" spans="1:4" x14ac:dyDescent="0.25">
      <c r="A2086" s="33">
        <v>21010102</v>
      </c>
      <c r="B2086" s="34" t="s">
        <v>52</v>
      </c>
      <c r="C2086" s="36"/>
      <c r="D2086" s="36"/>
    </row>
    <row r="2087" spans="1:4" x14ac:dyDescent="0.25">
      <c r="A2087" s="33">
        <v>21010103</v>
      </c>
      <c r="B2087" s="34" t="s">
        <v>53</v>
      </c>
      <c r="C2087" s="108"/>
      <c r="D2087" s="108"/>
    </row>
    <row r="2088" spans="1:4" x14ac:dyDescent="0.25">
      <c r="A2088" s="30">
        <v>210201</v>
      </c>
      <c r="B2088" s="31" t="s">
        <v>54</v>
      </c>
      <c r="C2088" s="36"/>
      <c r="D2088" s="36"/>
    </row>
    <row r="2089" spans="1:4" x14ac:dyDescent="0.25">
      <c r="A2089" s="33">
        <v>21020101</v>
      </c>
      <c r="B2089" s="34" t="s">
        <v>55</v>
      </c>
      <c r="C2089" s="37"/>
      <c r="D2089" s="37"/>
    </row>
    <row r="2090" spans="1:4" x14ac:dyDescent="0.25">
      <c r="A2090" s="30">
        <v>21020200</v>
      </c>
      <c r="B2090" s="31" t="s">
        <v>56</v>
      </c>
      <c r="C2090" s="36"/>
      <c r="D2090" s="36"/>
    </row>
    <row r="2091" spans="1:4" x14ac:dyDescent="0.25">
      <c r="A2091" s="33">
        <v>21020201</v>
      </c>
      <c r="B2091" s="34" t="s">
        <v>122</v>
      </c>
      <c r="C2091" s="36"/>
      <c r="D2091" s="36"/>
    </row>
    <row r="2092" spans="1:4" x14ac:dyDescent="0.25">
      <c r="A2092" s="33">
        <v>21020202</v>
      </c>
      <c r="B2092" s="34" t="s">
        <v>123</v>
      </c>
      <c r="C2092" s="36"/>
      <c r="D2092" s="36"/>
    </row>
    <row r="2093" spans="1:4" x14ac:dyDescent="0.25">
      <c r="A2093" s="33">
        <v>21020203</v>
      </c>
      <c r="B2093" s="34" t="s">
        <v>57</v>
      </c>
      <c r="C2093" s="36"/>
      <c r="D2093" s="36"/>
    </row>
    <row r="2094" spans="1:4" x14ac:dyDescent="0.25">
      <c r="A2094" s="33">
        <v>21020204</v>
      </c>
      <c r="B2094" s="34" t="s">
        <v>58</v>
      </c>
      <c r="C2094" s="36"/>
      <c r="D2094" s="36"/>
    </row>
    <row r="2095" spans="1:4" x14ac:dyDescent="0.25">
      <c r="A2095" s="33">
        <v>21020205</v>
      </c>
      <c r="B2095" s="34" t="s">
        <v>59</v>
      </c>
      <c r="C2095" s="36"/>
      <c r="D2095" s="36"/>
    </row>
    <row r="2096" spans="1:4" x14ac:dyDescent="0.25">
      <c r="A2096" s="30">
        <v>21030100</v>
      </c>
      <c r="B2096" s="31" t="s">
        <v>60</v>
      </c>
      <c r="C2096" s="35"/>
      <c r="D2096" s="35"/>
    </row>
    <row r="2097" spans="1:4" x14ac:dyDescent="0.25">
      <c r="A2097" s="33">
        <v>21030101</v>
      </c>
      <c r="B2097" s="34" t="s">
        <v>61</v>
      </c>
      <c r="C2097" s="35"/>
      <c r="D2097" s="35"/>
    </row>
    <row r="2098" spans="1:4" x14ac:dyDescent="0.25">
      <c r="A2098" s="33">
        <v>21030102</v>
      </c>
      <c r="B2098" s="34" t="s">
        <v>62</v>
      </c>
      <c r="C2098" s="35"/>
      <c r="D2098" s="35"/>
    </row>
    <row r="2099" spans="1:4" x14ac:dyDescent="0.25">
      <c r="A2099" s="33">
        <v>21030103</v>
      </c>
      <c r="B2099" s="34" t="s">
        <v>63</v>
      </c>
      <c r="C2099" s="35"/>
      <c r="D2099" s="35"/>
    </row>
    <row r="2100" spans="1:4" x14ac:dyDescent="0.25">
      <c r="A2100" s="33"/>
      <c r="B2100" s="34"/>
      <c r="C2100" s="37"/>
      <c r="D2100" s="37"/>
    </row>
    <row r="2101" spans="1:4" x14ac:dyDescent="0.25">
      <c r="A2101" s="593"/>
      <c r="B2101" s="594" t="s">
        <v>2</v>
      </c>
      <c r="C2101" s="109">
        <f>SUM(C2082:C2100)</f>
        <v>23731070</v>
      </c>
      <c r="D2101" s="109">
        <f>SUM(D2083:D2100)</f>
        <v>34051649</v>
      </c>
    </row>
    <row r="2102" spans="1:4" x14ac:dyDescent="0.25">
      <c r="A2102" s="3458"/>
      <c r="B2102" s="3458"/>
      <c r="C2102" s="3458"/>
      <c r="D2102" s="3458"/>
    </row>
    <row r="2103" spans="1:4" x14ac:dyDescent="0.25">
      <c r="A2103" s="3456" t="s">
        <v>3137</v>
      </c>
      <c r="B2103" s="3456"/>
      <c r="C2103" s="3456"/>
      <c r="D2103" s="3456"/>
    </row>
    <row r="2104" spans="1:4" ht="16.5" thickBot="1" x14ac:dyDescent="0.3">
      <c r="A2104" s="3457" t="s">
        <v>3138</v>
      </c>
      <c r="B2104" s="3457"/>
      <c r="C2104" s="3457"/>
      <c r="D2104" s="3457"/>
    </row>
    <row r="2105" spans="1:4" x14ac:dyDescent="0.25">
      <c r="A2105" s="577" t="s">
        <v>0</v>
      </c>
      <c r="B2105" s="578"/>
      <c r="C2105" s="577" t="s">
        <v>7</v>
      </c>
      <c r="D2105" s="579" t="s">
        <v>2447</v>
      </c>
    </row>
    <row r="2106" spans="1:4" s="38" customFormat="1" x14ac:dyDescent="0.2">
      <c r="A2106" s="580" t="s">
        <v>1</v>
      </c>
      <c r="B2106" s="581" t="s">
        <v>5</v>
      </c>
      <c r="C2106" s="580" t="s">
        <v>6</v>
      </c>
      <c r="D2106" s="580" t="s">
        <v>2448</v>
      </c>
    </row>
    <row r="2107" spans="1:4" s="38" customFormat="1" x14ac:dyDescent="0.2">
      <c r="A2107" s="582"/>
      <c r="B2107" s="583"/>
      <c r="C2107" s="580">
        <v>2020</v>
      </c>
      <c r="D2107" s="580">
        <v>2021</v>
      </c>
    </row>
    <row r="2108" spans="1:4" s="38" customFormat="1" ht="16.5" thickBot="1" x14ac:dyDescent="0.25">
      <c r="A2108" s="584"/>
      <c r="B2108" s="585"/>
      <c r="C2108" s="586" t="s">
        <v>4</v>
      </c>
      <c r="D2108" s="586" t="s">
        <v>4</v>
      </c>
    </row>
    <row r="2109" spans="1:4" x14ac:dyDescent="0.25">
      <c r="A2109" s="28"/>
      <c r="B2109" s="7" t="s">
        <v>1093</v>
      </c>
      <c r="C2109" s="29"/>
      <c r="D2109" s="29"/>
    </row>
    <row r="2110" spans="1:4" x14ac:dyDescent="0.25">
      <c r="A2110" s="30">
        <v>21010100</v>
      </c>
      <c r="B2110" s="31" t="s">
        <v>50</v>
      </c>
      <c r="C2110" s="108">
        <f>'APPENDIX PERS COSTS DETAILS'!D2337</f>
        <v>0</v>
      </c>
      <c r="D2110" s="108">
        <f>'APPENDIX PERS COSTS DETAILS'!F2337</f>
        <v>2378214</v>
      </c>
    </row>
    <row r="2111" spans="1:4" x14ac:dyDescent="0.25">
      <c r="A2111" s="33">
        <v>21010101</v>
      </c>
      <c r="B2111" s="34" t="s">
        <v>51</v>
      </c>
      <c r="C2111" s="36"/>
      <c r="D2111" s="36"/>
    </row>
    <row r="2112" spans="1:4" x14ac:dyDescent="0.25">
      <c r="A2112" s="33">
        <v>21010102</v>
      </c>
      <c r="B2112" s="34" t="s">
        <v>52</v>
      </c>
      <c r="C2112" s="36"/>
      <c r="D2112" s="36"/>
    </row>
    <row r="2113" spans="1:4" x14ac:dyDescent="0.25">
      <c r="A2113" s="33">
        <v>21010103</v>
      </c>
      <c r="B2113" s="34" t="s">
        <v>53</v>
      </c>
      <c r="C2113" s="108">
        <f>'APPENDIX PERS COSTS DETAILS'!D2342</f>
        <v>0</v>
      </c>
      <c r="D2113" s="108">
        <f>'APPENDIX PERS COSTS DETAILS'!F2342</f>
        <v>4180365</v>
      </c>
    </row>
    <row r="2114" spans="1:4" x14ac:dyDescent="0.25">
      <c r="A2114" s="30">
        <v>210201</v>
      </c>
      <c r="B2114" s="31" t="s">
        <v>54</v>
      </c>
      <c r="C2114" s="36"/>
      <c r="D2114" s="36"/>
    </row>
    <row r="2115" spans="1:4" x14ac:dyDescent="0.25">
      <c r="A2115" s="33">
        <v>21020101</v>
      </c>
      <c r="B2115" s="34" t="s">
        <v>55</v>
      </c>
      <c r="C2115" s="37"/>
      <c r="D2115" s="37"/>
    </row>
    <row r="2116" spans="1:4" x14ac:dyDescent="0.25">
      <c r="A2116" s="30">
        <v>21020200</v>
      </c>
      <c r="B2116" s="31" t="s">
        <v>56</v>
      </c>
      <c r="C2116" s="36"/>
      <c r="D2116" s="36"/>
    </row>
    <row r="2117" spans="1:4" x14ac:dyDescent="0.25">
      <c r="A2117" s="33">
        <v>21020201</v>
      </c>
      <c r="B2117" s="34" t="s">
        <v>122</v>
      </c>
      <c r="C2117" s="36"/>
      <c r="D2117" s="36"/>
    </row>
    <row r="2118" spans="1:4" x14ac:dyDescent="0.25">
      <c r="A2118" s="33">
        <v>21020202</v>
      </c>
      <c r="B2118" s="34" t="s">
        <v>123</v>
      </c>
      <c r="C2118" s="36"/>
      <c r="D2118" s="36"/>
    </row>
    <row r="2119" spans="1:4" x14ac:dyDescent="0.25">
      <c r="A2119" s="33">
        <v>21020203</v>
      </c>
      <c r="B2119" s="34" t="s">
        <v>57</v>
      </c>
      <c r="C2119" s="36"/>
      <c r="D2119" s="36"/>
    </row>
    <row r="2120" spans="1:4" x14ac:dyDescent="0.25">
      <c r="A2120" s="33">
        <v>21020204</v>
      </c>
      <c r="B2120" s="34" t="s">
        <v>58</v>
      </c>
      <c r="C2120" s="36"/>
      <c r="D2120" s="36"/>
    </row>
    <row r="2121" spans="1:4" x14ac:dyDescent="0.25">
      <c r="A2121" s="33">
        <v>21020205</v>
      </c>
      <c r="B2121" s="34" t="s">
        <v>59</v>
      </c>
      <c r="C2121" s="36"/>
      <c r="D2121" s="36"/>
    </row>
    <row r="2122" spans="1:4" x14ac:dyDescent="0.25">
      <c r="A2122" s="30">
        <v>21030100</v>
      </c>
      <c r="B2122" s="31" t="s">
        <v>60</v>
      </c>
      <c r="C2122" s="35"/>
      <c r="D2122" s="35"/>
    </row>
    <row r="2123" spans="1:4" x14ac:dyDescent="0.25">
      <c r="A2123" s="33">
        <v>21030101</v>
      </c>
      <c r="B2123" s="34" t="s">
        <v>61</v>
      </c>
      <c r="C2123" s="35"/>
      <c r="D2123" s="35"/>
    </row>
    <row r="2124" spans="1:4" x14ac:dyDescent="0.25">
      <c r="A2124" s="33">
        <v>21030102</v>
      </c>
      <c r="B2124" s="34" t="s">
        <v>62</v>
      </c>
      <c r="C2124" s="35"/>
      <c r="D2124" s="35"/>
    </row>
    <row r="2125" spans="1:4" x14ac:dyDescent="0.25">
      <c r="A2125" s="33">
        <v>21030103</v>
      </c>
      <c r="B2125" s="34" t="s">
        <v>63</v>
      </c>
      <c r="C2125" s="35"/>
      <c r="D2125" s="35"/>
    </row>
    <row r="2126" spans="1:4" x14ac:dyDescent="0.25">
      <c r="A2126" s="33"/>
      <c r="B2126" s="34"/>
      <c r="C2126" s="37"/>
      <c r="D2126" s="37"/>
    </row>
    <row r="2127" spans="1:4" x14ac:dyDescent="0.25">
      <c r="A2127" s="593"/>
      <c r="B2127" s="594" t="s">
        <v>2</v>
      </c>
      <c r="C2127" s="109">
        <f>SUM(C2108:C2126)</f>
        <v>0</v>
      </c>
      <c r="D2127" s="109">
        <f>SUM(D2109:D2126)</f>
        <v>6558579</v>
      </c>
    </row>
    <row r="2128" spans="1:4" x14ac:dyDescent="0.25">
      <c r="A2128" s="3458"/>
      <c r="B2128" s="3458"/>
      <c r="C2128" s="3458"/>
      <c r="D2128" s="3458"/>
    </row>
    <row r="2129" spans="1:4" x14ac:dyDescent="0.25">
      <c r="A2129" s="3456" t="s">
        <v>1423</v>
      </c>
      <c r="B2129" s="3456"/>
      <c r="C2129" s="3456"/>
      <c r="D2129" s="3456"/>
    </row>
    <row r="2130" spans="1:4" ht="16.5" thickBot="1" x14ac:dyDescent="0.3">
      <c r="A2130" s="3457" t="s">
        <v>3136</v>
      </c>
      <c r="B2130" s="3457"/>
      <c r="C2130" s="3457"/>
      <c r="D2130" s="3457"/>
    </row>
    <row r="2131" spans="1:4" x14ac:dyDescent="0.25">
      <c r="A2131" s="577" t="s">
        <v>0</v>
      </c>
      <c r="B2131" s="578"/>
      <c r="C2131" s="577" t="s">
        <v>7</v>
      </c>
      <c r="D2131" s="579" t="s">
        <v>2447</v>
      </c>
    </row>
    <row r="2132" spans="1:4" s="38" customFormat="1" x14ac:dyDescent="0.2">
      <c r="A2132" s="580" t="s">
        <v>1</v>
      </c>
      <c r="B2132" s="581" t="s">
        <v>5</v>
      </c>
      <c r="C2132" s="580" t="s">
        <v>6</v>
      </c>
      <c r="D2132" s="580" t="s">
        <v>2448</v>
      </c>
    </row>
    <row r="2133" spans="1:4" s="38" customFormat="1" x14ac:dyDescent="0.2">
      <c r="A2133" s="582"/>
      <c r="B2133" s="583"/>
      <c r="C2133" s="580">
        <v>2020</v>
      </c>
      <c r="D2133" s="580">
        <v>2021</v>
      </c>
    </row>
    <row r="2134" spans="1:4" s="38" customFormat="1" ht="16.5" thickBot="1" x14ac:dyDescent="0.25">
      <c r="A2134" s="584"/>
      <c r="B2134" s="585"/>
      <c r="C2134" s="586" t="s">
        <v>4</v>
      </c>
      <c r="D2134" s="586" t="s">
        <v>4</v>
      </c>
    </row>
    <row r="2135" spans="1:4" x14ac:dyDescent="0.25">
      <c r="A2135" s="28"/>
      <c r="B2135" s="7" t="s">
        <v>1093</v>
      </c>
      <c r="C2135" s="29"/>
      <c r="D2135" s="29"/>
    </row>
    <row r="2136" spans="1:4" x14ac:dyDescent="0.25">
      <c r="A2136" s="30">
        <v>21010100</v>
      </c>
      <c r="B2136" s="31" t="s">
        <v>50</v>
      </c>
      <c r="C2136" s="108">
        <f>'APPENDIX PERS COSTS DETAILS'!C2402</f>
        <v>254803430</v>
      </c>
      <c r="D2136" s="108">
        <f>'APPENDIX PERS COSTS DETAILS'!F2402</f>
        <v>283397997</v>
      </c>
    </row>
    <row r="2137" spans="1:4" x14ac:dyDescent="0.25">
      <c r="A2137" s="33">
        <v>21010101</v>
      </c>
      <c r="B2137" s="34" t="s">
        <v>51</v>
      </c>
      <c r="C2137" s="36"/>
      <c r="D2137" s="36"/>
    </row>
    <row r="2138" spans="1:4" x14ac:dyDescent="0.25">
      <c r="A2138" s="33">
        <v>21010102</v>
      </c>
      <c r="B2138" s="34" t="s">
        <v>52</v>
      </c>
      <c r="C2138" s="36"/>
      <c r="D2138" s="36"/>
    </row>
    <row r="2139" spans="1:4" x14ac:dyDescent="0.25">
      <c r="A2139" s="33">
        <v>21010103</v>
      </c>
      <c r="B2139" s="34" t="s">
        <v>53</v>
      </c>
      <c r="C2139" s="108"/>
      <c r="D2139" s="108"/>
    </row>
    <row r="2140" spans="1:4" x14ac:dyDescent="0.25">
      <c r="A2140" s="30">
        <v>210201</v>
      </c>
      <c r="B2140" s="31" t="s">
        <v>54</v>
      </c>
      <c r="C2140" s="36"/>
      <c r="D2140" s="36"/>
    </row>
    <row r="2141" spans="1:4" x14ac:dyDescent="0.25">
      <c r="A2141" s="33">
        <v>21020101</v>
      </c>
      <c r="B2141" s="34" t="s">
        <v>55</v>
      </c>
      <c r="C2141" s="37"/>
      <c r="D2141" s="37"/>
    </row>
    <row r="2142" spans="1:4" x14ac:dyDescent="0.25">
      <c r="A2142" s="30">
        <v>21020200</v>
      </c>
      <c r="B2142" s="31" t="s">
        <v>56</v>
      </c>
      <c r="C2142" s="36"/>
      <c r="D2142" s="36"/>
    </row>
    <row r="2143" spans="1:4" x14ac:dyDescent="0.25">
      <c r="A2143" s="33">
        <v>21020201</v>
      </c>
      <c r="B2143" s="34" t="s">
        <v>122</v>
      </c>
      <c r="C2143" s="36"/>
      <c r="D2143" s="36"/>
    </row>
    <row r="2144" spans="1:4" x14ac:dyDescent="0.25">
      <c r="A2144" s="33">
        <v>21020202</v>
      </c>
      <c r="B2144" s="34" t="s">
        <v>123</v>
      </c>
      <c r="C2144" s="36"/>
      <c r="D2144" s="36"/>
    </row>
    <row r="2145" spans="1:4" x14ac:dyDescent="0.25">
      <c r="A2145" s="33">
        <v>21020203</v>
      </c>
      <c r="B2145" s="34" t="s">
        <v>57</v>
      </c>
      <c r="C2145" s="36"/>
      <c r="D2145" s="36"/>
    </row>
    <row r="2146" spans="1:4" x14ac:dyDescent="0.25">
      <c r="A2146" s="33">
        <v>21020204</v>
      </c>
      <c r="B2146" s="34" t="s">
        <v>58</v>
      </c>
      <c r="C2146" s="36"/>
      <c r="D2146" s="36"/>
    </row>
    <row r="2147" spans="1:4" x14ac:dyDescent="0.25">
      <c r="A2147" s="33">
        <v>21020205</v>
      </c>
      <c r="B2147" s="34" t="s">
        <v>59</v>
      </c>
      <c r="C2147" s="36"/>
      <c r="D2147" s="36"/>
    </row>
    <row r="2148" spans="1:4" x14ac:dyDescent="0.25">
      <c r="A2148" s="30">
        <v>21030100</v>
      </c>
      <c r="B2148" s="31" t="s">
        <v>60</v>
      </c>
      <c r="C2148" s="35"/>
      <c r="D2148" s="35"/>
    </row>
    <row r="2149" spans="1:4" x14ac:dyDescent="0.25">
      <c r="A2149" s="33">
        <v>21030101</v>
      </c>
      <c r="B2149" s="34" t="s">
        <v>61</v>
      </c>
      <c r="C2149" s="35"/>
      <c r="D2149" s="35"/>
    </row>
    <row r="2150" spans="1:4" x14ac:dyDescent="0.25">
      <c r="A2150" s="33">
        <v>21030102</v>
      </c>
      <c r="B2150" s="34" t="s">
        <v>62</v>
      </c>
      <c r="C2150" s="35"/>
      <c r="D2150" s="35"/>
    </row>
    <row r="2151" spans="1:4" x14ac:dyDescent="0.25">
      <c r="A2151" s="33">
        <v>21030103</v>
      </c>
      <c r="B2151" s="34" t="s">
        <v>63</v>
      </c>
      <c r="C2151" s="35"/>
      <c r="D2151" s="35"/>
    </row>
    <row r="2152" spans="1:4" x14ac:dyDescent="0.25">
      <c r="A2152" s="33"/>
      <c r="B2152" s="34"/>
      <c r="C2152" s="37"/>
      <c r="D2152" s="37"/>
    </row>
    <row r="2153" spans="1:4" x14ac:dyDescent="0.25">
      <c r="A2153" s="593"/>
      <c r="B2153" s="594" t="s">
        <v>2</v>
      </c>
      <c r="C2153" s="109">
        <f>SUM(C2134:C2152)</f>
        <v>254803430</v>
      </c>
      <c r="D2153" s="109">
        <f>SUM(D2135:D2152)</f>
        <v>283397997</v>
      </c>
    </row>
    <row r="2154" spans="1:4" x14ac:dyDescent="0.25">
      <c r="A2154" s="3458"/>
      <c r="B2154" s="3458"/>
      <c r="C2154" s="3458"/>
      <c r="D2154" s="3458"/>
    </row>
    <row r="2155" spans="1:4" x14ac:dyDescent="0.25">
      <c r="A2155" s="3456" t="s">
        <v>1424</v>
      </c>
      <c r="B2155" s="3456"/>
      <c r="C2155" s="3456"/>
      <c r="D2155" s="3456"/>
    </row>
    <row r="2156" spans="1:4" ht="16.5" thickBot="1" x14ac:dyDescent="0.3">
      <c r="A2156" s="3457" t="s">
        <v>3135</v>
      </c>
      <c r="B2156" s="3457"/>
      <c r="C2156" s="3457"/>
      <c r="D2156" s="3457"/>
    </row>
    <row r="2157" spans="1:4" x14ac:dyDescent="0.25">
      <c r="A2157" s="577" t="s">
        <v>0</v>
      </c>
      <c r="B2157" s="578"/>
      <c r="C2157" s="577" t="s">
        <v>7</v>
      </c>
      <c r="D2157" s="579" t="s">
        <v>2447</v>
      </c>
    </row>
    <row r="2158" spans="1:4" s="38" customFormat="1" x14ac:dyDescent="0.2">
      <c r="A2158" s="580" t="s">
        <v>1</v>
      </c>
      <c r="B2158" s="581" t="s">
        <v>5</v>
      </c>
      <c r="C2158" s="580" t="s">
        <v>6</v>
      </c>
      <c r="D2158" s="580" t="s">
        <v>2448</v>
      </c>
    </row>
    <row r="2159" spans="1:4" s="38" customFormat="1" x14ac:dyDescent="0.2">
      <c r="A2159" s="582"/>
      <c r="B2159" s="583"/>
      <c r="C2159" s="580">
        <v>2020</v>
      </c>
      <c r="D2159" s="580">
        <v>2021</v>
      </c>
    </row>
    <row r="2160" spans="1:4" s="38" customFormat="1" ht="16.5" thickBot="1" x14ac:dyDescent="0.25">
      <c r="A2160" s="584"/>
      <c r="B2160" s="585"/>
      <c r="C2160" s="586" t="s">
        <v>4</v>
      </c>
      <c r="D2160" s="586" t="s">
        <v>4</v>
      </c>
    </row>
    <row r="2161" spans="1:4" x14ac:dyDescent="0.25">
      <c r="A2161" s="28"/>
      <c r="B2161" s="7" t="s">
        <v>1093</v>
      </c>
      <c r="C2161" s="29"/>
      <c r="D2161" s="29"/>
    </row>
    <row r="2162" spans="1:4" x14ac:dyDescent="0.25">
      <c r="A2162" s="30">
        <v>21010100</v>
      </c>
      <c r="B2162" s="31" t="s">
        <v>50</v>
      </c>
      <c r="C2162" s="108">
        <f>'APPENDIX PERS COSTS DETAILS'!C2429</f>
        <v>397484425</v>
      </c>
      <c r="D2162" s="108">
        <f>'APPENDIX PERS COSTS DETAILS'!F2429</f>
        <v>307834248.29011202</v>
      </c>
    </row>
    <row r="2163" spans="1:4" x14ac:dyDescent="0.25">
      <c r="A2163" s="33">
        <v>21010101</v>
      </c>
      <c r="B2163" s="34" t="s">
        <v>51</v>
      </c>
      <c r="C2163" s="36"/>
      <c r="D2163" s="36"/>
    </row>
    <row r="2164" spans="1:4" x14ac:dyDescent="0.25">
      <c r="A2164" s="33">
        <v>21010102</v>
      </c>
      <c r="B2164" s="34" t="s">
        <v>52</v>
      </c>
      <c r="C2164" s="36"/>
      <c r="D2164" s="36"/>
    </row>
    <row r="2165" spans="1:4" x14ac:dyDescent="0.25">
      <c r="A2165" s="33">
        <v>21010103</v>
      </c>
      <c r="B2165" s="34" t="s">
        <v>53</v>
      </c>
      <c r="C2165" s="108"/>
      <c r="D2165" s="108"/>
    </row>
    <row r="2166" spans="1:4" x14ac:dyDescent="0.25">
      <c r="A2166" s="30">
        <v>210201</v>
      </c>
      <c r="B2166" s="31" t="s">
        <v>54</v>
      </c>
      <c r="C2166" s="36"/>
      <c r="D2166" s="36"/>
    </row>
    <row r="2167" spans="1:4" x14ac:dyDescent="0.25">
      <c r="A2167" s="33">
        <v>21020101</v>
      </c>
      <c r="B2167" s="34" t="s">
        <v>55</v>
      </c>
      <c r="C2167" s="37"/>
      <c r="D2167" s="37"/>
    </row>
    <row r="2168" spans="1:4" x14ac:dyDescent="0.25">
      <c r="A2168" s="30">
        <v>21020200</v>
      </c>
      <c r="B2168" s="31" t="s">
        <v>56</v>
      </c>
      <c r="C2168" s="36"/>
      <c r="D2168" s="36"/>
    </row>
    <row r="2169" spans="1:4" x14ac:dyDescent="0.25">
      <c r="A2169" s="33">
        <v>21020201</v>
      </c>
      <c r="B2169" s="34" t="s">
        <v>122</v>
      </c>
      <c r="C2169" s="36"/>
      <c r="D2169" s="36"/>
    </row>
    <row r="2170" spans="1:4" x14ac:dyDescent="0.25">
      <c r="A2170" s="33">
        <v>21020202</v>
      </c>
      <c r="B2170" s="34" t="s">
        <v>123</v>
      </c>
      <c r="C2170" s="36"/>
      <c r="D2170" s="36"/>
    </row>
    <row r="2171" spans="1:4" x14ac:dyDescent="0.25">
      <c r="A2171" s="33">
        <v>21020203</v>
      </c>
      <c r="B2171" s="34" t="s">
        <v>57</v>
      </c>
      <c r="C2171" s="36"/>
      <c r="D2171" s="36"/>
    </row>
    <row r="2172" spans="1:4" x14ac:dyDescent="0.25">
      <c r="A2172" s="33">
        <v>21020204</v>
      </c>
      <c r="B2172" s="34" t="s">
        <v>58</v>
      </c>
      <c r="C2172" s="36"/>
      <c r="D2172" s="36"/>
    </row>
    <row r="2173" spans="1:4" x14ac:dyDescent="0.25">
      <c r="A2173" s="33">
        <v>21020205</v>
      </c>
      <c r="B2173" s="34" t="s">
        <v>59</v>
      </c>
      <c r="C2173" s="36"/>
      <c r="D2173" s="36"/>
    </row>
    <row r="2174" spans="1:4" x14ac:dyDescent="0.25">
      <c r="A2174" s="30">
        <v>21030100</v>
      </c>
      <c r="B2174" s="31" t="s">
        <v>60</v>
      </c>
      <c r="C2174" s="35"/>
      <c r="D2174" s="35"/>
    </row>
    <row r="2175" spans="1:4" x14ac:dyDescent="0.25">
      <c r="A2175" s="33">
        <v>21030101</v>
      </c>
      <c r="B2175" s="34" t="s">
        <v>61</v>
      </c>
      <c r="C2175" s="35"/>
      <c r="D2175" s="35"/>
    </row>
    <row r="2176" spans="1:4" x14ac:dyDescent="0.25">
      <c r="A2176" s="33">
        <v>21030102</v>
      </c>
      <c r="B2176" s="34" t="s">
        <v>62</v>
      </c>
      <c r="C2176" s="35"/>
      <c r="D2176" s="35"/>
    </row>
    <row r="2177" spans="1:4" x14ac:dyDescent="0.25">
      <c r="A2177" s="33">
        <v>21030103</v>
      </c>
      <c r="B2177" s="34" t="s">
        <v>63</v>
      </c>
      <c r="C2177" s="35"/>
      <c r="D2177" s="35"/>
    </row>
    <row r="2178" spans="1:4" x14ac:dyDescent="0.25">
      <c r="A2178" s="33"/>
      <c r="B2178" s="34"/>
      <c r="C2178" s="37"/>
      <c r="D2178" s="37"/>
    </row>
    <row r="2179" spans="1:4" x14ac:dyDescent="0.25">
      <c r="A2179" s="593"/>
      <c r="B2179" s="594" t="s">
        <v>2</v>
      </c>
      <c r="C2179" s="109">
        <f>SUM(C2160:C2178)</f>
        <v>397484425</v>
      </c>
      <c r="D2179" s="109">
        <f>SUM(D2161:D2178)</f>
        <v>307834248.29011202</v>
      </c>
    </row>
    <row r="2180" spans="1:4" x14ac:dyDescent="0.25">
      <c r="A2180" s="3458"/>
      <c r="B2180" s="3458"/>
      <c r="C2180" s="3458"/>
      <c r="D2180" s="3458"/>
    </row>
    <row r="2181" spans="1:4" x14ac:dyDescent="0.25">
      <c r="A2181" s="3456" t="s">
        <v>1425</v>
      </c>
      <c r="B2181" s="3456"/>
      <c r="C2181" s="3456"/>
      <c r="D2181" s="3456"/>
    </row>
    <row r="2182" spans="1:4" ht="16.5" thickBot="1" x14ac:dyDescent="0.3">
      <c r="A2182" s="3457" t="s">
        <v>3134</v>
      </c>
      <c r="B2182" s="3457"/>
      <c r="C2182" s="3457"/>
      <c r="D2182" s="3457"/>
    </row>
    <row r="2183" spans="1:4" x14ac:dyDescent="0.25">
      <c r="A2183" s="577" t="s">
        <v>0</v>
      </c>
      <c r="B2183" s="578"/>
      <c r="C2183" s="577" t="s">
        <v>7</v>
      </c>
      <c r="D2183" s="579" t="s">
        <v>2447</v>
      </c>
    </row>
    <row r="2184" spans="1:4" s="38" customFormat="1" x14ac:dyDescent="0.2">
      <c r="A2184" s="580" t="s">
        <v>1</v>
      </c>
      <c r="B2184" s="581" t="s">
        <v>5</v>
      </c>
      <c r="C2184" s="580" t="s">
        <v>6</v>
      </c>
      <c r="D2184" s="580" t="s">
        <v>2448</v>
      </c>
    </row>
    <row r="2185" spans="1:4" s="38" customFormat="1" x14ac:dyDescent="0.2">
      <c r="A2185" s="582"/>
      <c r="B2185" s="583"/>
      <c r="C2185" s="580">
        <v>2020</v>
      </c>
      <c r="D2185" s="580">
        <v>2021</v>
      </c>
    </row>
    <row r="2186" spans="1:4" s="38" customFormat="1" ht="16.5" thickBot="1" x14ac:dyDescent="0.25">
      <c r="A2186" s="584"/>
      <c r="B2186" s="585"/>
      <c r="C2186" s="586" t="s">
        <v>4</v>
      </c>
      <c r="D2186" s="586" t="s">
        <v>4</v>
      </c>
    </row>
    <row r="2187" spans="1:4" x14ac:dyDescent="0.25">
      <c r="A2187" s="28"/>
      <c r="B2187" s="7" t="s">
        <v>1093</v>
      </c>
      <c r="C2187" s="29"/>
      <c r="D2187" s="29"/>
    </row>
    <row r="2188" spans="1:4" x14ac:dyDescent="0.25">
      <c r="A2188" s="30">
        <v>21010100</v>
      </c>
      <c r="B2188" s="31" t="s">
        <v>50</v>
      </c>
      <c r="C2188" s="108">
        <f>'APPENDIX PERS COSTS DETAILS'!C2456</f>
        <v>0</v>
      </c>
      <c r="D2188" s="108">
        <f>'APPENDIX PERS COSTS DETAILS'!F2456</f>
        <v>73525540.739999995</v>
      </c>
    </row>
    <row r="2189" spans="1:4" x14ac:dyDescent="0.25">
      <c r="A2189" s="33">
        <v>21010101</v>
      </c>
      <c r="B2189" s="34" t="s">
        <v>51</v>
      </c>
      <c r="C2189" s="36"/>
      <c r="D2189" s="36"/>
    </row>
    <row r="2190" spans="1:4" x14ac:dyDescent="0.25">
      <c r="A2190" s="33">
        <v>21010102</v>
      </c>
      <c r="B2190" s="34" t="s">
        <v>52</v>
      </c>
      <c r="C2190" s="36"/>
      <c r="D2190" s="36"/>
    </row>
    <row r="2191" spans="1:4" x14ac:dyDescent="0.25">
      <c r="A2191" s="33">
        <v>21010103</v>
      </c>
      <c r="B2191" s="34" t="s">
        <v>53</v>
      </c>
      <c r="C2191" s="108"/>
      <c r="D2191" s="108"/>
    </row>
    <row r="2192" spans="1:4" x14ac:dyDescent="0.25">
      <c r="A2192" s="30">
        <v>210201</v>
      </c>
      <c r="B2192" s="31" t="s">
        <v>54</v>
      </c>
      <c r="C2192" s="36"/>
      <c r="D2192" s="36"/>
    </row>
    <row r="2193" spans="1:4" x14ac:dyDescent="0.25">
      <c r="A2193" s="33">
        <v>21020101</v>
      </c>
      <c r="B2193" s="34" t="s">
        <v>55</v>
      </c>
      <c r="C2193" s="37"/>
      <c r="D2193" s="37"/>
    </row>
    <row r="2194" spans="1:4" x14ac:dyDescent="0.25">
      <c r="A2194" s="30">
        <v>21020200</v>
      </c>
      <c r="B2194" s="31" t="s">
        <v>56</v>
      </c>
      <c r="C2194" s="36"/>
      <c r="D2194" s="36"/>
    </row>
    <row r="2195" spans="1:4" x14ac:dyDescent="0.25">
      <c r="A2195" s="33">
        <v>21020201</v>
      </c>
      <c r="B2195" s="34" t="s">
        <v>122</v>
      </c>
      <c r="C2195" s="36"/>
      <c r="D2195" s="36"/>
    </row>
    <row r="2196" spans="1:4" x14ac:dyDescent="0.25">
      <c r="A2196" s="33">
        <v>21020202</v>
      </c>
      <c r="B2196" s="34" t="s">
        <v>123</v>
      </c>
      <c r="C2196" s="36"/>
      <c r="D2196" s="36"/>
    </row>
    <row r="2197" spans="1:4" x14ac:dyDescent="0.25">
      <c r="A2197" s="33">
        <v>21020203</v>
      </c>
      <c r="B2197" s="34" t="s">
        <v>57</v>
      </c>
      <c r="C2197" s="36"/>
      <c r="D2197" s="36"/>
    </row>
    <row r="2198" spans="1:4" x14ac:dyDescent="0.25">
      <c r="A2198" s="33">
        <v>21020204</v>
      </c>
      <c r="B2198" s="34" t="s">
        <v>58</v>
      </c>
      <c r="C2198" s="36"/>
      <c r="D2198" s="36"/>
    </row>
    <row r="2199" spans="1:4" x14ac:dyDescent="0.25">
      <c r="A2199" s="33">
        <v>21020205</v>
      </c>
      <c r="B2199" s="34" t="s">
        <v>59</v>
      </c>
      <c r="C2199" s="36"/>
      <c r="D2199" s="36"/>
    </row>
    <row r="2200" spans="1:4" x14ac:dyDescent="0.25">
      <c r="A2200" s="30">
        <v>21030100</v>
      </c>
      <c r="B2200" s="31" t="s">
        <v>60</v>
      </c>
      <c r="C2200" s="35"/>
      <c r="D2200" s="35"/>
    </row>
    <row r="2201" spans="1:4" x14ac:dyDescent="0.25">
      <c r="A2201" s="33">
        <v>21030101</v>
      </c>
      <c r="B2201" s="34" t="s">
        <v>61</v>
      </c>
      <c r="C2201" s="35"/>
      <c r="D2201" s="35"/>
    </row>
    <row r="2202" spans="1:4" x14ac:dyDescent="0.25">
      <c r="A2202" s="33">
        <v>21030102</v>
      </c>
      <c r="B2202" s="34" t="s">
        <v>62</v>
      </c>
      <c r="C2202" s="35"/>
      <c r="D2202" s="35"/>
    </row>
    <row r="2203" spans="1:4" x14ac:dyDescent="0.25">
      <c r="A2203" s="33">
        <v>21030103</v>
      </c>
      <c r="B2203" s="34" t="s">
        <v>63</v>
      </c>
      <c r="C2203" s="35"/>
      <c r="D2203" s="35"/>
    </row>
    <row r="2204" spans="1:4" x14ac:dyDescent="0.25">
      <c r="A2204" s="33"/>
      <c r="B2204" s="34"/>
      <c r="C2204" s="37"/>
      <c r="D2204" s="37"/>
    </row>
    <row r="2205" spans="1:4" x14ac:dyDescent="0.25">
      <c r="A2205" s="593"/>
      <c r="B2205" s="594" t="s">
        <v>2</v>
      </c>
      <c r="C2205" s="109">
        <f>SUM(C2186:C2204)</f>
        <v>0</v>
      </c>
      <c r="D2205" s="109">
        <f>SUM(D2187:D2204)</f>
        <v>73525540.739999995</v>
      </c>
    </row>
    <row r="2206" spans="1:4" x14ac:dyDescent="0.25">
      <c r="A2206" s="3458"/>
      <c r="B2206" s="3458"/>
      <c r="C2206" s="3458"/>
      <c r="D2206" s="3458"/>
    </row>
    <row r="2207" spans="1:4" x14ac:dyDescent="0.25">
      <c r="A2207" s="3456" t="s">
        <v>2879</v>
      </c>
      <c r="B2207" s="3456"/>
      <c r="C2207" s="3456"/>
      <c r="D2207" s="3456"/>
    </row>
    <row r="2208" spans="1:4" ht="16.5" thickBot="1" x14ac:dyDescent="0.3">
      <c r="A2208" s="3457" t="s">
        <v>3133</v>
      </c>
      <c r="B2208" s="3457"/>
      <c r="C2208" s="3457"/>
      <c r="D2208" s="3457"/>
    </row>
    <row r="2209" spans="1:4" x14ac:dyDescent="0.25">
      <c r="A2209" s="577" t="s">
        <v>0</v>
      </c>
      <c r="B2209" s="578"/>
      <c r="C2209" s="577" t="s">
        <v>7</v>
      </c>
      <c r="D2209" s="579" t="s">
        <v>2447</v>
      </c>
    </row>
    <row r="2210" spans="1:4" s="38" customFormat="1" x14ac:dyDescent="0.2">
      <c r="A2210" s="580" t="s">
        <v>1</v>
      </c>
      <c r="B2210" s="581" t="s">
        <v>5</v>
      </c>
      <c r="C2210" s="580" t="s">
        <v>6</v>
      </c>
      <c r="D2210" s="580" t="s">
        <v>2448</v>
      </c>
    </row>
    <row r="2211" spans="1:4" s="38" customFormat="1" x14ac:dyDescent="0.2">
      <c r="A2211" s="582"/>
      <c r="B2211" s="583"/>
      <c r="C2211" s="580">
        <v>2020</v>
      </c>
      <c r="D2211" s="580">
        <v>2021</v>
      </c>
    </row>
    <row r="2212" spans="1:4" s="38" customFormat="1" ht="16.5" thickBot="1" x14ac:dyDescent="0.25">
      <c r="A2212" s="584"/>
      <c r="B2212" s="585"/>
      <c r="C2212" s="586" t="s">
        <v>4</v>
      </c>
      <c r="D2212" s="586" t="s">
        <v>4</v>
      </c>
    </row>
    <row r="2213" spans="1:4" x14ac:dyDescent="0.25">
      <c r="A2213" s="28"/>
      <c r="B2213" s="7" t="s">
        <v>1093</v>
      </c>
      <c r="C2213" s="29"/>
      <c r="D2213" s="29"/>
    </row>
    <row r="2214" spans="1:4" x14ac:dyDescent="0.25">
      <c r="A2214" s="30">
        <v>21010100</v>
      </c>
      <c r="B2214" s="31" t="s">
        <v>50</v>
      </c>
      <c r="C2214" s="108">
        <f>'APPENDIX PERS COSTS DETAILS'!C2486</f>
        <v>6408079389.7600002</v>
      </c>
      <c r="D2214" s="108">
        <f>'APPENDIX PERS COSTS DETAILS'!F2486</f>
        <v>6408079389.9700003</v>
      </c>
    </row>
    <row r="2215" spans="1:4" x14ac:dyDescent="0.25">
      <c r="A2215" s="33">
        <v>21010101</v>
      </c>
      <c r="B2215" s="34" t="s">
        <v>51</v>
      </c>
      <c r="C2215" s="36"/>
      <c r="D2215" s="36"/>
    </row>
    <row r="2216" spans="1:4" x14ac:dyDescent="0.25">
      <c r="A2216" s="33">
        <v>21010102</v>
      </c>
      <c r="B2216" s="34" t="s">
        <v>52</v>
      </c>
      <c r="C2216" s="36"/>
      <c r="D2216" s="36"/>
    </row>
    <row r="2217" spans="1:4" x14ac:dyDescent="0.25">
      <c r="A2217" s="33">
        <v>21010103</v>
      </c>
      <c r="B2217" s="34" t="s">
        <v>53</v>
      </c>
      <c r="C2217" s="108"/>
      <c r="D2217" s="108"/>
    </row>
    <row r="2218" spans="1:4" x14ac:dyDescent="0.25">
      <c r="A2218" s="30">
        <v>210201</v>
      </c>
      <c r="B2218" s="31" t="s">
        <v>54</v>
      </c>
      <c r="C2218" s="36"/>
      <c r="D2218" s="36"/>
    </row>
    <row r="2219" spans="1:4" x14ac:dyDescent="0.25">
      <c r="A2219" s="33">
        <v>21020101</v>
      </c>
      <c r="B2219" s="34" t="s">
        <v>55</v>
      </c>
      <c r="C2219" s="37"/>
      <c r="D2219" s="37"/>
    </row>
    <row r="2220" spans="1:4" x14ac:dyDescent="0.25">
      <c r="A2220" s="30">
        <v>21020200</v>
      </c>
      <c r="B2220" s="31" t="s">
        <v>56</v>
      </c>
      <c r="C2220" s="36"/>
      <c r="D2220" s="36"/>
    </row>
    <row r="2221" spans="1:4" x14ac:dyDescent="0.25">
      <c r="A2221" s="33">
        <v>21020201</v>
      </c>
      <c r="B2221" s="34" t="s">
        <v>122</v>
      </c>
      <c r="C2221" s="36"/>
      <c r="D2221" s="36"/>
    </row>
    <row r="2222" spans="1:4" x14ac:dyDescent="0.25">
      <c r="A2222" s="33">
        <v>21020202</v>
      </c>
      <c r="B2222" s="34" t="s">
        <v>123</v>
      </c>
      <c r="C2222" s="36"/>
      <c r="D2222" s="36"/>
    </row>
    <row r="2223" spans="1:4" x14ac:dyDescent="0.25">
      <c r="A2223" s="33">
        <v>21020203</v>
      </c>
      <c r="B2223" s="34" t="s">
        <v>57</v>
      </c>
      <c r="C2223" s="36"/>
      <c r="D2223" s="36"/>
    </row>
    <row r="2224" spans="1:4" x14ac:dyDescent="0.25">
      <c r="A2224" s="33">
        <v>21020204</v>
      </c>
      <c r="B2224" s="34" t="s">
        <v>58</v>
      </c>
      <c r="C2224" s="36"/>
      <c r="D2224" s="36"/>
    </row>
    <row r="2225" spans="1:4" x14ac:dyDescent="0.25">
      <c r="A2225" s="33">
        <v>21020205</v>
      </c>
      <c r="B2225" s="34" t="s">
        <v>59</v>
      </c>
      <c r="C2225" s="36"/>
      <c r="D2225" s="36"/>
    </row>
    <row r="2226" spans="1:4" x14ac:dyDescent="0.25">
      <c r="A2226" s="30">
        <v>21030100</v>
      </c>
      <c r="B2226" s="31" t="s">
        <v>60</v>
      </c>
      <c r="C2226" s="35"/>
      <c r="D2226" s="35"/>
    </row>
    <row r="2227" spans="1:4" x14ac:dyDescent="0.25">
      <c r="A2227" s="33">
        <v>21030101</v>
      </c>
      <c r="B2227" s="34" t="s">
        <v>61</v>
      </c>
      <c r="C2227" s="35"/>
      <c r="D2227" s="35"/>
    </row>
    <row r="2228" spans="1:4" x14ac:dyDescent="0.25">
      <c r="A2228" s="33">
        <v>21030102</v>
      </c>
      <c r="B2228" s="34" t="s">
        <v>62</v>
      </c>
      <c r="C2228" s="35"/>
      <c r="D2228" s="35"/>
    </row>
    <row r="2229" spans="1:4" x14ac:dyDescent="0.25">
      <c r="A2229" s="33">
        <v>21030103</v>
      </c>
      <c r="B2229" s="34" t="s">
        <v>63</v>
      </c>
      <c r="C2229" s="35"/>
      <c r="D2229" s="35"/>
    </row>
    <row r="2230" spans="1:4" x14ac:dyDescent="0.25">
      <c r="A2230" s="33"/>
      <c r="B2230" s="34"/>
      <c r="C2230" s="37"/>
      <c r="D2230" s="37"/>
    </row>
    <row r="2231" spans="1:4" x14ac:dyDescent="0.25">
      <c r="A2231" s="593"/>
      <c r="B2231" s="594" t="s">
        <v>2</v>
      </c>
      <c r="C2231" s="109">
        <f>SUM(C2212:C2230)</f>
        <v>6408079389.7600002</v>
      </c>
      <c r="D2231" s="109">
        <f>SUM(D2213:D2230)</f>
        <v>6408079389.9700003</v>
      </c>
    </row>
    <row r="2232" spans="1:4" x14ac:dyDescent="0.25">
      <c r="A2232" s="3458"/>
      <c r="B2232" s="3458"/>
      <c r="C2232" s="3458"/>
      <c r="D2232" s="3458"/>
    </row>
    <row r="2233" spans="1:4" x14ac:dyDescent="0.25">
      <c r="A2233" s="3456" t="s">
        <v>3131</v>
      </c>
      <c r="B2233" s="3456"/>
      <c r="C2233" s="3456"/>
      <c r="D2233" s="3456"/>
    </row>
    <row r="2234" spans="1:4" ht="16.5" thickBot="1" x14ac:dyDescent="0.3">
      <c r="A2234" s="3457" t="s">
        <v>3132</v>
      </c>
      <c r="B2234" s="3457"/>
      <c r="C2234" s="3457"/>
      <c r="D2234" s="3457"/>
    </row>
    <row r="2235" spans="1:4" x14ac:dyDescent="0.25">
      <c r="A2235" s="577" t="s">
        <v>0</v>
      </c>
      <c r="B2235" s="578"/>
      <c r="C2235" s="577" t="s">
        <v>7</v>
      </c>
      <c r="D2235" s="579" t="s">
        <v>2447</v>
      </c>
    </row>
    <row r="2236" spans="1:4" s="38" customFormat="1" x14ac:dyDescent="0.2">
      <c r="A2236" s="580" t="s">
        <v>1</v>
      </c>
      <c r="B2236" s="581" t="s">
        <v>5</v>
      </c>
      <c r="C2236" s="580" t="s">
        <v>6</v>
      </c>
      <c r="D2236" s="580" t="s">
        <v>2448</v>
      </c>
    </row>
    <row r="2237" spans="1:4" s="38" customFormat="1" x14ac:dyDescent="0.2">
      <c r="A2237" s="582"/>
      <c r="B2237" s="583"/>
      <c r="C2237" s="580">
        <v>2020</v>
      </c>
      <c r="D2237" s="580">
        <v>2021</v>
      </c>
    </row>
    <row r="2238" spans="1:4" s="38" customFormat="1" ht="16.5" thickBot="1" x14ac:dyDescent="0.25">
      <c r="A2238" s="584"/>
      <c r="B2238" s="585"/>
      <c r="C2238" s="586" t="s">
        <v>4</v>
      </c>
      <c r="D2238" s="586" t="s">
        <v>4</v>
      </c>
    </row>
    <row r="2239" spans="1:4" x14ac:dyDescent="0.25">
      <c r="A2239" s="28"/>
      <c r="B2239" s="7" t="s">
        <v>1093</v>
      </c>
      <c r="C2239" s="29"/>
      <c r="D2239" s="29"/>
    </row>
    <row r="2240" spans="1:4" x14ac:dyDescent="0.25">
      <c r="A2240" s="30">
        <v>21010100</v>
      </c>
      <c r="B2240" s="31" t="s">
        <v>50</v>
      </c>
      <c r="C2240" s="108">
        <f>'APPENDIX PERS COSTS DETAILS'!D2514</f>
        <v>46532843</v>
      </c>
      <c r="D2240" s="108">
        <f>'APPENDIX PERS COSTS DETAILS'!F2514</f>
        <v>65042661</v>
      </c>
    </row>
    <row r="2241" spans="1:4" x14ac:dyDescent="0.25">
      <c r="A2241" s="33">
        <v>21010101</v>
      </c>
      <c r="B2241" s="34" t="s">
        <v>51</v>
      </c>
      <c r="C2241" s="36"/>
      <c r="D2241" s="36"/>
    </row>
    <row r="2242" spans="1:4" x14ac:dyDescent="0.25">
      <c r="A2242" s="33">
        <v>21010102</v>
      </c>
      <c r="B2242" s="34" t="s">
        <v>52</v>
      </c>
      <c r="C2242" s="36"/>
      <c r="D2242" s="36"/>
    </row>
    <row r="2243" spans="1:4" x14ac:dyDescent="0.25">
      <c r="A2243" s="33">
        <v>21010103</v>
      </c>
      <c r="B2243" s="34" t="s">
        <v>53</v>
      </c>
      <c r="C2243" s="108"/>
      <c r="D2243" s="108"/>
    </row>
    <row r="2244" spans="1:4" x14ac:dyDescent="0.25">
      <c r="A2244" s="30">
        <v>210201</v>
      </c>
      <c r="B2244" s="31" t="s">
        <v>54</v>
      </c>
      <c r="C2244" s="36"/>
      <c r="D2244" s="36"/>
    </row>
    <row r="2245" spans="1:4" x14ac:dyDescent="0.25">
      <c r="A2245" s="33">
        <v>21020101</v>
      </c>
      <c r="B2245" s="34" t="s">
        <v>55</v>
      </c>
      <c r="C2245" s="37"/>
      <c r="D2245" s="37"/>
    </row>
    <row r="2246" spans="1:4" x14ac:dyDescent="0.25">
      <c r="A2246" s="30">
        <v>21020200</v>
      </c>
      <c r="B2246" s="31" t="s">
        <v>56</v>
      </c>
      <c r="C2246" s="36"/>
      <c r="D2246" s="36"/>
    </row>
    <row r="2247" spans="1:4" x14ac:dyDescent="0.25">
      <c r="A2247" s="33">
        <v>21020201</v>
      </c>
      <c r="B2247" s="34" t="s">
        <v>122</v>
      </c>
      <c r="C2247" s="36"/>
      <c r="D2247" s="36"/>
    </row>
    <row r="2248" spans="1:4" x14ac:dyDescent="0.25">
      <c r="A2248" s="33">
        <v>21020202</v>
      </c>
      <c r="B2248" s="34" t="s">
        <v>123</v>
      </c>
      <c r="C2248" s="36"/>
      <c r="D2248" s="36"/>
    </row>
    <row r="2249" spans="1:4" x14ac:dyDescent="0.25">
      <c r="A2249" s="33">
        <v>21020203</v>
      </c>
      <c r="B2249" s="34" t="s">
        <v>57</v>
      </c>
      <c r="C2249" s="36"/>
      <c r="D2249" s="36"/>
    </row>
    <row r="2250" spans="1:4" x14ac:dyDescent="0.25">
      <c r="A2250" s="33">
        <v>21020204</v>
      </c>
      <c r="B2250" s="34" t="s">
        <v>58</v>
      </c>
      <c r="C2250" s="36"/>
      <c r="D2250" s="36"/>
    </row>
    <row r="2251" spans="1:4" x14ac:dyDescent="0.25">
      <c r="A2251" s="33">
        <v>21020205</v>
      </c>
      <c r="B2251" s="34" t="s">
        <v>59</v>
      </c>
      <c r="C2251" s="36"/>
      <c r="D2251" s="36"/>
    </row>
    <row r="2252" spans="1:4" x14ac:dyDescent="0.25">
      <c r="A2252" s="30">
        <v>21030100</v>
      </c>
      <c r="B2252" s="31" t="s">
        <v>60</v>
      </c>
      <c r="C2252" s="35"/>
      <c r="D2252" s="35"/>
    </row>
    <row r="2253" spans="1:4" x14ac:dyDescent="0.25">
      <c r="A2253" s="33">
        <v>21030101</v>
      </c>
      <c r="B2253" s="34" t="s">
        <v>61</v>
      </c>
      <c r="C2253" s="35"/>
      <c r="D2253" s="35"/>
    </row>
    <row r="2254" spans="1:4" x14ac:dyDescent="0.25">
      <c r="A2254" s="33">
        <v>21030102</v>
      </c>
      <c r="B2254" s="34" t="s">
        <v>62</v>
      </c>
      <c r="C2254" s="35"/>
      <c r="D2254" s="35"/>
    </row>
    <row r="2255" spans="1:4" x14ac:dyDescent="0.25">
      <c r="A2255" s="33">
        <v>21030103</v>
      </c>
      <c r="B2255" s="34" t="s">
        <v>63</v>
      </c>
      <c r="C2255" s="35"/>
      <c r="D2255" s="35"/>
    </row>
    <row r="2256" spans="1:4" x14ac:dyDescent="0.25">
      <c r="A2256" s="33"/>
      <c r="B2256" s="34"/>
      <c r="C2256" s="37"/>
      <c r="D2256" s="37"/>
    </row>
    <row r="2257" spans="1:4" x14ac:dyDescent="0.25">
      <c r="A2257" s="593"/>
      <c r="B2257" s="594" t="s">
        <v>2</v>
      </c>
      <c r="C2257" s="109">
        <f>SUM(C2238:C2256)</f>
        <v>46532843</v>
      </c>
      <c r="D2257" s="109">
        <f>SUM(D2239:D2256)</f>
        <v>65042661</v>
      </c>
    </row>
    <row r="2258" spans="1:4" x14ac:dyDescent="0.25">
      <c r="A2258" s="3458"/>
      <c r="B2258" s="3458"/>
      <c r="C2258" s="3458"/>
      <c r="D2258" s="3458"/>
    </row>
    <row r="2259" spans="1:4" s="612" customFormat="1" x14ac:dyDescent="0.25">
      <c r="A2259" s="3460" t="s">
        <v>1095</v>
      </c>
      <c r="B2259" s="3460"/>
      <c r="C2259" s="3460"/>
      <c r="D2259" s="3460"/>
    </row>
    <row r="2260" spans="1:4" ht="16.5" thickBot="1" x14ac:dyDescent="0.3">
      <c r="A2260" s="3456" t="s">
        <v>2825</v>
      </c>
      <c r="B2260" s="3456"/>
      <c r="C2260" s="3456"/>
      <c r="D2260" s="3456"/>
    </row>
    <row r="2261" spans="1:4" x14ac:dyDescent="0.25">
      <c r="A2261" s="577" t="s">
        <v>0</v>
      </c>
      <c r="B2261" s="578"/>
      <c r="C2261" s="577" t="s">
        <v>7</v>
      </c>
      <c r="D2261" s="579" t="s">
        <v>2447</v>
      </c>
    </row>
    <row r="2262" spans="1:4" s="38" customFormat="1" x14ac:dyDescent="0.2">
      <c r="A2262" s="580" t="s">
        <v>1</v>
      </c>
      <c r="B2262" s="581" t="s">
        <v>5</v>
      </c>
      <c r="C2262" s="580" t="s">
        <v>6</v>
      </c>
      <c r="D2262" s="580" t="s">
        <v>2448</v>
      </c>
    </row>
    <row r="2263" spans="1:4" s="38" customFormat="1" x14ac:dyDescent="0.2">
      <c r="A2263" s="582"/>
      <c r="B2263" s="583"/>
      <c r="C2263" s="580">
        <v>2020</v>
      </c>
      <c r="D2263" s="580">
        <v>2021</v>
      </c>
    </row>
    <row r="2264" spans="1:4" s="38" customFormat="1" ht="16.5" thickBot="1" x14ac:dyDescent="0.25">
      <c r="A2264" s="584"/>
      <c r="B2264" s="585"/>
      <c r="C2264" s="586" t="s">
        <v>4</v>
      </c>
      <c r="D2264" s="586" t="s">
        <v>4</v>
      </c>
    </row>
    <row r="2265" spans="1:4" x14ac:dyDescent="0.25">
      <c r="A2265" s="28"/>
      <c r="B2265" s="7" t="s">
        <v>1093</v>
      </c>
      <c r="C2265" s="29"/>
      <c r="D2265" s="29"/>
    </row>
    <row r="2266" spans="1:4" x14ac:dyDescent="0.25">
      <c r="A2266" s="30">
        <v>21010100</v>
      </c>
      <c r="B2266" s="31" t="s">
        <v>50</v>
      </c>
      <c r="C2266" s="108">
        <f>'APPENDIX PERS COSTS DETAILS'!D2537</f>
        <v>0</v>
      </c>
      <c r="D2266" s="108">
        <f>'APPENDIX PERS COSTS DETAILS'!F2537</f>
        <v>15274400</v>
      </c>
    </row>
    <row r="2267" spans="1:4" x14ac:dyDescent="0.25">
      <c r="A2267" s="33">
        <v>21010101</v>
      </c>
      <c r="B2267" s="34" t="s">
        <v>51</v>
      </c>
      <c r="C2267" s="36"/>
      <c r="D2267" s="36"/>
    </row>
    <row r="2268" spans="1:4" x14ac:dyDescent="0.25">
      <c r="A2268" s="33">
        <v>21010102</v>
      </c>
      <c r="B2268" s="34" t="s">
        <v>52</v>
      </c>
      <c r="C2268" s="36"/>
      <c r="D2268" s="36"/>
    </row>
    <row r="2269" spans="1:4" x14ac:dyDescent="0.25">
      <c r="A2269" s="33">
        <v>21010103</v>
      </c>
      <c r="B2269" s="34" t="s">
        <v>53</v>
      </c>
      <c r="C2269" s="108">
        <f>'APPENDIX PERS COSTS DETAILS'!D2540</f>
        <v>5729815</v>
      </c>
      <c r="D2269" s="108">
        <f>'APPENDIX PERS COSTS DETAILS'!F2540</f>
        <v>5729815</v>
      </c>
    </row>
    <row r="2270" spans="1:4" x14ac:dyDescent="0.25">
      <c r="A2270" s="30">
        <v>210201</v>
      </c>
      <c r="B2270" s="31" t="s">
        <v>54</v>
      </c>
      <c r="C2270" s="36"/>
      <c r="D2270" s="36"/>
    </row>
    <row r="2271" spans="1:4" x14ac:dyDescent="0.25">
      <c r="A2271" s="33">
        <v>21020101</v>
      </c>
      <c r="B2271" s="34" t="s">
        <v>55</v>
      </c>
      <c r="C2271" s="37"/>
      <c r="D2271" s="37"/>
    </row>
    <row r="2272" spans="1:4" x14ac:dyDescent="0.25">
      <c r="A2272" s="30">
        <v>21020200</v>
      </c>
      <c r="B2272" s="31" t="s">
        <v>56</v>
      </c>
      <c r="C2272" s="36"/>
      <c r="D2272" s="36"/>
    </row>
    <row r="2273" spans="1:4" x14ac:dyDescent="0.25">
      <c r="A2273" s="33">
        <v>21020201</v>
      </c>
      <c r="B2273" s="34" t="s">
        <v>122</v>
      </c>
      <c r="C2273" s="36"/>
      <c r="D2273" s="36"/>
    </row>
    <row r="2274" spans="1:4" x14ac:dyDescent="0.25">
      <c r="A2274" s="33">
        <v>21020202</v>
      </c>
      <c r="B2274" s="34" t="s">
        <v>123</v>
      </c>
      <c r="C2274" s="36"/>
      <c r="D2274" s="36"/>
    </row>
    <row r="2275" spans="1:4" x14ac:dyDescent="0.25">
      <c r="A2275" s="33">
        <v>21020203</v>
      </c>
      <c r="B2275" s="34" t="s">
        <v>57</v>
      </c>
      <c r="C2275" s="36"/>
      <c r="D2275" s="36"/>
    </row>
    <row r="2276" spans="1:4" x14ac:dyDescent="0.25">
      <c r="A2276" s="33">
        <v>21020204</v>
      </c>
      <c r="B2276" s="34" t="s">
        <v>58</v>
      </c>
      <c r="C2276" s="36"/>
      <c r="D2276" s="36"/>
    </row>
    <row r="2277" spans="1:4" x14ac:dyDescent="0.25">
      <c r="A2277" s="33">
        <v>21020205</v>
      </c>
      <c r="B2277" s="34" t="s">
        <v>59</v>
      </c>
      <c r="C2277" s="36"/>
      <c r="D2277" s="36"/>
    </row>
    <row r="2278" spans="1:4" x14ac:dyDescent="0.25">
      <c r="A2278" s="30">
        <v>21030100</v>
      </c>
      <c r="B2278" s="31" t="s">
        <v>60</v>
      </c>
      <c r="C2278" s="35"/>
      <c r="D2278" s="35"/>
    </row>
    <row r="2279" spans="1:4" x14ac:dyDescent="0.25">
      <c r="A2279" s="33">
        <v>21030101</v>
      </c>
      <c r="B2279" s="34" t="s">
        <v>61</v>
      </c>
      <c r="C2279" s="35"/>
      <c r="D2279" s="35"/>
    </row>
    <row r="2280" spans="1:4" x14ac:dyDescent="0.25">
      <c r="A2280" s="33">
        <v>21030102</v>
      </c>
      <c r="B2280" s="34" t="s">
        <v>62</v>
      </c>
      <c r="C2280" s="35"/>
      <c r="D2280" s="35"/>
    </row>
    <row r="2281" spans="1:4" s="26" customFormat="1" x14ac:dyDescent="0.25">
      <c r="A2281" s="33">
        <v>21030103</v>
      </c>
      <c r="B2281" s="34" t="s">
        <v>63</v>
      </c>
      <c r="C2281" s="35"/>
      <c r="D2281" s="35"/>
    </row>
    <row r="2282" spans="1:4" x14ac:dyDescent="0.25">
      <c r="A2282" s="33"/>
      <c r="B2282" s="34"/>
      <c r="C2282" s="35"/>
      <c r="D2282" s="35"/>
    </row>
    <row r="2283" spans="1:4" x14ac:dyDescent="0.25">
      <c r="A2283" s="593"/>
      <c r="B2283" s="594" t="s">
        <v>2</v>
      </c>
      <c r="C2283" s="109">
        <f>SUM(C2266:C2281)</f>
        <v>5729815</v>
      </c>
      <c r="D2283" s="109">
        <f>SUM(D2266:D2281)</f>
        <v>21004215</v>
      </c>
    </row>
    <row r="2284" spans="1:4" s="26" customFormat="1" x14ac:dyDescent="0.25">
      <c r="A2284" s="27"/>
      <c r="B2284" s="27"/>
      <c r="C2284" s="27"/>
      <c r="D2284" s="27"/>
    </row>
    <row r="2285" spans="1:4" x14ac:dyDescent="0.25">
      <c r="A2285" s="3456" t="s">
        <v>176</v>
      </c>
      <c r="B2285" s="3456"/>
      <c r="C2285" s="3456"/>
      <c r="D2285" s="3456"/>
    </row>
    <row r="2286" spans="1:4" ht="16.5" thickBot="1" x14ac:dyDescent="0.3">
      <c r="A2286" s="3457" t="s">
        <v>2826</v>
      </c>
      <c r="B2286" s="3457"/>
      <c r="C2286" s="3457"/>
      <c r="D2286" s="3457"/>
    </row>
    <row r="2287" spans="1:4" x14ac:dyDescent="0.25">
      <c r="A2287" s="577" t="s">
        <v>0</v>
      </c>
      <c r="B2287" s="578"/>
      <c r="C2287" s="577" t="s">
        <v>7</v>
      </c>
      <c r="D2287" s="579" t="s">
        <v>2447</v>
      </c>
    </row>
    <row r="2288" spans="1:4" s="38" customFormat="1" x14ac:dyDescent="0.2">
      <c r="A2288" s="580" t="s">
        <v>1</v>
      </c>
      <c r="B2288" s="581" t="s">
        <v>5</v>
      </c>
      <c r="C2288" s="580" t="s">
        <v>6</v>
      </c>
      <c r="D2288" s="580" t="s">
        <v>2448</v>
      </c>
    </row>
    <row r="2289" spans="1:4" s="38" customFormat="1" x14ac:dyDescent="0.2">
      <c r="A2289" s="582"/>
      <c r="B2289" s="583"/>
      <c r="C2289" s="580">
        <v>2020</v>
      </c>
      <c r="D2289" s="580">
        <v>2021</v>
      </c>
    </row>
    <row r="2290" spans="1:4" s="38" customFormat="1" ht="16.5" thickBot="1" x14ac:dyDescent="0.25">
      <c r="A2290" s="584"/>
      <c r="B2290" s="585"/>
      <c r="C2290" s="586" t="s">
        <v>4</v>
      </c>
      <c r="D2290" s="586" t="s">
        <v>4</v>
      </c>
    </row>
    <row r="2291" spans="1:4" x14ac:dyDescent="0.25">
      <c r="A2291" s="28"/>
      <c r="B2291" s="7" t="s">
        <v>1093</v>
      </c>
      <c r="C2291" s="29"/>
      <c r="D2291" s="29"/>
    </row>
    <row r="2292" spans="1:4" x14ac:dyDescent="0.25">
      <c r="A2292" s="30">
        <v>21010100</v>
      </c>
      <c r="B2292" s="31" t="s">
        <v>50</v>
      </c>
      <c r="C2292" s="108">
        <f>'APPENDIX PERS COSTS DETAILS'!D2561</f>
        <v>30490215</v>
      </c>
      <c r="D2292" s="108">
        <f>'APPENDIX PERS COSTS DETAILS'!F2561</f>
        <v>30490215</v>
      </c>
    </row>
    <row r="2293" spans="1:4" x14ac:dyDescent="0.25">
      <c r="A2293" s="33">
        <v>21010101</v>
      </c>
      <c r="B2293" s="34" t="s">
        <v>51</v>
      </c>
      <c r="C2293" s="36"/>
      <c r="D2293" s="36"/>
    </row>
    <row r="2294" spans="1:4" x14ac:dyDescent="0.25">
      <c r="A2294" s="33">
        <v>21010102</v>
      </c>
      <c r="B2294" s="34" t="s">
        <v>52</v>
      </c>
      <c r="C2294" s="36"/>
      <c r="D2294" s="36"/>
    </row>
    <row r="2295" spans="1:4" x14ac:dyDescent="0.25">
      <c r="A2295" s="33">
        <v>21010103</v>
      </c>
      <c r="B2295" s="34" t="s">
        <v>53</v>
      </c>
      <c r="C2295" s="108">
        <f>'APPENDIX PERS COSTS DETAILS'!D2570</f>
        <v>11245165</v>
      </c>
      <c r="D2295" s="108">
        <f>'APPENDIX PERS COSTS DETAILS'!F2570</f>
        <v>11245165</v>
      </c>
    </row>
    <row r="2296" spans="1:4" x14ac:dyDescent="0.25">
      <c r="A2296" s="30">
        <v>210201</v>
      </c>
      <c r="B2296" s="31" t="s">
        <v>54</v>
      </c>
      <c r="C2296" s="36"/>
      <c r="D2296" s="36"/>
    </row>
    <row r="2297" spans="1:4" x14ac:dyDescent="0.25">
      <c r="A2297" s="33">
        <v>21020101</v>
      </c>
      <c r="B2297" s="34" t="s">
        <v>55</v>
      </c>
      <c r="C2297" s="37"/>
      <c r="D2297" s="37"/>
    </row>
    <row r="2298" spans="1:4" x14ac:dyDescent="0.25">
      <c r="A2298" s="30">
        <v>21020200</v>
      </c>
      <c r="B2298" s="31" t="s">
        <v>56</v>
      </c>
      <c r="C2298" s="36"/>
      <c r="D2298" s="36"/>
    </row>
    <row r="2299" spans="1:4" x14ac:dyDescent="0.25">
      <c r="A2299" s="33">
        <v>21020201</v>
      </c>
      <c r="B2299" s="34" t="s">
        <v>122</v>
      </c>
      <c r="C2299" s="36"/>
      <c r="D2299" s="36"/>
    </row>
    <row r="2300" spans="1:4" x14ac:dyDescent="0.25">
      <c r="A2300" s="33">
        <v>21020202</v>
      </c>
      <c r="B2300" s="34" t="s">
        <v>123</v>
      </c>
      <c r="C2300" s="36"/>
      <c r="D2300" s="36"/>
    </row>
    <row r="2301" spans="1:4" x14ac:dyDescent="0.25">
      <c r="A2301" s="33">
        <v>21020203</v>
      </c>
      <c r="B2301" s="34" t="s">
        <v>57</v>
      </c>
      <c r="C2301" s="36"/>
      <c r="D2301" s="36"/>
    </row>
    <row r="2302" spans="1:4" x14ac:dyDescent="0.25">
      <c r="A2302" s="33">
        <v>21020204</v>
      </c>
      <c r="B2302" s="34" t="s">
        <v>58</v>
      </c>
      <c r="C2302" s="36"/>
      <c r="D2302" s="36"/>
    </row>
    <row r="2303" spans="1:4" x14ac:dyDescent="0.25">
      <c r="A2303" s="33">
        <v>21020205</v>
      </c>
      <c r="B2303" s="34" t="s">
        <v>59</v>
      </c>
      <c r="C2303" s="36"/>
      <c r="D2303" s="36"/>
    </row>
    <row r="2304" spans="1:4" x14ac:dyDescent="0.25">
      <c r="A2304" s="30">
        <v>21030100</v>
      </c>
      <c r="B2304" s="31" t="s">
        <v>60</v>
      </c>
      <c r="C2304" s="35"/>
      <c r="D2304" s="35"/>
    </row>
    <row r="2305" spans="1:4" x14ac:dyDescent="0.25">
      <c r="A2305" s="33">
        <v>21030101</v>
      </c>
      <c r="B2305" s="34" t="s">
        <v>61</v>
      </c>
      <c r="C2305" s="35"/>
      <c r="D2305" s="35"/>
    </row>
    <row r="2306" spans="1:4" x14ac:dyDescent="0.25">
      <c r="A2306" s="33">
        <v>21030102</v>
      </c>
      <c r="B2306" s="34" t="s">
        <v>62</v>
      </c>
      <c r="C2306" s="35"/>
      <c r="D2306" s="35"/>
    </row>
    <row r="2307" spans="1:4" x14ac:dyDescent="0.25">
      <c r="A2307" s="33">
        <v>21030103</v>
      </c>
      <c r="B2307" s="34" t="s">
        <v>63</v>
      </c>
      <c r="C2307" s="35"/>
      <c r="D2307" s="35"/>
    </row>
    <row r="2308" spans="1:4" x14ac:dyDescent="0.25">
      <c r="A2308" s="33"/>
      <c r="B2308" s="34"/>
      <c r="C2308" s="37"/>
      <c r="D2308" s="37"/>
    </row>
    <row r="2309" spans="1:4" x14ac:dyDescent="0.25">
      <c r="A2309" s="593"/>
      <c r="B2309" s="594" t="s">
        <v>2</v>
      </c>
      <c r="C2309" s="109">
        <f>SUM(C2290:C2308)</f>
        <v>41735380</v>
      </c>
      <c r="D2309" s="109">
        <f>SUM(D2290:D2308)</f>
        <v>41735380</v>
      </c>
    </row>
    <row r="2310" spans="1:4" s="26" customFormat="1" x14ac:dyDescent="0.25">
      <c r="A2310" s="3458"/>
      <c r="B2310" s="3458"/>
      <c r="C2310" s="3458"/>
      <c r="D2310" s="3458"/>
    </row>
    <row r="2311" spans="1:4" x14ac:dyDescent="0.25">
      <c r="A2311" s="3456" t="s">
        <v>2749</v>
      </c>
      <c r="B2311" s="3456"/>
      <c r="C2311" s="3456"/>
      <c r="D2311" s="3456"/>
    </row>
    <row r="2312" spans="1:4" ht="16.5" thickBot="1" x14ac:dyDescent="0.3">
      <c r="A2312" s="3457" t="s">
        <v>2827</v>
      </c>
      <c r="B2312" s="3457"/>
      <c r="C2312" s="3457"/>
      <c r="D2312" s="3457"/>
    </row>
    <row r="2313" spans="1:4" x14ac:dyDescent="0.25">
      <c r="A2313" s="577" t="s">
        <v>0</v>
      </c>
      <c r="B2313" s="578"/>
      <c r="C2313" s="577" t="s">
        <v>7</v>
      </c>
      <c r="D2313" s="579" t="s">
        <v>2447</v>
      </c>
    </row>
    <row r="2314" spans="1:4" s="38" customFormat="1" x14ac:dyDescent="0.2">
      <c r="A2314" s="580" t="s">
        <v>1</v>
      </c>
      <c r="B2314" s="581" t="s">
        <v>5</v>
      </c>
      <c r="C2314" s="580" t="s">
        <v>6</v>
      </c>
      <c r="D2314" s="580" t="s">
        <v>2448</v>
      </c>
    </row>
    <row r="2315" spans="1:4" s="38" customFormat="1" x14ac:dyDescent="0.2">
      <c r="A2315" s="582"/>
      <c r="B2315" s="583"/>
      <c r="C2315" s="580">
        <v>2020</v>
      </c>
      <c r="D2315" s="580">
        <v>2021</v>
      </c>
    </row>
    <row r="2316" spans="1:4" s="38" customFormat="1" ht="16.5" thickBot="1" x14ac:dyDescent="0.25">
      <c r="A2316" s="584"/>
      <c r="B2316" s="585"/>
      <c r="C2316" s="586" t="s">
        <v>4</v>
      </c>
      <c r="D2316" s="586" t="s">
        <v>4</v>
      </c>
    </row>
    <row r="2317" spans="1:4" x14ac:dyDescent="0.25">
      <c r="A2317" s="28"/>
      <c r="B2317" s="7" t="s">
        <v>1093</v>
      </c>
      <c r="C2317" s="29"/>
      <c r="D2317" s="29"/>
    </row>
    <row r="2318" spans="1:4" x14ac:dyDescent="0.25">
      <c r="A2318" s="30">
        <v>21010100</v>
      </c>
      <c r="B2318" s="31" t="s">
        <v>50</v>
      </c>
      <c r="C2318" s="108">
        <f>'APPENDIX PERS COSTS DETAILS'!D2599</f>
        <v>250101215</v>
      </c>
      <c r="D2318" s="108">
        <f>'APPENDIX PERS COSTS DETAILS'!F2599</f>
        <v>246254295</v>
      </c>
    </row>
    <row r="2319" spans="1:4" x14ac:dyDescent="0.25">
      <c r="A2319" s="33">
        <v>21010101</v>
      </c>
      <c r="B2319" s="34" t="s">
        <v>51</v>
      </c>
      <c r="C2319" s="36"/>
      <c r="D2319" s="36"/>
    </row>
    <row r="2320" spans="1:4" x14ac:dyDescent="0.25">
      <c r="A2320" s="33">
        <v>21010102</v>
      </c>
      <c r="B2320" s="34" t="s">
        <v>52</v>
      </c>
      <c r="C2320" s="36"/>
      <c r="D2320" s="36"/>
    </row>
    <row r="2321" spans="1:4" x14ac:dyDescent="0.25">
      <c r="A2321" s="33">
        <v>21010103</v>
      </c>
      <c r="B2321" s="34" t="s">
        <v>53</v>
      </c>
      <c r="C2321" s="108"/>
      <c r="D2321" s="108"/>
    </row>
    <row r="2322" spans="1:4" x14ac:dyDescent="0.25">
      <c r="A2322" s="30">
        <v>210201</v>
      </c>
      <c r="B2322" s="31" t="s">
        <v>54</v>
      </c>
      <c r="C2322" s="36"/>
      <c r="D2322" s="36"/>
    </row>
    <row r="2323" spans="1:4" x14ac:dyDescent="0.25">
      <c r="A2323" s="33">
        <v>21020101</v>
      </c>
      <c r="B2323" s="34" t="s">
        <v>55</v>
      </c>
      <c r="C2323" s="37"/>
      <c r="D2323" s="37"/>
    </row>
    <row r="2324" spans="1:4" x14ac:dyDescent="0.25">
      <c r="A2324" s="30">
        <v>21020200</v>
      </c>
      <c r="B2324" s="31" t="s">
        <v>56</v>
      </c>
      <c r="C2324" s="36"/>
      <c r="D2324" s="36"/>
    </row>
    <row r="2325" spans="1:4" x14ac:dyDescent="0.25">
      <c r="A2325" s="33">
        <v>21020201</v>
      </c>
      <c r="B2325" s="34" t="s">
        <v>122</v>
      </c>
      <c r="C2325" s="36"/>
      <c r="D2325" s="36"/>
    </row>
    <row r="2326" spans="1:4" x14ac:dyDescent="0.25">
      <c r="A2326" s="33">
        <v>21020202</v>
      </c>
      <c r="B2326" s="34" t="s">
        <v>123</v>
      </c>
      <c r="C2326" s="36"/>
      <c r="D2326" s="36"/>
    </row>
    <row r="2327" spans="1:4" x14ac:dyDescent="0.25">
      <c r="A2327" s="33">
        <v>21020203</v>
      </c>
      <c r="B2327" s="34" t="s">
        <v>57</v>
      </c>
      <c r="C2327" s="36"/>
      <c r="D2327" s="36"/>
    </row>
    <row r="2328" spans="1:4" x14ac:dyDescent="0.25">
      <c r="A2328" s="33">
        <v>21020204</v>
      </c>
      <c r="B2328" s="34" t="s">
        <v>58</v>
      </c>
      <c r="C2328" s="36"/>
      <c r="D2328" s="36"/>
    </row>
    <row r="2329" spans="1:4" x14ac:dyDescent="0.25">
      <c r="A2329" s="33">
        <v>21020205</v>
      </c>
      <c r="B2329" s="34" t="s">
        <v>59</v>
      </c>
      <c r="C2329" s="36"/>
      <c r="D2329" s="36"/>
    </row>
    <row r="2330" spans="1:4" x14ac:dyDescent="0.25">
      <c r="A2330" s="30">
        <v>21030100</v>
      </c>
      <c r="B2330" s="31" t="s">
        <v>60</v>
      </c>
      <c r="C2330" s="35"/>
      <c r="D2330" s="35"/>
    </row>
    <row r="2331" spans="1:4" x14ac:dyDescent="0.25">
      <c r="A2331" s="33">
        <v>21030101</v>
      </c>
      <c r="B2331" s="34" t="s">
        <v>61</v>
      </c>
      <c r="C2331" s="35"/>
      <c r="D2331" s="35"/>
    </row>
    <row r="2332" spans="1:4" x14ac:dyDescent="0.25">
      <c r="A2332" s="33">
        <v>21030102</v>
      </c>
      <c r="B2332" s="34" t="s">
        <v>62</v>
      </c>
      <c r="C2332" s="35"/>
      <c r="D2332" s="35"/>
    </row>
    <row r="2333" spans="1:4" x14ac:dyDescent="0.25">
      <c r="A2333" s="33">
        <v>21030103</v>
      </c>
      <c r="B2333" s="34" t="s">
        <v>63</v>
      </c>
      <c r="C2333" s="35"/>
      <c r="D2333" s="35"/>
    </row>
    <row r="2334" spans="1:4" x14ac:dyDescent="0.25">
      <c r="A2334" s="33"/>
      <c r="B2334" s="34"/>
      <c r="C2334" s="37"/>
      <c r="D2334" s="37"/>
    </row>
    <row r="2335" spans="1:4" x14ac:dyDescent="0.25">
      <c r="A2335" s="593"/>
      <c r="B2335" s="594" t="s">
        <v>2</v>
      </c>
      <c r="C2335" s="109">
        <f>SUM(C2316:C2334)</f>
        <v>250101215</v>
      </c>
      <c r="D2335" s="109">
        <f>SUM(D2316:D2334)</f>
        <v>246254295</v>
      </c>
    </row>
    <row r="2336" spans="1:4" s="26" customFormat="1" x14ac:dyDescent="0.25">
      <c r="A2336" s="3458"/>
      <c r="B2336" s="3458"/>
      <c r="C2336" s="3458"/>
      <c r="D2336" s="3458"/>
    </row>
    <row r="2337" spans="1:4" x14ac:dyDescent="0.25">
      <c r="A2337" s="3456" t="s">
        <v>1125</v>
      </c>
      <c r="B2337" s="3456"/>
      <c r="C2337" s="3456"/>
      <c r="D2337" s="3456"/>
    </row>
    <row r="2338" spans="1:4" ht="16.5" thickBot="1" x14ac:dyDescent="0.3">
      <c r="A2338" s="3457" t="s">
        <v>2828</v>
      </c>
      <c r="B2338" s="3457"/>
      <c r="C2338" s="3457"/>
      <c r="D2338" s="3457"/>
    </row>
    <row r="2339" spans="1:4" x14ac:dyDescent="0.25">
      <c r="A2339" s="577" t="s">
        <v>0</v>
      </c>
      <c r="B2339" s="578"/>
      <c r="C2339" s="577" t="s">
        <v>7</v>
      </c>
      <c r="D2339" s="579" t="s">
        <v>2447</v>
      </c>
    </row>
    <row r="2340" spans="1:4" s="38" customFormat="1" x14ac:dyDescent="0.2">
      <c r="A2340" s="580" t="s">
        <v>1</v>
      </c>
      <c r="B2340" s="581" t="s">
        <v>5</v>
      </c>
      <c r="C2340" s="580" t="s">
        <v>6</v>
      </c>
      <c r="D2340" s="580" t="s">
        <v>2448</v>
      </c>
    </row>
    <row r="2341" spans="1:4" s="38" customFormat="1" x14ac:dyDescent="0.2">
      <c r="A2341" s="582"/>
      <c r="B2341" s="583"/>
      <c r="C2341" s="580">
        <v>2020</v>
      </c>
      <c r="D2341" s="580">
        <v>2021</v>
      </c>
    </row>
    <row r="2342" spans="1:4" s="38" customFormat="1" ht="16.5" thickBot="1" x14ac:dyDescent="0.25">
      <c r="A2342" s="584"/>
      <c r="B2342" s="585"/>
      <c r="C2342" s="586" t="s">
        <v>4</v>
      </c>
      <c r="D2342" s="586" t="s">
        <v>4</v>
      </c>
    </row>
    <row r="2343" spans="1:4" x14ac:dyDescent="0.25">
      <c r="A2343" s="28"/>
      <c r="B2343" s="7" t="s">
        <v>1093</v>
      </c>
      <c r="C2343" s="29"/>
      <c r="D2343" s="29"/>
    </row>
    <row r="2344" spans="1:4" x14ac:dyDescent="0.25">
      <c r="A2344" s="30">
        <v>21010100</v>
      </c>
      <c r="B2344" s="31" t="s">
        <v>50</v>
      </c>
      <c r="C2344" s="108">
        <f>'APPENDIX PERS COSTS DETAILS'!D2622</f>
        <v>0</v>
      </c>
      <c r="D2344" s="108">
        <f>'APPENDIX PERS COSTS DETAILS'!F2622</f>
        <v>0</v>
      </c>
    </row>
    <row r="2345" spans="1:4" x14ac:dyDescent="0.25">
      <c r="A2345" s="33">
        <v>21010101</v>
      </c>
      <c r="B2345" s="34" t="s">
        <v>51</v>
      </c>
      <c r="C2345" s="36"/>
      <c r="D2345" s="36"/>
    </row>
    <row r="2346" spans="1:4" x14ac:dyDescent="0.25">
      <c r="A2346" s="33">
        <v>21010102</v>
      </c>
      <c r="B2346" s="34" t="s">
        <v>52</v>
      </c>
      <c r="C2346" s="36"/>
      <c r="D2346" s="36"/>
    </row>
    <row r="2347" spans="1:4" x14ac:dyDescent="0.25">
      <c r="A2347" s="33">
        <v>21010103</v>
      </c>
      <c r="B2347" s="34" t="s">
        <v>53</v>
      </c>
      <c r="C2347" s="108">
        <f>'APPENDIX PERS COSTS DETAILS'!D2627</f>
        <v>11245165</v>
      </c>
      <c r="D2347" s="108">
        <f>'APPENDIX PERS COSTS DETAILS'!F2627</f>
        <v>11245165</v>
      </c>
    </row>
    <row r="2348" spans="1:4" x14ac:dyDescent="0.25">
      <c r="A2348" s="30">
        <v>210201</v>
      </c>
      <c r="B2348" s="31" t="s">
        <v>54</v>
      </c>
      <c r="C2348" s="36"/>
      <c r="D2348" s="36"/>
    </row>
    <row r="2349" spans="1:4" x14ac:dyDescent="0.25">
      <c r="A2349" s="33">
        <v>21020101</v>
      </c>
      <c r="B2349" s="34" t="s">
        <v>55</v>
      </c>
      <c r="C2349" s="37"/>
      <c r="D2349" s="37"/>
    </row>
    <row r="2350" spans="1:4" x14ac:dyDescent="0.25">
      <c r="A2350" s="30">
        <v>21020200</v>
      </c>
      <c r="B2350" s="31" t="s">
        <v>56</v>
      </c>
      <c r="C2350" s="36"/>
      <c r="D2350" s="36"/>
    </row>
    <row r="2351" spans="1:4" x14ac:dyDescent="0.25">
      <c r="A2351" s="33">
        <v>21020201</v>
      </c>
      <c r="B2351" s="34" t="s">
        <v>122</v>
      </c>
      <c r="C2351" s="36"/>
      <c r="D2351" s="36"/>
    </row>
    <row r="2352" spans="1:4" x14ac:dyDescent="0.25">
      <c r="A2352" s="33">
        <v>21020202</v>
      </c>
      <c r="B2352" s="34" t="s">
        <v>123</v>
      </c>
      <c r="C2352" s="36"/>
      <c r="D2352" s="36"/>
    </row>
    <row r="2353" spans="1:4" x14ac:dyDescent="0.25">
      <c r="A2353" s="33">
        <v>21020203</v>
      </c>
      <c r="B2353" s="34" t="s">
        <v>57</v>
      </c>
      <c r="C2353" s="36"/>
      <c r="D2353" s="36"/>
    </row>
    <row r="2354" spans="1:4" x14ac:dyDescent="0.25">
      <c r="A2354" s="33">
        <v>21020204</v>
      </c>
      <c r="B2354" s="34" t="s">
        <v>58</v>
      </c>
      <c r="C2354" s="36"/>
      <c r="D2354" s="36"/>
    </row>
    <row r="2355" spans="1:4" x14ac:dyDescent="0.25">
      <c r="A2355" s="33">
        <v>21020205</v>
      </c>
      <c r="B2355" s="34" t="s">
        <v>59</v>
      </c>
      <c r="C2355" s="36"/>
      <c r="D2355" s="36"/>
    </row>
    <row r="2356" spans="1:4" x14ac:dyDescent="0.25">
      <c r="A2356" s="30">
        <v>21030100</v>
      </c>
      <c r="B2356" s="31" t="s">
        <v>60</v>
      </c>
      <c r="C2356" s="35"/>
      <c r="D2356" s="35"/>
    </row>
    <row r="2357" spans="1:4" x14ac:dyDescent="0.25">
      <c r="A2357" s="33">
        <v>21030101</v>
      </c>
      <c r="B2357" s="34" t="s">
        <v>61</v>
      </c>
      <c r="C2357" s="35"/>
      <c r="D2357" s="35"/>
    </row>
    <row r="2358" spans="1:4" x14ac:dyDescent="0.25">
      <c r="A2358" s="33">
        <v>21030102</v>
      </c>
      <c r="B2358" s="34" t="s">
        <v>62</v>
      </c>
      <c r="C2358" s="35"/>
      <c r="D2358" s="35"/>
    </row>
    <row r="2359" spans="1:4" x14ac:dyDescent="0.25">
      <c r="A2359" s="33">
        <v>21030103</v>
      </c>
      <c r="B2359" s="34" t="s">
        <v>63</v>
      </c>
      <c r="C2359" s="35"/>
      <c r="D2359" s="35"/>
    </row>
    <row r="2360" spans="1:4" x14ac:dyDescent="0.25">
      <c r="A2360" s="33"/>
      <c r="B2360" s="34"/>
      <c r="C2360" s="37"/>
      <c r="D2360" s="37"/>
    </row>
    <row r="2361" spans="1:4" x14ac:dyDescent="0.25">
      <c r="A2361" s="593"/>
      <c r="B2361" s="594" t="s">
        <v>2</v>
      </c>
      <c r="C2361" s="109">
        <f>SUM(C2342:C2360)</f>
        <v>11245165</v>
      </c>
      <c r="D2361" s="109">
        <f>SUM(D2342:D2360)</f>
        <v>11245165</v>
      </c>
    </row>
    <row r="2362" spans="1:4" s="26" customFormat="1" x14ac:dyDescent="0.25">
      <c r="A2362" s="3458"/>
      <c r="B2362" s="3458"/>
      <c r="C2362" s="3458"/>
      <c r="D2362" s="3458"/>
    </row>
    <row r="2363" spans="1:4" x14ac:dyDescent="0.25">
      <c r="A2363" s="3456" t="s">
        <v>178</v>
      </c>
      <c r="B2363" s="3456"/>
      <c r="C2363" s="3456"/>
      <c r="D2363" s="3456"/>
    </row>
    <row r="2364" spans="1:4" ht="16.5" thickBot="1" x14ac:dyDescent="0.3">
      <c r="A2364" s="3457" t="s">
        <v>2829</v>
      </c>
      <c r="B2364" s="3457"/>
      <c r="C2364" s="3457"/>
      <c r="D2364" s="3457"/>
    </row>
    <row r="2365" spans="1:4" x14ac:dyDescent="0.25">
      <c r="A2365" s="577" t="s">
        <v>0</v>
      </c>
      <c r="B2365" s="578"/>
      <c r="C2365" s="577" t="s">
        <v>7</v>
      </c>
      <c r="D2365" s="579" t="s">
        <v>2447</v>
      </c>
    </row>
    <row r="2366" spans="1:4" s="38" customFormat="1" x14ac:dyDescent="0.2">
      <c r="A2366" s="580" t="s">
        <v>1</v>
      </c>
      <c r="B2366" s="581" t="s">
        <v>5</v>
      </c>
      <c r="C2366" s="580" t="s">
        <v>6</v>
      </c>
      <c r="D2366" s="580" t="s">
        <v>2448</v>
      </c>
    </row>
    <row r="2367" spans="1:4" s="38" customFormat="1" x14ac:dyDescent="0.2">
      <c r="A2367" s="582"/>
      <c r="B2367" s="583"/>
      <c r="C2367" s="580">
        <v>2020</v>
      </c>
      <c r="D2367" s="580">
        <v>2021</v>
      </c>
    </row>
    <row r="2368" spans="1:4" s="38" customFormat="1" ht="16.5" thickBot="1" x14ac:dyDescent="0.25">
      <c r="A2368" s="584"/>
      <c r="B2368" s="585"/>
      <c r="C2368" s="586" t="s">
        <v>4</v>
      </c>
      <c r="D2368" s="586" t="s">
        <v>4</v>
      </c>
    </row>
    <row r="2369" spans="1:4" x14ac:dyDescent="0.25">
      <c r="A2369" s="28"/>
      <c r="B2369" s="7" t="s">
        <v>1093</v>
      </c>
      <c r="C2369" s="29"/>
      <c r="D2369" s="29"/>
    </row>
    <row r="2370" spans="1:4" x14ac:dyDescent="0.25">
      <c r="A2370" s="30">
        <v>21010100</v>
      </c>
      <c r="B2370" s="31" t="s">
        <v>50</v>
      </c>
      <c r="C2370" s="108">
        <f>'APPENDIX PERS COSTS DETAILS'!D2651</f>
        <v>0</v>
      </c>
      <c r="D2370" s="108">
        <f>'APPENDIX PERS COSTS DETAILS'!F2651</f>
        <v>0</v>
      </c>
    </row>
    <row r="2371" spans="1:4" x14ac:dyDescent="0.25">
      <c r="A2371" s="33">
        <v>21010101</v>
      </c>
      <c r="B2371" s="34" t="s">
        <v>51</v>
      </c>
      <c r="C2371" s="36"/>
      <c r="D2371" s="36"/>
    </row>
    <row r="2372" spans="1:4" x14ac:dyDescent="0.25">
      <c r="A2372" s="33">
        <v>21010102</v>
      </c>
      <c r="B2372" s="34" t="s">
        <v>52</v>
      </c>
      <c r="C2372" s="36"/>
      <c r="D2372" s="36"/>
    </row>
    <row r="2373" spans="1:4" x14ac:dyDescent="0.25">
      <c r="A2373" s="33">
        <v>21010103</v>
      </c>
      <c r="B2373" s="34" t="s">
        <v>53</v>
      </c>
      <c r="C2373" s="108">
        <f>'APPENDIX PERS COSTS DETAILS'!D2654</f>
        <v>5729815</v>
      </c>
      <c r="D2373" s="108">
        <f>'APPENDIX PERS COSTS DETAILS'!F2654</f>
        <v>5729815</v>
      </c>
    </row>
    <row r="2374" spans="1:4" x14ac:dyDescent="0.25">
      <c r="A2374" s="30">
        <v>210201</v>
      </c>
      <c r="B2374" s="31" t="s">
        <v>54</v>
      </c>
      <c r="C2374" s="36"/>
      <c r="D2374" s="36"/>
    </row>
    <row r="2375" spans="1:4" x14ac:dyDescent="0.25">
      <c r="A2375" s="33">
        <v>21020101</v>
      </c>
      <c r="B2375" s="34" t="s">
        <v>55</v>
      </c>
      <c r="C2375" s="37"/>
      <c r="D2375" s="37"/>
    </row>
    <row r="2376" spans="1:4" x14ac:dyDescent="0.25">
      <c r="A2376" s="30">
        <v>21020200</v>
      </c>
      <c r="B2376" s="31" t="s">
        <v>56</v>
      </c>
      <c r="C2376" s="36"/>
      <c r="D2376" s="36"/>
    </row>
    <row r="2377" spans="1:4" x14ac:dyDescent="0.25">
      <c r="A2377" s="33">
        <v>21020201</v>
      </c>
      <c r="B2377" s="34" t="s">
        <v>122</v>
      </c>
      <c r="C2377" s="36"/>
      <c r="D2377" s="36"/>
    </row>
    <row r="2378" spans="1:4" x14ac:dyDescent="0.25">
      <c r="A2378" s="33">
        <v>21020202</v>
      </c>
      <c r="B2378" s="34" t="s">
        <v>123</v>
      </c>
      <c r="C2378" s="36"/>
      <c r="D2378" s="36"/>
    </row>
    <row r="2379" spans="1:4" x14ac:dyDescent="0.25">
      <c r="A2379" s="33">
        <v>21020203</v>
      </c>
      <c r="B2379" s="34" t="s">
        <v>57</v>
      </c>
      <c r="C2379" s="36"/>
      <c r="D2379" s="36"/>
    </row>
    <row r="2380" spans="1:4" x14ac:dyDescent="0.25">
      <c r="A2380" s="33">
        <v>21020204</v>
      </c>
      <c r="B2380" s="34" t="s">
        <v>58</v>
      </c>
      <c r="C2380" s="36"/>
      <c r="D2380" s="36"/>
    </row>
    <row r="2381" spans="1:4" x14ac:dyDescent="0.25">
      <c r="A2381" s="33">
        <v>21020205</v>
      </c>
      <c r="B2381" s="34" t="s">
        <v>59</v>
      </c>
      <c r="C2381" s="36"/>
      <c r="D2381" s="36"/>
    </row>
    <row r="2382" spans="1:4" x14ac:dyDescent="0.25">
      <c r="A2382" s="30">
        <v>21030100</v>
      </c>
      <c r="B2382" s="31" t="s">
        <v>60</v>
      </c>
      <c r="C2382" s="35"/>
      <c r="D2382" s="35"/>
    </row>
    <row r="2383" spans="1:4" x14ac:dyDescent="0.25">
      <c r="A2383" s="33">
        <v>21030101</v>
      </c>
      <c r="B2383" s="34" t="s">
        <v>61</v>
      </c>
      <c r="C2383" s="35"/>
      <c r="D2383" s="35"/>
    </row>
    <row r="2384" spans="1:4" x14ac:dyDescent="0.25">
      <c r="A2384" s="33">
        <v>21030102</v>
      </c>
      <c r="B2384" s="34" t="s">
        <v>62</v>
      </c>
      <c r="C2384" s="35"/>
      <c r="D2384" s="35"/>
    </row>
    <row r="2385" spans="1:4" x14ac:dyDescent="0.25">
      <c r="A2385" s="33">
        <v>21030103</v>
      </c>
      <c r="B2385" s="34" t="s">
        <v>63</v>
      </c>
      <c r="C2385" s="35"/>
      <c r="D2385" s="35"/>
    </row>
    <row r="2386" spans="1:4" x14ac:dyDescent="0.25">
      <c r="A2386" s="33"/>
      <c r="B2386" s="34"/>
      <c r="C2386" s="37"/>
      <c r="D2386" s="37"/>
    </row>
    <row r="2387" spans="1:4" x14ac:dyDescent="0.25">
      <c r="A2387" s="593"/>
      <c r="B2387" s="594" t="s">
        <v>2</v>
      </c>
      <c r="C2387" s="109">
        <f>SUM(C2369:C2386)</f>
        <v>5729815</v>
      </c>
      <c r="D2387" s="109">
        <f>SUM(D2369:D2386)</f>
        <v>5729815</v>
      </c>
    </row>
    <row r="2389" spans="1:4" x14ac:dyDescent="0.25">
      <c r="A2389" s="3456" t="s">
        <v>177</v>
      </c>
      <c r="B2389" s="3456"/>
      <c r="C2389" s="3456"/>
      <c r="D2389" s="3456"/>
    </row>
    <row r="2390" spans="1:4" ht="16.5" thickBot="1" x14ac:dyDescent="0.3">
      <c r="A2390" s="3457" t="s">
        <v>2830</v>
      </c>
      <c r="B2390" s="3457"/>
      <c r="C2390" s="3457"/>
      <c r="D2390" s="3457"/>
    </row>
    <row r="2391" spans="1:4" x14ac:dyDescent="0.25">
      <c r="A2391" s="577" t="s">
        <v>0</v>
      </c>
      <c r="B2391" s="578"/>
      <c r="C2391" s="577" t="s">
        <v>7</v>
      </c>
      <c r="D2391" s="579" t="s">
        <v>2447</v>
      </c>
    </row>
    <row r="2392" spans="1:4" s="38" customFormat="1" x14ac:dyDescent="0.2">
      <c r="A2392" s="580" t="s">
        <v>1</v>
      </c>
      <c r="B2392" s="581" t="s">
        <v>5</v>
      </c>
      <c r="C2392" s="580" t="s">
        <v>6</v>
      </c>
      <c r="D2392" s="580" t="s">
        <v>2448</v>
      </c>
    </row>
    <row r="2393" spans="1:4" s="38" customFormat="1" x14ac:dyDescent="0.2">
      <c r="A2393" s="582"/>
      <c r="B2393" s="583"/>
      <c r="C2393" s="580">
        <v>2020</v>
      </c>
      <c r="D2393" s="580">
        <v>2021</v>
      </c>
    </row>
    <row r="2394" spans="1:4" s="38" customFormat="1" ht="16.5" thickBot="1" x14ac:dyDescent="0.25">
      <c r="A2394" s="584"/>
      <c r="B2394" s="585"/>
      <c r="C2394" s="586" t="s">
        <v>4</v>
      </c>
      <c r="D2394" s="586" t="s">
        <v>4</v>
      </c>
    </row>
    <row r="2395" spans="1:4" x14ac:dyDescent="0.25">
      <c r="A2395" s="28"/>
      <c r="B2395" s="7" t="s">
        <v>1093</v>
      </c>
      <c r="C2395" s="29"/>
      <c r="D2395" s="29"/>
    </row>
    <row r="2396" spans="1:4" x14ac:dyDescent="0.25">
      <c r="A2396" s="30">
        <v>21010100</v>
      </c>
      <c r="B2396" s="31" t="s">
        <v>50</v>
      </c>
      <c r="C2396" s="108">
        <f>'APPENDIX PERS COSTS DETAILS'!D2678</f>
        <v>94930170</v>
      </c>
      <c r="D2396" s="108">
        <f>'APPENDIX PERS COSTS DETAILS'!F2678</f>
        <v>89483831</v>
      </c>
    </row>
    <row r="2397" spans="1:4" x14ac:dyDescent="0.25">
      <c r="A2397" s="33">
        <v>21010101</v>
      </c>
      <c r="B2397" s="34" t="s">
        <v>51</v>
      </c>
      <c r="C2397" s="36"/>
      <c r="D2397" s="36"/>
    </row>
    <row r="2398" spans="1:4" x14ac:dyDescent="0.25">
      <c r="A2398" s="33">
        <v>21010102</v>
      </c>
      <c r="B2398" s="34" t="s">
        <v>52</v>
      </c>
      <c r="C2398" s="36"/>
      <c r="D2398" s="36"/>
    </row>
    <row r="2399" spans="1:4" x14ac:dyDescent="0.25">
      <c r="A2399" s="33">
        <v>21010103</v>
      </c>
      <c r="B2399" s="34" t="s">
        <v>53</v>
      </c>
      <c r="C2399" s="108">
        <f>'APPENDIX PERS COSTS DETAILS'!D2683</f>
        <v>11245165</v>
      </c>
      <c r="D2399" s="108">
        <f>'APPENDIX PERS COSTS DETAILS'!F2683</f>
        <v>11245165</v>
      </c>
    </row>
    <row r="2400" spans="1:4" x14ac:dyDescent="0.25">
      <c r="A2400" s="30">
        <v>210201</v>
      </c>
      <c r="B2400" s="31" t="s">
        <v>54</v>
      </c>
      <c r="C2400" s="36"/>
      <c r="D2400" s="36"/>
    </row>
    <row r="2401" spans="1:4" x14ac:dyDescent="0.25">
      <c r="A2401" s="33">
        <v>21020101</v>
      </c>
      <c r="B2401" s="34" t="s">
        <v>55</v>
      </c>
      <c r="C2401" s="37"/>
      <c r="D2401" s="37"/>
    </row>
    <row r="2402" spans="1:4" x14ac:dyDescent="0.25">
      <c r="A2402" s="30">
        <v>21020200</v>
      </c>
      <c r="B2402" s="31" t="s">
        <v>56</v>
      </c>
      <c r="C2402" s="36"/>
      <c r="D2402" s="36"/>
    </row>
    <row r="2403" spans="1:4" x14ac:dyDescent="0.25">
      <c r="A2403" s="33">
        <v>21020201</v>
      </c>
      <c r="B2403" s="34" t="s">
        <v>122</v>
      </c>
      <c r="C2403" s="36"/>
      <c r="D2403" s="36"/>
    </row>
    <row r="2404" spans="1:4" x14ac:dyDescent="0.25">
      <c r="A2404" s="33">
        <v>21020202</v>
      </c>
      <c r="B2404" s="34" t="s">
        <v>123</v>
      </c>
      <c r="C2404" s="36"/>
      <c r="D2404" s="36"/>
    </row>
    <row r="2405" spans="1:4" x14ac:dyDescent="0.25">
      <c r="A2405" s="33">
        <v>21020203</v>
      </c>
      <c r="B2405" s="34" t="s">
        <v>57</v>
      </c>
      <c r="C2405" s="36"/>
      <c r="D2405" s="36"/>
    </row>
    <row r="2406" spans="1:4" x14ac:dyDescent="0.25">
      <c r="A2406" s="33">
        <v>21020204</v>
      </c>
      <c r="B2406" s="34" t="s">
        <v>58</v>
      </c>
      <c r="C2406" s="36"/>
      <c r="D2406" s="36"/>
    </row>
    <row r="2407" spans="1:4" x14ac:dyDescent="0.25">
      <c r="A2407" s="33">
        <v>21020205</v>
      </c>
      <c r="B2407" s="34" t="s">
        <v>59</v>
      </c>
      <c r="C2407" s="36"/>
      <c r="D2407" s="36"/>
    </row>
    <row r="2408" spans="1:4" x14ac:dyDescent="0.25">
      <c r="A2408" s="30">
        <v>21030100</v>
      </c>
      <c r="B2408" s="31" t="s">
        <v>60</v>
      </c>
      <c r="C2408" s="35"/>
      <c r="D2408" s="35"/>
    </row>
    <row r="2409" spans="1:4" x14ac:dyDescent="0.25">
      <c r="A2409" s="33">
        <v>21030101</v>
      </c>
      <c r="B2409" s="34" t="s">
        <v>61</v>
      </c>
      <c r="C2409" s="35"/>
      <c r="D2409" s="35"/>
    </row>
    <row r="2410" spans="1:4" x14ac:dyDescent="0.25">
      <c r="A2410" s="33">
        <v>21030102</v>
      </c>
      <c r="B2410" s="34" t="s">
        <v>62</v>
      </c>
      <c r="C2410" s="35"/>
      <c r="D2410" s="35"/>
    </row>
    <row r="2411" spans="1:4" x14ac:dyDescent="0.25">
      <c r="A2411" s="33">
        <v>21030103</v>
      </c>
      <c r="B2411" s="34" t="s">
        <v>63</v>
      </c>
      <c r="C2411" s="35"/>
      <c r="D2411" s="35"/>
    </row>
    <row r="2412" spans="1:4" x14ac:dyDescent="0.25">
      <c r="A2412" s="33"/>
      <c r="B2412" s="34"/>
      <c r="C2412" s="37"/>
      <c r="D2412" s="37"/>
    </row>
    <row r="2413" spans="1:4" s="26" customFormat="1" x14ac:dyDescent="0.25">
      <c r="A2413" s="593"/>
      <c r="B2413" s="594" t="s">
        <v>2</v>
      </c>
      <c r="C2413" s="109">
        <f>SUM(C2394:C2412)</f>
        <v>106175335</v>
      </c>
      <c r="D2413" s="109">
        <f>SUM(D2394:D2412)</f>
        <v>100728996</v>
      </c>
    </row>
    <row r="2414" spans="1:4" x14ac:dyDescent="0.25">
      <c r="A2414" s="3458"/>
      <c r="B2414" s="3458"/>
      <c r="C2414" s="3458"/>
      <c r="D2414" s="3458"/>
    </row>
    <row r="2415" spans="1:4" x14ac:dyDescent="0.25">
      <c r="A2415" s="3458"/>
      <c r="B2415" s="3458"/>
      <c r="C2415" s="3458"/>
      <c r="D2415" s="3458"/>
    </row>
    <row r="2416" spans="1:4" ht="11.25" customHeight="1" x14ac:dyDescent="0.25"/>
    <row r="2417" spans="1:4" ht="11.25" customHeight="1" x14ac:dyDescent="0.25"/>
    <row r="2418" spans="1:4" ht="11.25" customHeight="1" x14ac:dyDescent="0.25">
      <c r="A2418" s="3458"/>
      <c r="B2418" s="3458"/>
      <c r="C2418" s="3458"/>
      <c r="D2418" s="3458"/>
    </row>
  </sheetData>
  <sheetProtection selectLockedCells="1"/>
  <customSheetViews>
    <customSheetView guid="{F2213A70-975E-4BA8-9020-2FD0C4B548FC}" showRuler="0" topLeftCell="A162">
      <selection activeCell="A195" sqref="A195"/>
      <pageMargins left="0.75" right="0.75" top="1" bottom="1" header="0.5" footer="0.5"/>
      <pageSetup orientation="landscape" r:id="rId1"/>
      <headerFooter alignWithMargins="0"/>
    </customSheetView>
  </customSheetViews>
  <mergeCells count="241">
    <mergeCell ref="A702:D702"/>
    <mergeCell ref="A727:D727"/>
    <mergeCell ref="A728:D728"/>
    <mergeCell ref="A753:D753"/>
    <mergeCell ref="A754:D754"/>
    <mergeCell ref="A1713:D1713"/>
    <mergeCell ref="A1714:D1714"/>
    <mergeCell ref="A1739:D1739"/>
    <mergeCell ref="A1740:D1740"/>
    <mergeCell ref="A830:D830"/>
    <mergeCell ref="A779:D779"/>
    <mergeCell ref="A831:D831"/>
    <mergeCell ref="A832:D832"/>
    <mergeCell ref="A856:D856"/>
    <mergeCell ref="A857:D857"/>
    <mergeCell ref="A858:D858"/>
    <mergeCell ref="A882:D882"/>
    <mergeCell ref="A883:D883"/>
    <mergeCell ref="A884:D884"/>
    <mergeCell ref="A908:D908"/>
    <mergeCell ref="A909:D909"/>
    <mergeCell ref="A910:D910"/>
    <mergeCell ref="A934:D934"/>
    <mergeCell ref="A935:D935"/>
    <mergeCell ref="A417:D417"/>
    <mergeCell ref="A440:B440"/>
    <mergeCell ref="A442:D442"/>
    <mergeCell ref="A443:D443"/>
    <mergeCell ref="A466:B466"/>
    <mergeCell ref="A701:D701"/>
    <mergeCell ref="A545:D545"/>
    <mergeCell ref="A571:D571"/>
    <mergeCell ref="A572:D572"/>
    <mergeCell ref="A597:D597"/>
    <mergeCell ref="A598:D598"/>
    <mergeCell ref="A622:D622"/>
    <mergeCell ref="A1:D1"/>
    <mergeCell ref="A2:D2"/>
    <mergeCell ref="A3:D3"/>
    <mergeCell ref="A27:D27"/>
    <mergeCell ref="A28:D28"/>
    <mergeCell ref="A29:D29"/>
    <mergeCell ref="A131:D131"/>
    <mergeCell ref="A81:D81"/>
    <mergeCell ref="A105:D105"/>
    <mergeCell ref="A79:D79"/>
    <mergeCell ref="A54:D54"/>
    <mergeCell ref="A55:D55"/>
    <mergeCell ref="A106:D106"/>
    <mergeCell ref="A107:D107"/>
    <mergeCell ref="A130:D130"/>
    <mergeCell ref="A80:D80"/>
    <mergeCell ref="A339:D339"/>
    <mergeCell ref="A364:D364"/>
    <mergeCell ref="A365:D365"/>
    <mergeCell ref="A390:D390"/>
    <mergeCell ref="A391:D391"/>
    <mergeCell ref="A260:D260"/>
    <mergeCell ref="A416:D416"/>
    <mergeCell ref="A675:D675"/>
    <mergeCell ref="A676:D676"/>
    <mergeCell ref="A338:D338"/>
    <mergeCell ref="A623:D623"/>
    <mergeCell ref="A624:D624"/>
    <mergeCell ref="A648:D648"/>
    <mergeCell ref="A649:D649"/>
    <mergeCell ref="A650:D650"/>
    <mergeCell ref="A674:D674"/>
    <mergeCell ref="A468:D468"/>
    <mergeCell ref="A469:D469"/>
    <mergeCell ref="A493:D493"/>
    <mergeCell ref="A494:D494"/>
    <mergeCell ref="A518:D518"/>
    <mergeCell ref="A519:D519"/>
    <mergeCell ref="A543:D543"/>
    <mergeCell ref="A544:D544"/>
    <mergeCell ref="A132:D132"/>
    <mergeCell ref="A156:D156"/>
    <mergeCell ref="A157:D157"/>
    <mergeCell ref="A208:D208"/>
    <mergeCell ref="A234:D234"/>
    <mergeCell ref="A184:D184"/>
    <mergeCell ref="A209:D209"/>
    <mergeCell ref="A210:D210"/>
    <mergeCell ref="A235:D235"/>
    <mergeCell ref="A236:D236"/>
    <mergeCell ref="A261:D261"/>
    <mergeCell ref="A262:D262"/>
    <mergeCell ref="A287:D287"/>
    <mergeCell ref="A158:D158"/>
    <mergeCell ref="A183:D183"/>
    <mergeCell ref="A288:D288"/>
    <mergeCell ref="A313:D313"/>
    <mergeCell ref="A314:D314"/>
    <mergeCell ref="A936:D936"/>
    <mergeCell ref="A960:D960"/>
    <mergeCell ref="A987:D987"/>
    <mergeCell ref="A988:D988"/>
    <mergeCell ref="A1013:D1013"/>
    <mergeCell ref="A1014:D1014"/>
    <mergeCell ref="A1038:D1038"/>
    <mergeCell ref="A1039:D1039"/>
    <mergeCell ref="A1040:D1040"/>
    <mergeCell ref="A1064:D1064"/>
    <mergeCell ref="A1065:D1065"/>
    <mergeCell ref="A1066:D1066"/>
    <mergeCell ref="A1090:D1090"/>
    <mergeCell ref="A1091:D1091"/>
    <mergeCell ref="A1092:D1092"/>
    <mergeCell ref="A1116:D1116"/>
    <mergeCell ref="A1117:D1117"/>
    <mergeCell ref="A1118:D1118"/>
    <mergeCell ref="A1142:D1142"/>
    <mergeCell ref="A1143:D1143"/>
    <mergeCell ref="A1144:D1144"/>
    <mergeCell ref="A1168:D1168"/>
    <mergeCell ref="A1195:D1195"/>
    <mergeCell ref="A1196:D1196"/>
    <mergeCell ref="A1245:D1245"/>
    <mergeCell ref="A1246:D1246"/>
    <mergeCell ref="A1270:D1270"/>
    <mergeCell ref="A1271:D1271"/>
    <mergeCell ref="A1272:D1272"/>
    <mergeCell ref="A1296:D1296"/>
    <mergeCell ref="A1348:D1348"/>
    <mergeCell ref="A1349:D1349"/>
    <mergeCell ref="A1350:D1350"/>
    <mergeCell ref="A1400:D1400"/>
    <mergeCell ref="A1402:D1402"/>
    <mergeCell ref="A1427:D1427"/>
    <mergeCell ref="A1298:D1298"/>
    <mergeCell ref="A1375:D1375"/>
    <mergeCell ref="A1376:D1376"/>
    <mergeCell ref="A1322:D1322"/>
    <mergeCell ref="A1401:D1401"/>
    <mergeCell ref="A1428:D1428"/>
    <mergeCell ref="A1452:D1452"/>
    <mergeCell ref="A1453:D1453"/>
    <mergeCell ref="A1454:D1454"/>
    <mergeCell ref="A1478:D1478"/>
    <mergeCell ref="A1479:D1479"/>
    <mergeCell ref="A1480:D1480"/>
    <mergeCell ref="A1504:D1504"/>
    <mergeCell ref="A1505:D1505"/>
    <mergeCell ref="A1506:D1506"/>
    <mergeCell ref="A1531:D1531"/>
    <mergeCell ref="A1532:D1532"/>
    <mergeCell ref="A1557:D1557"/>
    <mergeCell ref="A1558:D1558"/>
    <mergeCell ref="A1582:D1582"/>
    <mergeCell ref="A1583:D1583"/>
    <mergeCell ref="A1584:D1584"/>
    <mergeCell ref="A1609:D1609"/>
    <mergeCell ref="A1610:D1610"/>
    <mergeCell ref="A1635:D1635"/>
    <mergeCell ref="A1843:D1843"/>
    <mergeCell ref="A1844:D1844"/>
    <mergeCell ref="A1869:D1869"/>
    <mergeCell ref="A1870:D1870"/>
    <mergeCell ref="A1894:D1894"/>
    <mergeCell ref="A1765:D1765"/>
    <mergeCell ref="A1766:D1766"/>
    <mergeCell ref="A1636:D1636"/>
    <mergeCell ref="A1660:D1660"/>
    <mergeCell ref="A1661:D1661"/>
    <mergeCell ref="A1662:D1662"/>
    <mergeCell ref="A1686:D1686"/>
    <mergeCell ref="A1687:D1687"/>
    <mergeCell ref="A1688:D1688"/>
    <mergeCell ref="A1817:D1817"/>
    <mergeCell ref="A1818:D1818"/>
    <mergeCell ref="A1790:D1790"/>
    <mergeCell ref="A1791:D1791"/>
    <mergeCell ref="A1792:D1792"/>
    <mergeCell ref="A2181:D2181"/>
    <mergeCell ref="A2182:D2182"/>
    <mergeCell ref="A2206:D2206"/>
    <mergeCell ref="A2207:D2207"/>
    <mergeCell ref="A2208:D2208"/>
    <mergeCell ref="A2232:D2232"/>
    <mergeCell ref="A1895:D1895"/>
    <mergeCell ref="A1896:D1896"/>
    <mergeCell ref="A1920:D1920"/>
    <mergeCell ref="A1999:D1999"/>
    <mergeCell ref="A2000:D2000"/>
    <mergeCell ref="A2025:D2025"/>
    <mergeCell ref="A2026:D2026"/>
    <mergeCell ref="A1921:D1921"/>
    <mergeCell ref="A1922:D1922"/>
    <mergeCell ref="A1947:D1947"/>
    <mergeCell ref="A1948:D1948"/>
    <mergeCell ref="A1973:D1973"/>
    <mergeCell ref="A1974:D1974"/>
    <mergeCell ref="A2415:D2415"/>
    <mergeCell ref="A2418:D2418"/>
    <mergeCell ref="A805:D805"/>
    <mergeCell ref="A806:D806"/>
    <mergeCell ref="A780:D780"/>
    <mergeCell ref="A961:D961"/>
    <mergeCell ref="A962:D962"/>
    <mergeCell ref="A1221:D1221"/>
    <mergeCell ref="A1220:D1220"/>
    <mergeCell ref="A1169:D1169"/>
    <mergeCell ref="A1170:D1170"/>
    <mergeCell ref="A1323:D1323"/>
    <mergeCell ref="A1324:D1324"/>
    <mergeCell ref="A1297:D1297"/>
    <mergeCell ref="A2310:D2310"/>
    <mergeCell ref="A2337:D2337"/>
    <mergeCell ref="A2338:D2338"/>
    <mergeCell ref="A2362:D2362"/>
    <mergeCell ref="A2363:D2363"/>
    <mergeCell ref="A2364:D2364"/>
    <mergeCell ref="A2077:D2077"/>
    <mergeCell ref="A2078:D2078"/>
    <mergeCell ref="A2102:D2102"/>
    <mergeCell ref="A2259:D2259"/>
    <mergeCell ref="A2233:D2233"/>
    <mergeCell ref="A2234:D2234"/>
    <mergeCell ref="A2258:D2258"/>
    <mergeCell ref="A2051:D2051"/>
    <mergeCell ref="A2052:D2052"/>
    <mergeCell ref="A2076:D2076"/>
    <mergeCell ref="A2389:D2389"/>
    <mergeCell ref="A2390:D2390"/>
    <mergeCell ref="A2414:D2414"/>
    <mergeCell ref="A2260:D2260"/>
    <mergeCell ref="A2285:D2285"/>
    <mergeCell ref="A2286:D2286"/>
    <mergeCell ref="A2311:D2311"/>
    <mergeCell ref="A2312:D2312"/>
    <mergeCell ref="A2336:D2336"/>
    <mergeCell ref="A2103:D2103"/>
    <mergeCell ref="A2104:D2104"/>
    <mergeCell ref="A2128:D2128"/>
    <mergeCell ref="A2129:D2129"/>
    <mergeCell ref="A2130:D2130"/>
    <mergeCell ref="A2154:D2154"/>
    <mergeCell ref="A2155:D2155"/>
    <mergeCell ref="A2156:D2156"/>
    <mergeCell ref="A2180:D2180"/>
  </mergeCells>
  <phoneticPr fontId="8" type="noConversion"/>
  <printOptions horizontalCentered="1" verticalCentered="1"/>
  <pageMargins left="0.62309027777777803" right="0.39370078740157499" top="0.74803149606299202" bottom="0.74803149606299202" header="0.31496062992126" footer="0.31496062992126"/>
  <pageSetup paperSize="9" firstPageNumber="44" fitToHeight="0" orientation="landscape" useFirstPageNumber="1" r:id="rId2"/>
  <headerFooter>
    <oddHeader>&amp;L&amp;G&amp;R&amp;K05-021KATSINA STATE GOVERNMENT 2021 APPROVED APPROPRIATION LAW</oddHeader>
    <oddFooter>&amp;L&amp;K05-020KATSINA STATE GOVERNMENT 2021 APPROVED APPROPRIATION LAW&amp;C&amp;12&amp;P&amp;R&amp;G</oddFooter>
  </headerFooter>
  <rowBreaks count="92" manualBreakCount="92">
    <brk id="27" max="4" man="1"/>
    <brk id="53" max="4" man="1"/>
    <brk id="79" max="4" man="1"/>
    <brk id="105" max="4" man="1"/>
    <brk id="130" max="4" man="1"/>
    <brk id="156" max="4" man="1"/>
    <brk id="182" max="4" man="1"/>
    <brk id="208" max="4" man="1"/>
    <brk id="234" max="4" man="1"/>
    <brk id="260" max="4" man="1"/>
    <brk id="286" max="4" man="1"/>
    <brk id="312" max="4" man="1"/>
    <brk id="337" max="4" man="1"/>
    <brk id="363" max="4" man="1"/>
    <brk id="389" max="4" man="1"/>
    <brk id="415" max="4" man="1"/>
    <brk id="441" max="4" man="1"/>
    <brk id="467" max="4" man="1"/>
    <brk id="492" max="4" man="1"/>
    <brk id="517" max="4" man="1"/>
    <brk id="543" max="4" man="1"/>
    <brk id="570" max="4" man="1"/>
    <brk id="596" max="4" man="1"/>
    <brk id="622" max="4" man="1"/>
    <brk id="648" max="4" man="1"/>
    <brk id="674" max="4" man="1"/>
    <brk id="700" max="4" man="1"/>
    <brk id="726" max="4" man="1"/>
    <brk id="752" max="4" man="1"/>
    <brk id="778" max="4" man="1"/>
    <brk id="804" max="4" man="1"/>
    <brk id="830" max="4" man="1"/>
    <brk id="856" max="4" man="1"/>
    <brk id="882" max="4" man="1"/>
    <brk id="908" max="4" man="1"/>
    <brk id="934" max="4" man="1"/>
    <brk id="959" max="3" man="1"/>
    <brk id="985" max="3" man="1"/>
    <brk id="1011" max="3" man="1"/>
    <brk id="1037" max="3" man="1"/>
    <brk id="1063" max="3" man="1"/>
    <brk id="1090" max="4" man="1"/>
    <brk id="1116" max="4" man="1"/>
    <brk id="1141" max="3" man="1"/>
    <brk id="1168" max="4" man="1"/>
    <brk id="1194" max="4" man="1"/>
    <brk id="1219" max="4" man="1"/>
    <brk id="1244" max="4" man="1"/>
    <brk id="1270" max="4" man="1"/>
    <brk id="1296" max="4" man="1"/>
    <brk id="1322" max="4" man="1"/>
    <brk id="1348" max="4" man="1"/>
    <brk id="1374" max="4" man="1"/>
    <brk id="1400" max="4" man="1"/>
    <brk id="1426" max="4" man="1"/>
    <brk id="1452" max="4" man="1"/>
    <brk id="1478" max="4" man="1"/>
    <brk id="1504" max="4" man="1"/>
    <brk id="1530" max="4" man="1"/>
    <brk id="1556" max="4" man="1"/>
    <brk id="1582" max="4" man="1"/>
    <brk id="1608" max="4" man="1"/>
    <brk id="1634" max="4" man="1"/>
    <brk id="1660" max="4" man="1"/>
    <brk id="1686" max="4" man="1"/>
    <brk id="1712" max="4" man="1"/>
    <brk id="1738" max="4" man="1"/>
    <brk id="1764" max="4" man="1"/>
    <brk id="1790" max="4" man="1"/>
    <brk id="1816" max="4" man="1"/>
    <brk id="1842" max="4" man="1"/>
    <brk id="1868" max="4" man="1"/>
    <brk id="1894" max="4" man="1"/>
    <brk id="1920" max="4" man="1"/>
    <brk id="1946" max="4" man="1"/>
    <brk id="1972" max="4" man="1"/>
    <brk id="1998" max="4" man="1"/>
    <brk id="2024" max="4" man="1"/>
    <brk id="2050" max="3" man="1"/>
    <brk id="2076" max="4" man="1"/>
    <brk id="2102" max="3" man="1"/>
    <brk id="2128" max="3" man="1"/>
    <brk id="2154" max="3" man="1"/>
    <brk id="2180" max="3" man="1"/>
    <brk id="2206" max="3" man="1"/>
    <brk id="2232" max="3" man="1"/>
    <brk id="2258" max="4" man="1"/>
    <brk id="2284" max="4" man="1"/>
    <brk id="2310" max="4" man="1"/>
    <brk id="2336" max="4" man="1"/>
    <brk id="2362" max="4" man="1"/>
    <brk id="2388" max="4" man="1"/>
  </rowBreaks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31"/>
  <sheetViews>
    <sheetView view="pageLayout" topLeftCell="A2314" zoomScale="40" zoomScaleNormal="73" zoomScaleSheetLayoutView="80" zoomScalePageLayoutView="40" workbookViewId="0">
      <selection activeCell="B2263" sqref="B2263"/>
    </sheetView>
  </sheetViews>
  <sheetFormatPr defaultRowHeight="20.25" x14ac:dyDescent="0.2"/>
  <cols>
    <col min="1" max="1" width="19.85546875" style="1984" customWidth="1"/>
    <col min="2" max="2" width="97" style="1984" customWidth="1"/>
    <col min="3" max="3" width="29.140625" style="2082" customWidth="1"/>
    <col min="4" max="4" width="23.28515625" style="1984" customWidth="1"/>
    <col min="5" max="5" width="27.42578125" style="2082" customWidth="1"/>
    <col min="6" max="6" width="11.28515625" style="1984" customWidth="1"/>
    <col min="7" max="16384" width="9.140625" style="1984"/>
  </cols>
  <sheetData>
    <row r="1" spans="1:5" x14ac:dyDescent="0.2">
      <c r="A1" s="3477"/>
      <c r="B1" s="3477"/>
      <c r="C1" s="3477"/>
      <c r="D1" s="3477"/>
      <c r="E1" s="3477"/>
    </row>
    <row r="2" spans="1:5" x14ac:dyDescent="0.2">
      <c r="A2" s="3477" t="s">
        <v>1855</v>
      </c>
      <c r="B2" s="3477"/>
      <c r="C2" s="3477"/>
      <c r="D2" s="3477"/>
      <c r="E2" s="3477"/>
    </row>
    <row r="3" spans="1:5" ht="21" thickBot="1" x14ac:dyDescent="0.25">
      <c r="A3" s="3476" t="s">
        <v>1180</v>
      </c>
      <c r="B3" s="3476"/>
      <c r="C3" s="3476"/>
      <c r="D3" s="3476"/>
      <c r="E3" s="3476"/>
    </row>
    <row r="4" spans="1:5" ht="81.75" thickBot="1" x14ac:dyDescent="0.35">
      <c r="A4" s="1985" t="s">
        <v>1014</v>
      </c>
      <c r="B4" s="1986" t="s">
        <v>282</v>
      </c>
      <c r="C4" s="1987" t="s">
        <v>1174</v>
      </c>
      <c r="D4" s="1987" t="s">
        <v>1145</v>
      </c>
      <c r="E4" s="1987" t="s">
        <v>3096</v>
      </c>
    </row>
    <row r="5" spans="1:5" ht="21" thickBot="1" x14ac:dyDescent="0.25">
      <c r="A5" s="1988">
        <v>22020100</v>
      </c>
      <c r="B5" s="1989" t="s">
        <v>64</v>
      </c>
      <c r="C5" s="1994">
        <f>SUM(C6:C9)</f>
        <v>314000000</v>
      </c>
      <c r="D5" s="1995">
        <f>SUM(D6:D9)</f>
        <v>195020000</v>
      </c>
      <c r="E5" s="1996">
        <f>SUM(E6:E9)</f>
        <v>314000000</v>
      </c>
    </row>
    <row r="6" spans="1:5" x14ac:dyDescent="0.2">
      <c r="A6" s="1861">
        <v>22020101</v>
      </c>
      <c r="B6" s="1991" t="s">
        <v>3287</v>
      </c>
      <c r="C6" s="152">
        <v>200000000</v>
      </c>
      <c r="D6" s="1990">
        <v>185020000</v>
      </c>
      <c r="E6" s="1990">
        <v>200000000</v>
      </c>
    </row>
    <row r="7" spans="1:5" x14ac:dyDescent="0.2">
      <c r="A7" s="1861">
        <v>22020102</v>
      </c>
      <c r="B7" s="151" t="s">
        <v>1040</v>
      </c>
      <c r="C7" s="152">
        <v>10000000</v>
      </c>
      <c r="D7" s="1990">
        <v>10000000</v>
      </c>
      <c r="E7" s="1990">
        <v>10000000</v>
      </c>
    </row>
    <row r="8" spans="1:5" x14ac:dyDescent="0.2">
      <c r="A8" s="1861">
        <v>22020103</v>
      </c>
      <c r="B8" s="151" t="s">
        <v>3288</v>
      </c>
      <c r="C8" s="152">
        <v>100000000</v>
      </c>
      <c r="D8" s="1990">
        <v>0</v>
      </c>
      <c r="E8" s="1990">
        <v>100000000</v>
      </c>
    </row>
    <row r="9" spans="1:5" ht="21" thickBot="1" x14ac:dyDescent="0.25">
      <c r="A9" s="1861">
        <v>22020104</v>
      </c>
      <c r="B9" s="151" t="s">
        <v>12</v>
      </c>
      <c r="C9" s="1892">
        <v>4000000</v>
      </c>
      <c r="D9" s="1992"/>
      <c r="E9" s="1992">
        <v>4000000</v>
      </c>
    </row>
    <row r="10" spans="1:5" ht="21" thickBot="1" x14ac:dyDescent="0.25">
      <c r="A10" s="1998">
        <v>22020300</v>
      </c>
      <c r="B10" s="1999" t="s">
        <v>66</v>
      </c>
      <c r="C10" s="1994">
        <f>SUM(C11:C13)</f>
        <v>410500000</v>
      </c>
      <c r="D10" s="1995">
        <f>SUM(D11:D13)</f>
        <v>176240715</v>
      </c>
      <c r="E10" s="1996">
        <f>SUM(E11:E13)</f>
        <v>412000000</v>
      </c>
    </row>
    <row r="11" spans="1:5" x14ac:dyDescent="0.2">
      <c r="A11" s="1861">
        <v>22020301</v>
      </c>
      <c r="B11" s="151" t="s">
        <v>17</v>
      </c>
      <c r="C11" s="152">
        <v>7000000</v>
      </c>
      <c r="D11" s="1990">
        <v>3500000</v>
      </c>
      <c r="E11" s="1990">
        <v>7000000</v>
      </c>
    </row>
    <row r="12" spans="1:5" x14ac:dyDescent="0.2">
      <c r="A12" s="1861">
        <v>22020303</v>
      </c>
      <c r="B12" s="151" t="s">
        <v>4298</v>
      </c>
      <c r="C12" s="152">
        <v>400000000</v>
      </c>
      <c r="D12" s="1990">
        <v>168038185</v>
      </c>
      <c r="E12" s="1990">
        <v>400000000</v>
      </c>
    </row>
    <row r="13" spans="1:5" ht="21" thickBot="1" x14ac:dyDescent="0.25">
      <c r="A13" s="1861">
        <v>22020307</v>
      </c>
      <c r="B13" s="151" t="s">
        <v>22</v>
      </c>
      <c r="C13" s="1892">
        <v>3500000</v>
      </c>
      <c r="D13" s="1992">
        <v>4702530</v>
      </c>
      <c r="E13" s="1992">
        <v>5000000</v>
      </c>
    </row>
    <row r="14" spans="1:5" ht="21" thickBot="1" x14ac:dyDescent="0.25">
      <c r="A14" s="1998">
        <v>22020400</v>
      </c>
      <c r="B14" s="1999" t="s">
        <v>67</v>
      </c>
      <c r="C14" s="2001">
        <f>SUM(C15:C18)</f>
        <v>519575000</v>
      </c>
      <c r="D14" s="2001">
        <f>SUM(D15:D18)</f>
        <v>387769420</v>
      </c>
      <c r="E14" s="2001">
        <f>SUM(E15:E18)</f>
        <v>574575000</v>
      </c>
    </row>
    <row r="15" spans="1:5" x14ac:dyDescent="0.2">
      <c r="A15" s="1861">
        <v>22020401</v>
      </c>
      <c r="B15" s="151" t="s">
        <v>79</v>
      </c>
      <c r="C15" s="152">
        <v>105000000</v>
      </c>
      <c r="D15" s="1990">
        <v>37586830</v>
      </c>
      <c r="E15" s="1990">
        <v>105000000</v>
      </c>
    </row>
    <row r="16" spans="1:5" x14ac:dyDescent="0.2">
      <c r="A16" s="1861">
        <v>22020403</v>
      </c>
      <c r="B16" s="151" t="s">
        <v>577</v>
      </c>
      <c r="C16" s="1990">
        <v>10500000</v>
      </c>
      <c r="D16" s="1990">
        <v>5250000</v>
      </c>
      <c r="E16" s="1990">
        <v>10500000</v>
      </c>
    </row>
    <row r="17" spans="1:5" x14ac:dyDescent="0.2">
      <c r="A17" s="1861">
        <v>22020406</v>
      </c>
      <c r="B17" s="151" t="s">
        <v>578</v>
      </c>
      <c r="C17" s="1892">
        <v>295000000</v>
      </c>
      <c r="D17" s="1992">
        <v>285213446</v>
      </c>
      <c r="E17" s="1992">
        <v>350000000</v>
      </c>
    </row>
    <row r="18" spans="1:5" ht="21" thickBot="1" x14ac:dyDescent="0.25">
      <c r="A18" s="1861">
        <v>22020406</v>
      </c>
      <c r="B18" s="151" t="s">
        <v>4297</v>
      </c>
      <c r="C18" s="2000">
        <v>109075000</v>
      </c>
      <c r="D18" s="2000">
        <v>59719144</v>
      </c>
      <c r="E18" s="2000">
        <v>109075000</v>
      </c>
    </row>
    <row r="19" spans="1:5" ht="21" thickBot="1" x14ac:dyDescent="0.25">
      <c r="A19" s="2005">
        <v>22020600</v>
      </c>
      <c r="B19" s="2006" t="s">
        <v>1154</v>
      </c>
      <c r="C19" s="1994">
        <f>SUM(C20:C21)</f>
        <v>857000000</v>
      </c>
      <c r="D19" s="1995">
        <f>SUM(D20:D21)</f>
        <v>624448612</v>
      </c>
      <c r="E19" s="2009">
        <f>SUM(E20:E21)</f>
        <v>857000000</v>
      </c>
    </row>
    <row r="20" spans="1:5" x14ac:dyDescent="0.2">
      <c r="A20" s="1861">
        <v>22020601</v>
      </c>
      <c r="B20" s="151" t="s">
        <v>31</v>
      </c>
      <c r="C20" s="2000">
        <v>7000000</v>
      </c>
      <c r="D20" s="1990">
        <v>4022990</v>
      </c>
      <c r="E20" s="2000">
        <v>7000000</v>
      </c>
    </row>
    <row r="21" spans="1:5" ht="21" thickBot="1" x14ac:dyDescent="0.25">
      <c r="A21" s="1861">
        <v>22020604</v>
      </c>
      <c r="B21" s="151" t="s">
        <v>1155</v>
      </c>
      <c r="C21" s="152">
        <v>850000000</v>
      </c>
      <c r="D21" s="1990">
        <v>620425622</v>
      </c>
      <c r="E21" s="1990">
        <v>850000000</v>
      </c>
    </row>
    <row r="22" spans="1:5" ht="21" thickBot="1" x14ac:dyDescent="0.25">
      <c r="A22" s="1993">
        <v>22020800</v>
      </c>
      <c r="B22" s="2010" t="s">
        <v>71</v>
      </c>
      <c r="C22" s="1994">
        <f>SUM(C23:C23)</f>
        <v>250000000</v>
      </c>
      <c r="D22" s="1995">
        <f>SUM(D23:D23)</f>
        <v>120000000</v>
      </c>
      <c r="E22" s="2009">
        <f>SUM(E23:E23)</f>
        <v>250000000</v>
      </c>
    </row>
    <row r="23" spans="1:5" ht="21" thickBot="1" x14ac:dyDescent="0.25">
      <c r="A23" s="1861">
        <v>22020801</v>
      </c>
      <c r="B23" s="151" t="s">
        <v>39</v>
      </c>
      <c r="C23" s="1892">
        <v>250000000</v>
      </c>
      <c r="D23" s="1992">
        <v>120000000</v>
      </c>
      <c r="E23" s="1992">
        <v>250000000</v>
      </c>
    </row>
    <row r="24" spans="1:5" ht="21" thickBot="1" x14ac:dyDescent="0.25">
      <c r="A24" s="1993">
        <v>22021000</v>
      </c>
      <c r="B24" s="2010" t="s">
        <v>73</v>
      </c>
      <c r="C24" s="1994">
        <f>SUM(C25:C26)</f>
        <v>193500000</v>
      </c>
      <c r="D24" s="2011">
        <f>SUM(D25:D26)</f>
        <v>125480000</v>
      </c>
      <c r="E24" s="2012">
        <f>SUM(E25:E26)</f>
        <v>193500000</v>
      </c>
    </row>
    <row r="25" spans="1:5" x14ac:dyDescent="0.2">
      <c r="A25" s="1861">
        <v>22021001</v>
      </c>
      <c r="B25" s="151" t="s">
        <v>41</v>
      </c>
      <c r="C25" s="2000">
        <f>169000000+10500000</f>
        <v>179500000</v>
      </c>
      <c r="D25" s="1990">
        <v>118480000</v>
      </c>
      <c r="E25" s="708">
        <f>169000000+10500000</f>
        <v>179500000</v>
      </c>
    </row>
    <row r="26" spans="1:5" x14ac:dyDescent="0.2">
      <c r="A26" s="1861">
        <v>22021006</v>
      </c>
      <c r="B26" s="1991" t="s">
        <v>43</v>
      </c>
      <c r="C26" s="152">
        <v>14000000</v>
      </c>
      <c r="D26" s="1990">
        <v>7000000</v>
      </c>
      <c r="E26" s="1990">
        <v>14000000</v>
      </c>
    </row>
    <row r="27" spans="1:5" ht="21" thickBot="1" x14ac:dyDescent="0.25">
      <c r="A27" s="2013"/>
      <c r="B27" s="2014"/>
      <c r="C27" s="2007"/>
      <c r="D27" s="2015"/>
      <c r="E27" s="2016"/>
    </row>
    <row r="28" spans="1:5" s="1997" customFormat="1" ht="21" thickBot="1" x14ac:dyDescent="0.25">
      <c r="A28" s="2017"/>
      <c r="B28" s="2018" t="s">
        <v>1322</v>
      </c>
      <c r="C28" s="2018">
        <f>SUM(C5,C10,C14,C19,C22,C24)</f>
        <v>2544575000</v>
      </c>
      <c r="D28" s="2018">
        <f>SUM(D5,D10,D14,D19,D22,D24)</f>
        <v>1628958747</v>
      </c>
      <c r="E28" s="2018">
        <f>SUM(E5,E10,E14,E19,E22,E24)</f>
        <v>2601075000</v>
      </c>
    </row>
    <row r="29" spans="1:5" x14ac:dyDescent="0.2">
      <c r="A29" s="3478"/>
      <c r="B29" s="3478"/>
      <c r="C29" s="3478"/>
      <c r="D29" s="3478"/>
      <c r="E29" s="3478"/>
    </row>
    <row r="30" spans="1:5" x14ac:dyDescent="0.2">
      <c r="A30" s="3477" t="s">
        <v>1855</v>
      </c>
      <c r="B30" s="3477"/>
      <c r="C30" s="3477"/>
      <c r="D30" s="3477"/>
      <c r="E30" s="3477"/>
    </row>
    <row r="31" spans="1:5" x14ac:dyDescent="0.2">
      <c r="A31" s="3477" t="s">
        <v>1432</v>
      </c>
      <c r="B31" s="3477"/>
      <c r="C31" s="3477"/>
      <c r="D31" s="3477"/>
      <c r="E31" s="3477"/>
    </row>
    <row r="32" spans="1:5" ht="21" thickBot="1" x14ac:dyDescent="0.25">
      <c r="A32" s="3477" t="s">
        <v>1431</v>
      </c>
      <c r="B32" s="3477"/>
      <c r="C32" s="3477"/>
      <c r="D32" s="3477"/>
      <c r="E32" s="3477"/>
    </row>
    <row r="33" spans="1:5" ht="81.75" thickBot="1" x14ac:dyDescent="0.35">
      <c r="A33" s="2004" t="s">
        <v>1014</v>
      </c>
      <c r="B33" s="2004" t="s">
        <v>282</v>
      </c>
      <c r="C33" s="173" t="s">
        <v>1174</v>
      </c>
      <c r="D33" s="173" t="s">
        <v>1145</v>
      </c>
      <c r="E33" s="173" t="s">
        <v>3096</v>
      </c>
    </row>
    <row r="34" spans="1:5" ht="21" thickBot="1" x14ac:dyDescent="0.25">
      <c r="A34" s="2019"/>
      <c r="B34" s="2020"/>
      <c r="C34" s="2021"/>
      <c r="D34" s="2022"/>
      <c r="E34" s="2023"/>
    </row>
    <row r="35" spans="1:5" ht="21" thickBot="1" x14ac:dyDescent="0.25">
      <c r="A35" s="1993">
        <v>22020100</v>
      </c>
      <c r="B35" s="2010" t="s">
        <v>64</v>
      </c>
      <c r="C35" s="2018">
        <f>SUM(C36:C39)</f>
        <v>82907400</v>
      </c>
      <c r="D35" s="2018">
        <f>SUM(D36:D39)</f>
        <v>41545930</v>
      </c>
      <c r="E35" s="2018">
        <f>SUM(E36:E39)</f>
        <v>82907400</v>
      </c>
    </row>
    <row r="36" spans="1:5" x14ac:dyDescent="0.2">
      <c r="A36" s="1861">
        <v>22020101</v>
      </c>
      <c r="B36" s="151" t="s">
        <v>3289</v>
      </c>
      <c r="C36" s="152">
        <v>53060035</v>
      </c>
      <c r="D36" s="152">
        <v>38568866</v>
      </c>
      <c r="E36" s="152">
        <v>53060035</v>
      </c>
    </row>
    <row r="37" spans="1:5" x14ac:dyDescent="0.2">
      <c r="A37" s="1861">
        <v>22020102</v>
      </c>
      <c r="B37" s="151" t="s">
        <v>1040</v>
      </c>
      <c r="C37" s="152">
        <v>2000000</v>
      </c>
      <c r="D37" s="152">
        <v>2977064</v>
      </c>
      <c r="E37" s="152">
        <v>2000000</v>
      </c>
    </row>
    <row r="38" spans="1:5" x14ac:dyDescent="0.2">
      <c r="A38" s="1861">
        <v>22020103</v>
      </c>
      <c r="B38" s="151" t="s">
        <v>3290</v>
      </c>
      <c r="C38" s="152">
        <v>25582000</v>
      </c>
      <c r="D38" s="152"/>
      <c r="E38" s="152">
        <v>25582000</v>
      </c>
    </row>
    <row r="39" spans="1:5" ht="21" thickBot="1" x14ac:dyDescent="0.25">
      <c r="A39" s="1861">
        <v>22020104</v>
      </c>
      <c r="B39" s="2024" t="s">
        <v>1053</v>
      </c>
      <c r="C39" s="1892">
        <v>2265365</v>
      </c>
      <c r="D39" s="1892"/>
      <c r="E39" s="1892">
        <v>2265365</v>
      </c>
    </row>
    <row r="40" spans="1:5" ht="21" thickBot="1" x14ac:dyDescent="0.25">
      <c r="A40" s="1993">
        <v>22020300</v>
      </c>
      <c r="B40" s="2010" t="s">
        <v>66</v>
      </c>
      <c r="C40" s="2018">
        <f>SUM(C41:C41)</f>
        <v>1009397</v>
      </c>
      <c r="D40" s="2025">
        <v>504700</v>
      </c>
      <c r="E40" s="2018">
        <f>SUM(E41:E41)</f>
        <v>1009397</v>
      </c>
    </row>
    <row r="41" spans="1:5" ht="21" thickBot="1" x14ac:dyDescent="0.25">
      <c r="A41" s="1861">
        <v>22020301</v>
      </c>
      <c r="B41" s="151" t="s">
        <v>17</v>
      </c>
      <c r="C41" s="1892">
        <v>1009397</v>
      </c>
      <c r="D41" s="1892">
        <v>504700</v>
      </c>
      <c r="E41" s="1892">
        <v>1009397</v>
      </c>
    </row>
    <row r="42" spans="1:5" ht="21" thickBot="1" x14ac:dyDescent="0.25">
      <c r="A42" s="1993">
        <v>22020400</v>
      </c>
      <c r="B42" s="2010" t="s">
        <v>67</v>
      </c>
      <c r="C42" s="2026">
        <f>SUM(C43:C43)</f>
        <v>9800000</v>
      </c>
      <c r="D42" s="2026">
        <f>SUM(D43:D43)</f>
        <v>9867500</v>
      </c>
      <c r="E42" s="2026">
        <f>SUM(E43:E43)</f>
        <v>14000000</v>
      </c>
    </row>
    <row r="43" spans="1:5" ht="21" thickBot="1" x14ac:dyDescent="0.25">
      <c r="A43" s="1861">
        <v>22020401</v>
      </c>
      <c r="B43" s="2024" t="s">
        <v>79</v>
      </c>
      <c r="C43" s="1892">
        <v>9800000</v>
      </c>
      <c r="D43" s="1892">
        <v>9867500</v>
      </c>
      <c r="E43" s="1892">
        <v>14000000</v>
      </c>
    </row>
    <row r="44" spans="1:5" ht="21" thickBot="1" x14ac:dyDescent="0.25">
      <c r="A44" s="1993">
        <v>22020600</v>
      </c>
      <c r="B44" s="2027" t="s">
        <v>1152</v>
      </c>
      <c r="C44" s="2026">
        <f>SUM(C45:C45)</f>
        <v>152505979</v>
      </c>
      <c r="D44" s="2026">
        <f>SUM(D45:D45)</f>
        <v>101252992</v>
      </c>
      <c r="E44" s="2026">
        <f>SUM(E45:E45)</f>
        <v>152505979</v>
      </c>
    </row>
    <row r="45" spans="1:5" ht="21" thickBot="1" x14ac:dyDescent="0.35">
      <c r="A45" s="1861">
        <v>22020601</v>
      </c>
      <c r="B45" s="174" t="s">
        <v>1153</v>
      </c>
      <c r="C45" s="2028">
        <f>150000000+1455979+1050000</f>
        <v>152505979</v>
      </c>
      <c r="D45" s="2029">
        <v>101252992</v>
      </c>
      <c r="E45" s="2028">
        <f>150000000+1455979+1050000</f>
        <v>152505979</v>
      </c>
    </row>
    <row r="46" spans="1:5" ht="21" thickBot="1" x14ac:dyDescent="0.25">
      <c r="A46" s="1993">
        <v>22020800</v>
      </c>
      <c r="B46" s="2030" t="s">
        <v>71</v>
      </c>
      <c r="C46" s="2018">
        <f>SUM(C47:C47)</f>
        <v>51500000</v>
      </c>
      <c r="D46" s="2018">
        <f>SUM(D47:D47)</f>
        <v>43565743</v>
      </c>
      <c r="E46" s="2018">
        <f>SUM(E47:E47)</f>
        <v>61500000</v>
      </c>
    </row>
    <row r="47" spans="1:5" ht="21" thickBot="1" x14ac:dyDescent="0.25">
      <c r="A47" s="1861">
        <v>22020801</v>
      </c>
      <c r="B47" s="151" t="s">
        <v>39</v>
      </c>
      <c r="C47" s="152">
        <v>51500000</v>
      </c>
      <c r="D47" s="152">
        <v>43565743</v>
      </c>
      <c r="E47" s="152">
        <v>61500000</v>
      </c>
    </row>
    <row r="48" spans="1:5" ht="21" thickBot="1" x14ac:dyDescent="0.25">
      <c r="A48" s="1993">
        <v>22021000</v>
      </c>
      <c r="B48" s="2010" t="s">
        <v>73</v>
      </c>
      <c r="C48" s="2062">
        <f>SUM(C49:C50)</f>
        <v>16822400</v>
      </c>
      <c r="D48" s="2018">
        <f>SUM(D49:D50)</f>
        <v>10981600</v>
      </c>
      <c r="E48" s="2018">
        <f>SUM(E49:E50)</f>
        <v>16822400</v>
      </c>
    </row>
    <row r="49" spans="1:5" x14ac:dyDescent="0.2">
      <c r="A49" s="1861">
        <v>22021001</v>
      </c>
      <c r="B49" s="151" t="s">
        <v>41</v>
      </c>
      <c r="C49" s="2075">
        <v>1400000</v>
      </c>
      <c r="D49" s="152">
        <v>700000</v>
      </c>
      <c r="E49" s="152">
        <v>1400000</v>
      </c>
    </row>
    <row r="50" spans="1:5" ht="21" thickBot="1" x14ac:dyDescent="0.25">
      <c r="A50" s="1861">
        <v>22021002</v>
      </c>
      <c r="B50" s="151" t="s">
        <v>579</v>
      </c>
      <c r="C50" s="2075">
        <v>15422400</v>
      </c>
      <c r="D50" s="152">
        <v>10281600</v>
      </c>
      <c r="E50" s="152">
        <v>15422400</v>
      </c>
    </row>
    <row r="51" spans="1:5" ht="21" thickBot="1" x14ac:dyDescent="0.35">
      <c r="A51" s="3131"/>
      <c r="B51" s="151"/>
      <c r="C51" s="2015"/>
      <c r="D51" s="2031"/>
      <c r="E51" s="2032"/>
    </row>
    <row r="52" spans="1:5" s="1997" customFormat="1" ht="21" thickBot="1" x14ac:dyDescent="0.25">
      <c r="A52" s="2104"/>
      <c r="B52" s="2105" t="s">
        <v>1323</v>
      </c>
      <c r="C52" s="2062">
        <f>SUM(C35,C40,C42,C44,C46,C48)</f>
        <v>314545176</v>
      </c>
      <c r="D52" s="2018">
        <f>SUM(D35,D40,D42,D44,D46,D48)</f>
        <v>207718465</v>
      </c>
      <c r="E52" s="2018">
        <f>SUM(E35,E40,E42,E44,E46,E48)</f>
        <v>328745176</v>
      </c>
    </row>
    <row r="53" spans="1:5" x14ac:dyDescent="0.2">
      <c r="A53" s="3477"/>
      <c r="B53" s="3477"/>
      <c r="C53" s="3477"/>
      <c r="D53" s="3477"/>
      <c r="E53" s="3477"/>
    </row>
    <row r="54" spans="1:5" x14ac:dyDescent="0.2">
      <c r="A54" s="3478" t="s">
        <v>1856</v>
      </c>
      <c r="B54" s="3478"/>
      <c r="C54" s="3478"/>
      <c r="D54" s="3478"/>
      <c r="E54" s="3478"/>
    </row>
    <row r="55" spans="1:5" x14ac:dyDescent="0.2">
      <c r="A55" s="3478" t="s">
        <v>641</v>
      </c>
      <c r="B55" s="3478"/>
      <c r="C55" s="3478"/>
      <c r="D55" s="3478"/>
      <c r="E55" s="3478"/>
    </row>
    <row r="56" spans="1:5" ht="21" thickBot="1" x14ac:dyDescent="0.25">
      <c r="A56" s="3476" t="s">
        <v>1158</v>
      </c>
      <c r="B56" s="3476"/>
      <c r="C56" s="3476"/>
      <c r="D56" s="3476"/>
      <c r="E56" s="3476"/>
    </row>
    <row r="57" spans="1:5" ht="81.75" thickBot="1" x14ac:dyDescent="0.35">
      <c r="A57" s="2004" t="s">
        <v>1014</v>
      </c>
      <c r="B57" s="2004" t="s">
        <v>282</v>
      </c>
      <c r="C57" s="173" t="s">
        <v>1174</v>
      </c>
      <c r="D57" s="173" t="s">
        <v>1145</v>
      </c>
      <c r="E57" s="173" t="s">
        <v>3096</v>
      </c>
    </row>
    <row r="58" spans="1:5" ht="21" thickBot="1" x14ac:dyDescent="0.25">
      <c r="A58" s="2035">
        <v>22020100</v>
      </c>
      <c r="B58" s="2036" t="s">
        <v>64</v>
      </c>
      <c r="C58" s="2018">
        <f>SUM(C59:C60)</f>
        <v>2660000</v>
      </c>
      <c r="D58" s="2018">
        <f>SUM(D59:D60)</f>
        <v>1586000</v>
      </c>
      <c r="E58" s="2018">
        <f>SUM(E59:E60)</f>
        <v>3660000</v>
      </c>
    </row>
    <row r="59" spans="1:5" x14ac:dyDescent="0.2">
      <c r="A59" s="1861">
        <v>22020102</v>
      </c>
      <c r="B59" s="151" t="s">
        <v>10</v>
      </c>
      <c r="C59" s="152">
        <v>2660000</v>
      </c>
      <c r="D59" s="152">
        <v>1586000</v>
      </c>
      <c r="E59" s="152">
        <v>2660000</v>
      </c>
    </row>
    <row r="60" spans="1:5" ht="21" thickBot="1" x14ac:dyDescent="0.25">
      <c r="A60" s="1861">
        <v>22020103</v>
      </c>
      <c r="B60" s="151" t="s">
        <v>3033</v>
      </c>
      <c r="C60" s="1892"/>
      <c r="D60" s="1892"/>
      <c r="E60" s="1892">
        <v>1000000</v>
      </c>
    </row>
    <row r="61" spans="1:5" ht="21" thickBot="1" x14ac:dyDescent="0.25">
      <c r="A61" s="1993">
        <v>22020200</v>
      </c>
      <c r="B61" s="2010" t="s">
        <v>65</v>
      </c>
      <c r="C61" s="1994">
        <f>SUM(C62:C63)</f>
        <v>23926404</v>
      </c>
      <c r="D61" s="2011">
        <f>SUM(D62:D63)</f>
        <v>11360094</v>
      </c>
      <c r="E61" s="2012">
        <f>SUM(E62:E63)</f>
        <v>29613484</v>
      </c>
    </row>
    <row r="62" spans="1:5" x14ac:dyDescent="0.2">
      <c r="A62" s="1861">
        <v>22020201</v>
      </c>
      <c r="B62" s="151" t="s">
        <v>13</v>
      </c>
      <c r="C62" s="2000">
        <v>22306742</v>
      </c>
      <c r="D62" s="175">
        <v>11360094</v>
      </c>
      <c r="E62" s="2000">
        <v>22306742</v>
      </c>
    </row>
    <row r="63" spans="1:5" ht="21" thickBot="1" x14ac:dyDescent="0.25">
      <c r="A63" s="1861">
        <v>22020204</v>
      </c>
      <c r="B63" s="151" t="s">
        <v>1159</v>
      </c>
      <c r="C63" s="2037">
        <f>770000+849662</f>
        <v>1619662</v>
      </c>
      <c r="D63" s="172"/>
      <c r="E63" s="1892">
        <v>7306742</v>
      </c>
    </row>
    <row r="64" spans="1:5" ht="21" thickBot="1" x14ac:dyDescent="0.25">
      <c r="A64" s="1993">
        <v>22020300</v>
      </c>
      <c r="B64" s="2010" t="s">
        <v>66</v>
      </c>
      <c r="C64" s="2018">
        <f>SUM(C65:C66)</f>
        <v>126939617</v>
      </c>
      <c r="D64" s="2018">
        <f>SUM(D65:D66)</f>
        <v>41006007</v>
      </c>
      <c r="E64" s="2018">
        <f>SUM(E65:E66)</f>
        <v>126939617</v>
      </c>
    </row>
    <row r="65" spans="1:5" x14ac:dyDescent="0.2">
      <c r="A65" s="1861">
        <v>22020301</v>
      </c>
      <c r="B65" s="151" t="s">
        <v>17</v>
      </c>
      <c r="C65" s="152">
        <v>939617</v>
      </c>
      <c r="D65" s="175">
        <v>367507</v>
      </c>
      <c r="E65" s="152">
        <v>939617</v>
      </c>
    </row>
    <row r="66" spans="1:5" x14ac:dyDescent="0.2">
      <c r="A66" s="1861">
        <v>22020311</v>
      </c>
      <c r="B66" s="151" t="s">
        <v>3042</v>
      </c>
      <c r="C66" s="1892">
        <v>126000000</v>
      </c>
      <c r="D66" s="172">
        <v>40638500</v>
      </c>
      <c r="E66" s="1892">
        <v>126000000</v>
      </c>
    </row>
    <row r="67" spans="1:5" ht="21" thickBot="1" x14ac:dyDescent="0.25">
      <c r="A67" s="1993">
        <v>22020400</v>
      </c>
      <c r="B67" s="2010" t="s">
        <v>67</v>
      </c>
      <c r="C67" s="2038">
        <f>SUM(C68:C70)</f>
        <v>4137387</v>
      </c>
      <c r="D67" s="2038">
        <f>SUM(D68:D70)</f>
        <v>2260721</v>
      </c>
      <c r="E67" s="2038">
        <f>SUM(E68:E70)</f>
        <v>4137387</v>
      </c>
    </row>
    <row r="68" spans="1:5" x14ac:dyDescent="0.2">
      <c r="A68" s="1861">
        <v>22020401</v>
      </c>
      <c r="B68" s="2024" t="s">
        <v>79</v>
      </c>
      <c r="C68" s="152">
        <v>1463693</v>
      </c>
      <c r="D68" s="175">
        <v>564570</v>
      </c>
      <c r="E68" s="152">
        <v>1463693</v>
      </c>
    </row>
    <row r="69" spans="1:5" x14ac:dyDescent="0.2">
      <c r="A69" s="1861">
        <v>22020403</v>
      </c>
      <c r="B69" s="151" t="s">
        <v>181</v>
      </c>
      <c r="C69" s="2075">
        <v>1473694</v>
      </c>
      <c r="D69" s="175">
        <v>896151</v>
      </c>
      <c r="E69" s="152">
        <v>1473694</v>
      </c>
    </row>
    <row r="70" spans="1:5" x14ac:dyDescent="0.2">
      <c r="A70" s="1861">
        <v>22020406</v>
      </c>
      <c r="B70" s="151" t="s">
        <v>29</v>
      </c>
      <c r="C70" s="2075">
        <v>1200000</v>
      </c>
      <c r="D70" s="175">
        <v>800000</v>
      </c>
      <c r="E70" s="152">
        <v>1200000</v>
      </c>
    </row>
    <row r="71" spans="1:5" ht="21" thickBot="1" x14ac:dyDescent="0.25">
      <c r="A71" s="1993">
        <v>22021000</v>
      </c>
      <c r="B71" s="2010" t="s">
        <v>73</v>
      </c>
      <c r="C71" s="2072">
        <f>SUM(C72:C72)</f>
        <v>496671</v>
      </c>
      <c r="D71" s="2038">
        <f>SUM(D72:D72)</f>
        <v>191571</v>
      </c>
      <c r="E71" s="2038">
        <f>SUM(E72:E72)</f>
        <v>496671</v>
      </c>
    </row>
    <row r="72" spans="1:5" x14ac:dyDescent="0.2">
      <c r="A72" s="1861">
        <v>22021001</v>
      </c>
      <c r="B72" s="151" t="s">
        <v>41</v>
      </c>
      <c r="C72" s="2075">
        <v>496671</v>
      </c>
      <c r="D72" s="175">
        <v>191571</v>
      </c>
      <c r="E72" s="152">
        <v>496671</v>
      </c>
    </row>
    <row r="73" spans="1:5" ht="21" thickBot="1" x14ac:dyDescent="0.25">
      <c r="A73" s="1861"/>
      <c r="B73" s="151"/>
      <c r="C73" s="2008"/>
      <c r="D73" s="2015"/>
      <c r="E73" s="2007"/>
    </row>
    <row r="74" spans="1:5" ht="21" thickBot="1" x14ac:dyDescent="0.25">
      <c r="A74" s="2177"/>
      <c r="B74" s="2105" t="s">
        <v>1327</v>
      </c>
      <c r="C74" s="2062">
        <f>SUM(C58,C61,C64,C67,C71)</f>
        <v>158160079</v>
      </c>
      <c r="D74" s="2018">
        <f>SUM(D58,D61,D64,D67,D71)</f>
        <v>56404393</v>
      </c>
      <c r="E74" s="2018">
        <f>SUM(E58,E61,E64,E67,E71)</f>
        <v>164847159</v>
      </c>
    </row>
    <row r="75" spans="1:5" x14ac:dyDescent="0.2">
      <c r="A75" s="2043"/>
      <c r="B75" s="2044"/>
      <c r="C75" s="2045"/>
      <c r="D75" s="2045"/>
      <c r="E75" s="2045"/>
    </row>
    <row r="76" spans="1:5" x14ac:dyDescent="0.2">
      <c r="A76" s="3477" t="s">
        <v>1855</v>
      </c>
      <c r="B76" s="3477"/>
      <c r="C76" s="3477"/>
      <c r="D76" s="3477"/>
      <c r="E76" s="3477"/>
    </row>
    <row r="77" spans="1:5" x14ac:dyDescent="0.2">
      <c r="A77" s="3477" t="s">
        <v>1432</v>
      </c>
      <c r="B77" s="3477"/>
      <c r="C77" s="3477"/>
      <c r="D77" s="3477"/>
      <c r="E77" s="3477"/>
    </row>
    <row r="78" spans="1:5" ht="21" thickBot="1" x14ac:dyDescent="0.25">
      <c r="A78" s="3477" t="s">
        <v>699</v>
      </c>
      <c r="B78" s="3477"/>
      <c r="C78" s="3477"/>
      <c r="D78" s="3477"/>
      <c r="E78" s="3477"/>
    </row>
    <row r="79" spans="1:5" ht="81.75" thickBot="1" x14ac:dyDescent="0.35">
      <c r="A79" s="2004" t="s">
        <v>1014</v>
      </c>
      <c r="B79" s="2004" t="s">
        <v>282</v>
      </c>
      <c r="C79" s="173" t="s">
        <v>1174</v>
      </c>
      <c r="D79" s="173" t="s">
        <v>1145</v>
      </c>
      <c r="E79" s="173" t="s">
        <v>3096</v>
      </c>
    </row>
    <row r="80" spans="1:5" ht="21" thickBot="1" x14ac:dyDescent="0.25">
      <c r="A80" s="1993">
        <v>22020100</v>
      </c>
      <c r="B80" s="2010" t="s">
        <v>64</v>
      </c>
      <c r="C80" s="2018">
        <f>SUM(C81:C82)</f>
        <v>3597233</v>
      </c>
      <c r="D80" s="2018">
        <f>SUM(D81:D82)</f>
        <v>1525031</v>
      </c>
      <c r="E80" s="2018">
        <f>SUM(E81:E82)</f>
        <v>3597233</v>
      </c>
    </row>
    <row r="81" spans="1:5" x14ac:dyDescent="0.2">
      <c r="A81" s="1861">
        <v>22020101</v>
      </c>
      <c r="B81" s="151" t="s">
        <v>9</v>
      </c>
      <c r="C81" s="152">
        <v>1139000</v>
      </c>
      <c r="D81" s="152">
        <v>1106700</v>
      </c>
      <c r="E81" s="152">
        <v>1139000</v>
      </c>
    </row>
    <row r="82" spans="1:5" ht="21" thickBot="1" x14ac:dyDescent="0.25">
      <c r="A82" s="1861">
        <v>22020102</v>
      </c>
      <c r="B82" s="151" t="s">
        <v>10</v>
      </c>
      <c r="C82" s="2000">
        <f>1000000+1458233</f>
        <v>2458233</v>
      </c>
      <c r="D82" s="1892">
        <v>418331</v>
      </c>
      <c r="E82" s="2000">
        <f>1000000+1458233</f>
        <v>2458233</v>
      </c>
    </row>
    <row r="83" spans="1:5" ht="21" thickBot="1" x14ac:dyDescent="0.25">
      <c r="A83" s="1993">
        <v>22020200</v>
      </c>
      <c r="B83" s="2010" t="s">
        <v>65</v>
      </c>
      <c r="C83" s="2018">
        <f>SUM(C84:C84)</f>
        <v>454818</v>
      </c>
      <c r="D83" s="2018">
        <f>SUM(D84:D84)</f>
        <v>0</v>
      </c>
      <c r="E83" s="2018">
        <f>SUM(E84:E84)</f>
        <v>454818</v>
      </c>
    </row>
    <row r="84" spans="1:5" ht="21" thickBot="1" x14ac:dyDescent="0.25">
      <c r="A84" s="1861">
        <v>22020201</v>
      </c>
      <c r="B84" s="151" t="s">
        <v>13</v>
      </c>
      <c r="C84" s="1892">
        <v>454818</v>
      </c>
      <c r="D84" s="1892"/>
      <c r="E84" s="1892">
        <v>454818</v>
      </c>
    </row>
    <row r="85" spans="1:5" ht="21" thickBot="1" x14ac:dyDescent="0.25">
      <c r="A85" s="1993">
        <v>22020300</v>
      </c>
      <c r="B85" s="2010" t="s">
        <v>66</v>
      </c>
      <c r="C85" s="2018">
        <f>SUM(C86:C86)</f>
        <v>596334</v>
      </c>
      <c r="D85" s="2018">
        <f t="shared" ref="D85:E85" si="0">SUM(D86:D86)</f>
        <v>386459</v>
      </c>
      <c r="E85" s="2018">
        <f t="shared" si="0"/>
        <v>596334</v>
      </c>
    </row>
    <row r="86" spans="1:5" ht="21" thickBot="1" x14ac:dyDescent="0.25">
      <c r="A86" s="1861">
        <v>22020301</v>
      </c>
      <c r="B86" s="151" t="s">
        <v>17</v>
      </c>
      <c r="C86" s="152">
        <v>596334</v>
      </c>
      <c r="D86" s="152">
        <v>386459</v>
      </c>
      <c r="E86" s="152">
        <v>596334</v>
      </c>
    </row>
    <row r="87" spans="1:5" ht="21" thickBot="1" x14ac:dyDescent="0.25">
      <c r="A87" s="1993">
        <v>22020400</v>
      </c>
      <c r="B87" s="2010" t="s">
        <v>67</v>
      </c>
      <c r="C87" s="2018">
        <f>SUM(C88:C90)</f>
        <v>3312012</v>
      </c>
      <c r="D87" s="2018">
        <f>SUM(D88:D90)</f>
        <v>1277779</v>
      </c>
      <c r="E87" s="2018">
        <f>SUM(E88:E90)</f>
        <v>3312012</v>
      </c>
    </row>
    <row r="88" spans="1:5" x14ac:dyDescent="0.2">
      <c r="A88" s="1861">
        <v>22020401</v>
      </c>
      <c r="B88" s="2024" t="s">
        <v>79</v>
      </c>
      <c r="C88" s="152">
        <v>1167390</v>
      </c>
      <c r="D88" s="152">
        <v>500310</v>
      </c>
      <c r="E88" s="152">
        <v>1167390</v>
      </c>
    </row>
    <row r="89" spans="1:5" x14ac:dyDescent="0.2">
      <c r="A89" s="1861">
        <v>22020404</v>
      </c>
      <c r="B89" s="151" t="s">
        <v>27</v>
      </c>
      <c r="C89" s="152">
        <v>944622</v>
      </c>
      <c r="D89" s="152">
        <v>77469</v>
      </c>
      <c r="E89" s="152">
        <v>944622</v>
      </c>
    </row>
    <row r="90" spans="1:5" ht="21" thickBot="1" x14ac:dyDescent="0.25">
      <c r="A90" s="1861">
        <v>22020406</v>
      </c>
      <c r="B90" s="151" t="s">
        <v>29</v>
      </c>
      <c r="C90" s="1892">
        <v>1200000</v>
      </c>
      <c r="D90" s="152">
        <v>700000</v>
      </c>
      <c r="E90" s="1892">
        <v>1200000</v>
      </c>
    </row>
    <row r="91" spans="1:5" ht="21" thickBot="1" x14ac:dyDescent="0.25">
      <c r="A91" s="1993">
        <v>22020500</v>
      </c>
      <c r="B91" s="2010" t="s">
        <v>68</v>
      </c>
      <c r="C91" s="2018">
        <f>SUM(C92:C92)</f>
        <v>1050000</v>
      </c>
      <c r="D91" s="2018">
        <f>SUM(D92:D92)</f>
        <v>0</v>
      </c>
      <c r="E91" s="2018">
        <f>SUM(E92:E92)</f>
        <v>1050000</v>
      </c>
    </row>
    <row r="92" spans="1:5" ht="21" thickBot="1" x14ac:dyDescent="0.25">
      <c r="A92" s="1861">
        <v>22020501</v>
      </c>
      <c r="B92" s="151" t="s">
        <v>30</v>
      </c>
      <c r="C92" s="152">
        <v>1050000</v>
      </c>
      <c r="D92" s="152"/>
      <c r="E92" s="152">
        <v>1050000</v>
      </c>
    </row>
    <row r="93" spans="1:5" ht="21" thickBot="1" x14ac:dyDescent="0.25">
      <c r="A93" s="1993">
        <v>22021000</v>
      </c>
      <c r="B93" s="2010" t="s">
        <v>73</v>
      </c>
      <c r="C93" s="2018">
        <f>SUM(C94:C95)</f>
        <v>800016</v>
      </c>
      <c r="D93" s="2018">
        <f>SUM(D94:D95)</f>
        <v>121823</v>
      </c>
      <c r="E93" s="2018">
        <f>SUM(E94:E95)</f>
        <v>1524926</v>
      </c>
    </row>
    <row r="94" spans="1:5" x14ac:dyDescent="0.2">
      <c r="A94" s="1861">
        <v>22021001</v>
      </c>
      <c r="B94" s="151" t="s">
        <v>41</v>
      </c>
      <c r="C94" s="152">
        <v>275090</v>
      </c>
      <c r="D94" s="152">
        <v>121823</v>
      </c>
      <c r="E94" s="152">
        <v>1000000</v>
      </c>
    </row>
    <row r="95" spans="1:5" ht="21" thickBot="1" x14ac:dyDescent="0.25">
      <c r="A95" s="1861">
        <v>22021021</v>
      </c>
      <c r="B95" s="151" t="s">
        <v>78</v>
      </c>
      <c r="C95" s="2000">
        <f>174926+350000</f>
        <v>524926</v>
      </c>
      <c r="D95" s="152"/>
      <c r="E95" s="2000">
        <f>174926+350000</f>
        <v>524926</v>
      </c>
    </row>
    <row r="96" spans="1:5" ht="21" thickBot="1" x14ac:dyDescent="0.25">
      <c r="A96" s="1993">
        <v>220401</v>
      </c>
      <c r="B96" s="2010" t="s">
        <v>75</v>
      </c>
      <c r="C96" s="2018">
        <f>SUM(C97:C97)</f>
        <v>1400000</v>
      </c>
      <c r="D96" s="2018">
        <f>SUM(D97:D97)</f>
        <v>1033337</v>
      </c>
      <c r="E96" s="2018">
        <f>SUM(E97:E97)</f>
        <v>1400000</v>
      </c>
    </row>
    <row r="97" spans="1:5" x14ac:dyDescent="0.2">
      <c r="A97" s="1861">
        <v>22040109</v>
      </c>
      <c r="B97" s="151" t="s">
        <v>48</v>
      </c>
      <c r="C97" s="1892">
        <v>1400000</v>
      </c>
      <c r="D97" s="1892">
        <v>1033337</v>
      </c>
      <c r="E97" s="1892">
        <v>1400000</v>
      </c>
    </row>
    <row r="98" spans="1:5" s="2048" customFormat="1" ht="19.5" thickBot="1" x14ac:dyDescent="0.25">
      <c r="A98" s="2049"/>
      <c r="B98" s="2050"/>
      <c r="C98" s="2051"/>
      <c r="D98" s="2052"/>
      <c r="E98" s="2051"/>
    </row>
    <row r="99" spans="1:5" ht="21" thickBot="1" x14ac:dyDescent="0.25">
      <c r="A99" s="2053"/>
      <c r="B99" s="2054" t="s">
        <v>2712</v>
      </c>
      <c r="C99" s="2018">
        <f>SUM(C80,C83,C85,C87,C91,C93,C96)</f>
        <v>11210413</v>
      </c>
      <c r="D99" s="2018">
        <f t="shared" ref="D99:E99" si="1">SUM(D80,D83,D85,D87,D91,D93,D96)</f>
        <v>4344429</v>
      </c>
      <c r="E99" s="2018">
        <f t="shared" si="1"/>
        <v>11935323</v>
      </c>
    </row>
    <row r="100" spans="1:5" x14ac:dyDescent="0.2">
      <c r="A100" s="3478"/>
      <c r="B100" s="3478"/>
      <c r="C100" s="3478"/>
      <c r="D100" s="3478"/>
      <c r="E100" s="3478"/>
    </row>
    <row r="101" spans="1:5" x14ac:dyDescent="0.2">
      <c r="A101" s="3477"/>
      <c r="B101" s="3477"/>
      <c r="C101" s="3477"/>
      <c r="D101" s="3477"/>
      <c r="E101" s="3477"/>
    </row>
    <row r="102" spans="1:5" x14ac:dyDescent="0.2">
      <c r="A102" s="3477" t="s">
        <v>1856</v>
      </c>
      <c r="B102" s="3477"/>
      <c r="C102" s="3477"/>
      <c r="D102" s="3477"/>
      <c r="E102" s="3477"/>
    </row>
    <row r="103" spans="1:5" x14ac:dyDescent="0.2">
      <c r="A103" s="3477" t="s">
        <v>641</v>
      </c>
      <c r="B103" s="3477"/>
      <c r="C103" s="3477"/>
      <c r="D103" s="3477"/>
      <c r="E103" s="3477"/>
    </row>
    <row r="104" spans="1:5" ht="21" thickBot="1" x14ac:dyDescent="0.25">
      <c r="A104" s="3476" t="s">
        <v>2405</v>
      </c>
      <c r="B104" s="3476"/>
      <c r="C104" s="3476"/>
      <c r="D104" s="3476"/>
      <c r="E104" s="3476"/>
    </row>
    <row r="105" spans="1:5" ht="81.75" thickBot="1" x14ac:dyDescent="0.35">
      <c r="A105" s="2004" t="s">
        <v>1014</v>
      </c>
      <c r="B105" s="2004" t="s">
        <v>282</v>
      </c>
      <c r="C105" s="173" t="s">
        <v>1174</v>
      </c>
      <c r="D105" s="173" t="s">
        <v>1145</v>
      </c>
      <c r="E105" s="173" t="s">
        <v>3096</v>
      </c>
    </row>
    <row r="106" spans="1:5" ht="21" thickBot="1" x14ac:dyDescent="0.25">
      <c r="A106" s="2055"/>
      <c r="B106" s="2056"/>
      <c r="C106" s="2021"/>
      <c r="D106" s="2022"/>
      <c r="E106" s="2023"/>
    </row>
    <row r="107" spans="1:5" ht="21" thickBot="1" x14ac:dyDescent="0.25">
      <c r="A107" s="1993">
        <v>22020100</v>
      </c>
      <c r="B107" s="2010" t="s">
        <v>64</v>
      </c>
      <c r="C107" s="1994">
        <f>SUM(C108:C109)</f>
        <v>1600000</v>
      </c>
      <c r="D107" s="2011">
        <f>SUM(D108:D109)</f>
        <v>930000</v>
      </c>
      <c r="E107" s="2011">
        <f>SUM(E108:E109)</f>
        <v>1900000</v>
      </c>
    </row>
    <row r="108" spans="1:5" x14ac:dyDescent="0.2">
      <c r="A108" s="1861">
        <v>22020102</v>
      </c>
      <c r="B108" s="151" t="s">
        <v>10</v>
      </c>
      <c r="C108" s="152">
        <v>900000</v>
      </c>
      <c r="D108" s="152">
        <v>620000</v>
      </c>
      <c r="E108" s="152">
        <v>900000</v>
      </c>
    </row>
    <row r="109" spans="1:5" ht="21" thickBot="1" x14ac:dyDescent="0.25">
      <c r="A109" s="1861">
        <v>22020102</v>
      </c>
      <c r="B109" s="151" t="s">
        <v>1173</v>
      </c>
      <c r="C109" s="2057">
        <v>700000</v>
      </c>
      <c r="D109" s="2058">
        <v>310000</v>
      </c>
      <c r="E109" s="2057">
        <v>1000000</v>
      </c>
    </row>
    <row r="110" spans="1:5" ht="21" thickBot="1" x14ac:dyDescent="0.25">
      <c r="A110" s="1993">
        <v>22020200</v>
      </c>
      <c r="B110" s="2010" t="s">
        <v>65</v>
      </c>
      <c r="C110" s="1994">
        <f>SUM(C111:C112)</f>
        <v>364000</v>
      </c>
      <c r="D110" s="1994">
        <f>SUM(D111:D112)</f>
        <v>68200</v>
      </c>
      <c r="E110" s="1994">
        <f>SUM(E111:E112)</f>
        <v>364000</v>
      </c>
    </row>
    <row r="111" spans="1:5" x14ac:dyDescent="0.2">
      <c r="A111" s="1861">
        <v>22020201</v>
      </c>
      <c r="B111" s="151" t="s">
        <v>13</v>
      </c>
      <c r="C111" s="1892">
        <v>154000</v>
      </c>
      <c r="D111" s="1892">
        <v>68200</v>
      </c>
      <c r="E111" s="1892">
        <v>154000</v>
      </c>
    </row>
    <row r="112" spans="1:5" ht="21" thickBot="1" x14ac:dyDescent="0.25">
      <c r="A112" s="1861">
        <v>22020203</v>
      </c>
      <c r="B112" s="153" t="s">
        <v>15</v>
      </c>
      <c r="C112" s="1892">
        <v>210000</v>
      </c>
      <c r="D112" s="1892"/>
      <c r="E112" s="1892">
        <v>210000</v>
      </c>
    </row>
    <row r="113" spans="1:5" ht="21" thickBot="1" x14ac:dyDescent="0.25">
      <c r="A113" s="1993">
        <v>22020300</v>
      </c>
      <c r="B113" s="2010" t="s">
        <v>66</v>
      </c>
      <c r="C113" s="1994">
        <f>SUM(C114:C114)</f>
        <v>490000</v>
      </c>
      <c r="D113" s="2011">
        <f>SUM(D114:D114)</f>
        <v>217000</v>
      </c>
      <c r="E113" s="1994">
        <f>SUM(E114:E114)</f>
        <v>490000</v>
      </c>
    </row>
    <row r="114" spans="1:5" ht="21" thickBot="1" x14ac:dyDescent="0.25">
      <c r="A114" s="1861">
        <v>22020301</v>
      </c>
      <c r="B114" s="2024" t="s">
        <v>17</v>
      </c>
      <c r="C114" s="1892">
        <v>490000</v>
      </c>
      <c r="D114" s="1892">
        <v>217000</v>
      </c>
      <c r="E114" s="1892">
        <v>490000</v>
      </c>
    </row>
    <row r="115" spans="1:5" ht="21" thickBot="1" x14ac:dyDescent="0.25">
      <c r="A115" s="1993">
        <v>22020400</v>
      </c>
      <c r="B115" s="2010" t="s">
        <v>67</v>
      </c>
      <c r="C115" s="1994">
        <f>SUM(C116:C117)</f>
        <v>1330000</v>
      </c>
      <c r="D115" s="2011">
        <f>SUM(D116:D117)</f>
        <v>588000</v>
      </c>
      <c r="E115" s="1994">
        <f>SUM(E116:E117)</f>
        <v>1330000</v>
      </c>
    </row>
    <row r="116" spans="1:5" x14ac:dyDescent="0.2">
      <c r="A116" s="1861">
        <v>22020401</v>
      </c>
      <c r="B116" s="2024" t="s">
        <v>79</v>
      </c>
      <c r="C116" s="152">
        <v>1120000</v>
      </c>
      <c r="D116" s="152">
        <v>495000</v>
      </c>
      <c r="E116" s="152">
        <v>1120000</v>
      </c>
    </row>
    <row r="117" spans="1:5" ht="21" thickBot="1" x14ac:dyDescent="0.25">
      <c r="A117" s="1861">
        <v>22020405</v>
      </c>
      <c r="B117" s="151" t="s">
        <v>28</v>
      </c>
      <c r="C117" s="1892">
        <v>210000</v>
      </c>
      <c r="D117" s="1892">
        <v>93000</v>
      </c>
      <c r="E117" s="1892">
        <v>210000</v>
      </c>
    </row>
    <row r="118" spans="1:5" ht="21" thickBot="1" x14ac:dyDescent="0.25">
      <c r="A118" s="1993">
        <v>22021000</v>
      </c>
      <c r="B118" s="2010" t="s">
        <v>73</v>
      </c>
      <c r="C118" s="2018">
        <f>SUM(C119:C121)</f>
        <v>714000</v>
      </c>
      <c r="D118" s="2018">
        <f>SUM(D119:D121)</f>
        <v>161200</v>
      </c>
      <c r="E118" s="2018">
        <f>SUM(E119:E121)</f>
        <v>714000</v>
      </c>
    </row>
    <row r="119" spans="1:5" x14ac:dyDescent="0.2">
      <c r="A119" s="1861">
        <v>22021001</v>
      </c>
      <c r="B119" s="151" t="s">
        <v>41</v>
      </c>
      <c r="C119" s="152">
        <v>154000</v>
      </c>
      <c r="D119" s="152">
        <v>68200</v>
      </c>
      <c r="E119" s="152">
        <v>154000</v>
      </c>
    </row>
    <row r="120" spans="1:5" x14ac:dyDescent="0.2">
      <c r="A120" s="1861">
        <v>22021003</v>
      </c>
      <c r="B120" s="151" t="s">
        <v>42</v>
      </c>
      <c r="C120" s="152">
        <v>210000</v>
      </c>
      <c r="D120" s="152">
        <v>93000</v>
      </c>
      <c r="E120" s="152">
        <v>210000</v>
      </c>
    </row>
    <row r="121" spans="1:5" x14ac:dyDescent="0.2">
      <c r="A121" s="1861">
        <v>22021041</v>
      </c>
      <c r="B121" s="151" t="s">
        <v>1769</v>
      </c>
      <c r="C121" s="152">
        <v>350000</v>
      </c>
      <c r="D121" s="152"/>
      <c r="E121" s="152">
        <v>350000</v>
      </c>
    </row>
    <row r="122" spans="1:5" ht="21" thickBot="1" x14ac:dyDescent="0.25">
      <c r="A122" s="1861"/>
      <c r="B122" s="2059"/>
      <c r="C122" s="2060"/>
      <c r="D122" s="2060"/>
      <c r="E122" s="2060"/>
    </row>
    <row r="123" spans="1:5" ht="21" thickBot="1" x14ac:dyDescent="0.25">
      <c r="A123" s="2053"/>
      <c r="B123" s="2042" t="s">
        <v>1339</v>
      </c>
      <c r="C123" s="2018">
        <f>SUM(C107,C110,C113,C115,C118)</f>
        <v>4498000</v>
      </c>
      <c r="D123" s="2018">
        <f>SUM(D107,D110,D113,D115,D118)</f>
        <v>1964400</v>
      </c>
      <c r="E123" s="2018">
        <f>SUM(E107,E110,E113,E115,E118)</f>
        <v>4798000</v>
      </c>
    </row>
    <row r="124" spans="1:5" x14ac:dyDescent="0.2">
      <c r="A124" s="2043"/>
      <c r="B124" s="2044"/>
      <c r="C124" s="2003"/>
      <c r="D124" s="2003"/>
      <c r="E124" s="2045"/>
    </row>
    <row r="125" spans="1:5" s="2203" customFormat="1" ht="19.5" x14ac:dyDescent="0.2">
      <c r="A125" s="3494" t="s">
        <v>1856</v>
      </c>
      <c r="B125" s="3494"/>
      <c r="C125" s="3494"/>
      <c r="D125" s="3494"/>
      <c r="E125" s="3494"/>
    </row>
    <row r="126" spans="1:5" s="2203" customFormat="1" ht="19.5" x14ac:dyDescent="0.2">
      <c r="A126" s="3494" t="s">
        <v>641</v>
      </c>
      <c r="B126" s="3494"/>
      <c r="C126" s="3494"/>
      <c r="D126" s="3494"/>
      <c r="E126" s="3494"/>
    </row>
    <row r="127" spans="1:5" s="2203" customFormat="1" thickBot="1" x14ac:dyDescent="0.25">
      <c r="A127" s="3494" t="s">
        <v>1433</v>
      </c>
      <c r="B127" s="3494"/>
      <c r="C127" s="3494"/>
      <c r="D127" s="3494"/>
      <c r="E127" s="3494"/>
    </row>
    <row r="128" spans="1:5" s="2203" customFormat="1" ht="59.25" thickBot="1" x14ac:dyDescent="0.35">
      <c r="A128" s="2201" t="s">
        <v>1014</v>
      </c>
      <c r="B128" s="2201" t="s">
        <v>282</v>
      </c>
      <c r="C128" s="2202" t="s">
        <v>1174</v>
      </c>
      <c r="D128" s="2202" t="s">
        <v>1145</v>
      </c>
      <c r="E128" s="2202" t="s">
        <v>3096</v>
      </c>
    </row>
    <row r="129" spans="1:5" s="2203" customFormat="1" thickBot="1" x14ac:dyDescent="0.25">
      <c r="A129" s="2533">
        <v>22020100</v>
      </c>
      <c r="B129" s="2534" t="s">
        <v>64</v>
      </c>
      <c r="C129" s="3240"/>
      <c r="D129" s="3241"/>
      <c r="E129" s="3240"/>
    </row>
    <row r="130" spans="1:5" s="2203" customFormat="1" thickBot="1" x14ac:dyDescent="0.25">
      <c r="A130" s="2207">
        <v>22020101</v>
      </c>
      <c r="B130" s="2208" t="s">
        <v>9</v>
      </c>
      <c r="C130" s="2535">
        <f>SUM(C131:C131)</f>
        <v>6226500</v>
      </c>
      <c r="D130" s="2535">
        <f t="shared" ref="D130:E130" si="2">SUM(D131:D131)</f>
        <v>4373077</v>
      </c>
      <c r="E130" s="2535">
        <f t="shared" si="2"/>
        <v>6226500</v>
      </c>
    </row>
    <row r="131" spans="1:5" s="2203" customFormat="1" thickBot="1" x14ac:dyDescent="0.25">
      <c r="A131" s="2207">
        <v>22020102</v>
      </c>
      <c r="B131" s="2208" t="s">
        <v>10</v>
      </c>
      <c r="C131" s="2206">
        <v>6226500</v>
      </c>
      <c r="D131" s="2206">
        <v>4373077</v>
      </c>
      <c r="E131" s="2206">
        <v>6226500</v>
      </c>
    </row>
    <row r="132" spans="1:5" s="2203" customFormat="1" thickBot="1" x14ac:dyDescent="0.25">
      <c r="A132" s="2204">
        <v>22020200</v>
      </c>
      <c r="B132" s="2205" t="s">
        <v>65</v>
      </c>
      <c r="C132" s="2535">
        <f>SUM(C133:C134)</f>
        <v>2100000</v>
      </c>
      <c r="D132" s="2535">
        <f>SUM(D133:D134)</f>
        <v>0</v>
      </c>
      <c r="E132" s="2535">
        <f>SUM(E133:E134)</f>
        <v>2100000</v>
      </c>
    </row>
    <row r="133" spans="1:5" s="2203" customFormat="1" ht="19.5" x14ac:dyDescent="0.2">
      <c r="A133" s="2207">
        <v>22020202</v>
      </c>
      <c r="B133" s="2208" t="s">
        <v>14</v>
      </c>
      <c r="C133" s="2206">
        <v>1000000</v>
      </c>
      <c r="D133" s="2206">
        <v>0</v>
      </c>
      <c r="E133" s="2206">
        <v>1000000</v>
      </c>
    </row>
    <row r="134" spans="1:5" s="2203" customFormat="1" thickBot="1" x14ac:dyDescent="0.25">
      <c r="A134" s="2207">
        <v>22020203</v>
      </c>
      <c r="B134" s="2208" t="s">
        <v>15</v>
      </c>
      <c r="C134" s="2221">
        <v>1100000</v>
      </c>
      <c r="D134" s="2221">
        <v>0</v>
      </c>
      <c r="E134" s="2221">
        <v>1100000</v>
      </c>
    </row>
    <row r="135" spans="1:5" s="2203" customFormat="1" thickBot="1" x14ac:dyDescent="0.25">
      <c r="A135" s="2204">
        <v>22020300</v>
      </c>
      <c r="B135" s="2205" t="s">
        <v>66</v>
      </c>
      <c r="C135" s="2535">
        <f>SUM(C136:C137)</f>
        <v>212240000</v>
      </c>
      <c r="D135" s="2535">
        <f>SUM(D136:D137)</f>
        <v>137355991</v>
      </c>
      <c r="E135" s="2535">
        <f>SUM(E136:E137)</f>
        <v>212240000</v>
      </c>
    </row>
    <row r="136" spans="1:5" s="2203" customFormat="1" ht="19.5" x14ac:dyDescent="0.2">
      <c r="A136" s="2207">
        <v>22020301</v>
      </c>
      <c r="B136" s="2208" t="s">
        <v>17</v>
      </c>
      <c r="C136" s="2206">
        <v>1540000</v>
      </c>
      <c r="D136" s="2206">
        <v>682000</v>
      </c>
      <c r="E136" s="2206">
        <v>1540000</v>
      </c>
    </row>
    <row r="137" spans="1:5" s="2203" customFormat="1" thickBot="1" x14ac:dyDescent="0.25">
      <c r="A137" s="2207">
        <v>22020311</v>
      </c>
      <c r="B137" s="2208" t="s">
        <v>25</v>
      </c>
      <c r="C137" s="2221">
        <v>210700000</v>
      </c>
      <c r="D137" s="2221">
        <v>136673991</v>
      </c>
      <c r="E137" s="2221">
        <v>210700000</v>
      </c>
    </row>
    <row r="138" spans="1:5" s="2203" customFormat="1" thickBot="1" x14ac:dyDescent="0.35">
      <c r="A138" s="2204">
        <v>22020309</v>
      </c>
      <c r="B138" s="3242" t="s">
        <v>23</v>
      </c>
      <c r="C138" s="2535">
        <f>SUM(C139)</f>
        <v>350000</v>
      </c>
      <c r="D138" s="2535">
        <f t="shared" ref="D138:E138" si="3">SUM(D139)</f>
        <v>500000</v>
      </c>
      <c r="E138" s="2535">
        <f t="shared" si="3"/>
        <v>650000</v>
      </c>
    </row>
    <row r="139" spans="1:5" s="2203" customFormat="1" thickBot="1" x14ac:dyDescent="0.35">
      <c r="A139" s="2207">
        <v>22020309</v>
      </c>
      <c r="B139" s="3243" t="s">
        <v>3011</v>
      </c>
      <c r="C139" s="2206">
        <v>350000</v>
      </c>
      <c r="D139" s="2221">
        <v>500000</v>
      </c>
      <c r="E139" s="2206">
        <v>650000</v>
      </c>
    </row>
    <row r="140" spans="1:5" s="2203" customFormat="1" thickBot="1" x14ac:dyDescent="0.25">
      <c r="A140" s="2204">
        <v>22020400</v>
      </c>
      <c r="B140" s="2205" t="s">
        <v>67</v>
      </c>
      <c r="C140" s="3178">
        <f>SUM(C141:C144)</f>
        <v>14080000</v>
      </c>
      <c r="D140" s="2535">
        <f>SUM(D141:D144)</f>
        <v>6342000</v>
      </c>
      <c r="E140" s="2230">
        <f>SUM(E141:E144)</f>
        <v>14080000</v>
      </c>
    </row>
    <row r="141" spans="1:5" s="2203" customFormat="1" ht="19.5" x14ac:dyDescent="0.2">
      <c r="A141" s="2207">
        <v>22020401</v>
      </c>
      <c r="B141" s="2219" t="s">
        <v>79</v>
      </c>
      <c r="C141" s="2206">
        <v>4340000</v>
      </c>
      <c r="D141" s="2206">
        <v>1922000</v>
      </c>
      <c r="E141" s="2206">
        <v>4340000</v>
      </c>
    </row>
    <row r="142" spans="1:5" s="2203" customFormat="1" ht="19.5" x14ac:dyDescent="0.2">
      <c r="A142" s="2207">
        <v>22020403</v>
      </c>
      <c r="B142" s="2208" t="s">
        <v>593</v>
      </c>
      <c r="C142" s="3179">
        <v>8400000</v>
      </c>
      <c r="D142" s="2221">
        <v>3720000</v>
      </c>
      <c r="E142" s="2221">
        <v>8400000</v>
      </c>
    </row>
    <row r="143" spans="1:5" s="2203" customFormat="1" ht="19.5" x14ac:dyDescent="0.2">
      <c r="A143" s="2207">
        <v>22020406</v>
      </c>
      <c r="B143" s="2219" t="s">
        <v>1151</v>
      </c>
      <c r="C143" s="3244">
        <v>1200000</v>
      </c>
      <c r="D143" s="2206">
        <v>700000</v>
      </c>
      <c r="E143" s="2206">
        <v>1200000</v>
      </c>
    </row>
    <row r="144" spans="1:5" s="2203" customFormat="1" thickBot="1" x14ac:dyDescent="0.25">
      <c r="A144" s="2207">
        <v>22020411</v>
      </c>
      <c r="B144" s="2208" t="s">
        <v>592</v>
      </c>
      <c r="C144" s="3179">
        <v>140000</v>
      </c>
      <c r="D144" s="2221">
        <v>0</v>
      </c>
      <c r="E144" s="2221">
        <v>140000</v>
      </c>
    </row>
    <row r="145" spans="1:5" s="2203" customFormat="1" thickBot="1" x14ac:dyDescent="0.25">
      <c r="A145" s="2204">
        <v>22020500</v>
      </c>
      <c r="B145" s="2205" t="s">
        <v>68</v>
      </c>
      <c r="C145" s="2230">
        <f>SUM(C146:C146)</f>
        <v>490000</v>
      </c>
      <c r="D145" s="2535">
        <f>SUM(D146:D146)</f>
        <v>0</v>
      </c>
      <c r="E145" s="2535">
        <f>SUM(E146:E146)</f>
        <v>490000</v>
      </c>
    </row>
    <row r="146" spans="1:5" s="2203" customFormat="1" thickBot="1" x14ac:dyDescent="0.25">
      <c r="A146" s="2207">
        <v>22020501</v>
      </c>
      <c r="B146" s="2208" t="s">
        <v>30</v>
      </c>
      <c r="C146" s="3245">
        <f>140000+350000</f>
        <v>490000</v>
      </c>
      <c r="D146" s="2221">
        <v>0</v>
      </c>
      <c r="E146" s="2211">
        <f>140000+350000</f>
        <v>490000</v>
      </c>
    </row>
    <row r="147" spans="1:5" s="2203" customFormat="1" thickBot="1" x14ac:dyDescent="0.25">
      <c r="A147" s="2204">
        <v>22020600</v>
      </c>
      <c r="B147" s="2205" t="s">
        <v>69</v>
      </c>
      <c r="C147" s="3246">
        <f>SUM(C148:C148)</f>
        <v>386137720</v>
      </c>
      <c r="D147" s="3247">
        <f>SUM(D148:D148)</f>
        <v>89807000</v>
      </c>
      <c r="E147" s="3247">
        <f>SUM(E148:E148)</f>
        <v>350137720</v>
      </c>
    </row>
    <row r="148" spans="1:5" s="2203" customFormat="1" thickBot="1" x14ac:dyDescent="0.25">
      <c r="A148" s="2207">
        <v>22020601</v>
      </c>
      <c r="B148" s="2208" t="s">
        <v>31</v>
      </c>
      <c r="C148" s="2221">
        <v>386137720</v>
      </c>
      <c r="D148" s="2221">
        <v>89807000</v>
      </c>
      <c r="E148" s="2221">
        <v>350137720</v>
      </c>
    </row>
    <row r="149" spans="1:5" s="2203" customFormat="1" thickBot="1" x14ac:dyDescent="0.25">
      <c r="A149" s="2204">
        <v>22021000</v>
      </c>
      <c r="B149" s="2205" t="s">
        <v>73</v>
      </c>
      <c r="C149" s="2214">
        <f>SUM(C150:C153)</f>
        <v>35588000</v>
      </c>
      <c r="D149" s="2222">
        <f>SUM(D150:D153)</f>
        <v>17599000</v>
      </c>
      <c r="E149" s="2545">
        <f>SUM(E150:E153)</f>
        <v>72950000</v>
      </c>
    </row>
    <row r="150" spans="1:5" s="2203" customFormat="1" ht="19.5" x14ac:dyDescent="0.2">
      <c r="A150" s="2207">
        <v>22021021</v>
      </c>
      <c r="B150" s="2208" t="s">
        <v>3293</v>
      </c>
      <c r="C150" s="2220">
        <v>23338000</v>
      </c>
      <c r="D150" s="2206">
        <v>9300000</v>
      </c>
      <c r="E150" s="2220">
        <v>56000000</v>
      </c>
    </row>
    <row r="151" spans="1:5" s="2203" customFormat="1" ht="19.5" x14ac:dyDescent="0.2">
      <c r="A151" s="2207">
        <v>22021001</v>
      </c>
      <c r="B151" s="2208" t="s">
        <v>594</v>
      </c>
      <c r="C151" s="2206">
        <v>350000</v>
      </c>
      <c r="D151" s="2206">
        <v>155000</v>
      </c>
      <c r="E151" s="2206">
        <v>350000</v>
      </c>
    </row>
    <row r="152" spans="1:5" s="2203" customFormat="1" ht="19.5" x14ac:dyDescent="0.2">
      <c r="A152" s="2207">
        <v>22021002</v>
      </c>
      <c r="B152" s="2208" t="s">
        <v>220</v>
      </c>
      <c r="C152" s="2206">
        <v>7000000</v>
      </c>
      <c r="D152" s="2206">
        <v>0</v>
      </c>
      <c r="E152" s="2206">
        <v>7000000</v>
      </c>
    </row>
    <row r="153" spans="1:5" s="2203" customFormat="1" thickBot="1" x14ac:dyDescent="0.25">
      <c r="A153" s="2207">
        <v>22021041</v>
      </c>
      <c r="B153" s="3248" t="s">
        <v>129</v>
      </c>
      <c r="C153" s="2206">
        <v>4900000</v>
      </c>
      <c r="D153" s="2206">
        <v>8144000</v>
      </c>
      <c r="E153" s="2206">
        <v>9600000</v>
      </c>
    </row>
    <row r="154" spans="1:5" s="2203" customFormat="1" thickBot="1" x14ac:dyDescent="0.25">
      <c r="A154" s="2204">
        <v>22040100</v>
      </c>
      <c r="B154" s="2213" t="s">
        <v>3291</v>
      </c>
      <c r="C154" s="3249">
        <f>SUM(C155)</f>
        <v>4284000</v>
      </c>
      <c r="D154" s="3250">
        <f>SUM(D155)</f>
        <v>1652400</v>
      </c>
      <c r="E154" s="3251">
        <f>SUM(E155)</f>
        <v>4284000</v>
      </c>
    </row>
    <row r="155" spans="1:5" s="2203" customFormat="1" ht="19.5" x14ac:dyDescent="0.2">
      <c r="A155" s="2207">
        <v>22040105</v>
      </c>
      <c r="B155" s="2208" t="s">
        <v>3292</v>
      </c>
      <c r="C155" s="2215">
        <v>4284000</v>
      </c>
      <c r="D155" s="2215">
        <v>1652400</v>
      </c>
      <c r="E155" s="2215">
        <v>4284000</v>
      </c>
    </row>
    <row r="156" spans="1:5" s="2203" customFormat="1" thickBot="1" x14ac:dyDescent="0.25">
      <c r="A156" s="2207"/>
      <c r="B156" s="2213"/>
      <c r="C156" s="3252"/>
      <c r="D156" s="3252"/>
      <c r="E156" s="3252"/>
    </row>
    <row r="157" spans="1:5" s="2218" customFormat="1" thickBot="1" x14ac:dyDescent="0.25">
      <c r="A157" s="3253"/>
      <c r="B157" s="3254" t="s">
        <v>1518</v>
      </c>
      <c r="C157" s="2214">
        <f>SUM(C130,C132,C135,C138,C140,C145,C147,C149,C154)</f>
        <v>661496220</v>
      </c>
      <c r="D157" s="2214">
        <f>SUM(D130,D132,D135,D138,D140,D145,D147,D149,D154)</f>
        <v>257629468</v>
      </c>
      <c r="E157" s="2535">
        <f>SUM(E130,E132,E135,E138,E140,E145,E147,E149,E154)</f>
        <v>663158220</v>
      </c>
    </row>
    <row r="158" spans="1:5" x14ac:dyDescent="0.2">
      <c r="A158" s="2070"/>
      <c r="B158" s="2070"/>
      <c r="C158" s="2070"/>
      <c r="D158" s="2070"/>
      <c r="E158" s="2071"/>
    </row>
    <row r="159" spans="1:5" x14ac:dyDescent="0.2">
      <c r="A159" s="3477" t="s">
        <v>1856</v>
      </c>
      <c r="B159" s="3477"/>
      <c r="C159" s="3477"/>
      <c r="D159" s="3477"/>
      <c r="E159" s="3477"/>
    </row>
    <row r="160" spans="1:5" x14ac:dyDescent="0.2">
      <c r="A160" s="3477" t="s">
        <v>641</v>
      </c>
      <c r="B160" s="3477"/>
      <c r="C160" s="3477"/>
      <c r="D160" s="3477"/>
      <c r="E160" s="3477"/>
    </row>
    <row r="161" spans="1:5" ht="21" thickBot="1" x14ac:dyDescent="0.25">
      <c r="A161" s="3476" t="s">
        <v>3018</v>
      </c>
      <c r="B161" s="3476"/>
      <c r="C161" s="3476"/>
      <c r="D161" s="3476"/>
      <c r="E161" s="3476"/>
    </row>
    <row r="162" spans="1:5" ht="81.75" thickBot="1" x14ac:dyDescent="0.35">
      <c r="A162" s="2004" t="s">
        <v>1014</v>
      </c>
      <c r="B162" s="2004" t="s">
        <v>282</v>
      </c>
      <c r="C162" s="173" t="s">
        <v>1174</v>
      </c>
      <c r="D162" s="173" t="s">
        <v>1145</v>
      </c>
      <c r="E162" s="173" t="s">
        <v>3096</v>
      </c>
    </row>
    <row r="163" spans="1:5" ht="21" thickBot="1" x14ac:dyDescent="0.25">
      <c r="A163" s="2055"/>
      <c r="B163" s="2056"/>
      <c r="C163" s="2021"/>
      <c r="D163" s="2022"/>
      <c r="E163" s="2023"/>
    </row>
    <row r="164" spans="1:5" ht="21" thickBot="1" x14ac:dyDescent="0.25">
      <c r="A164" s="1993">
        <v>22020100</v>
      </c>
      <c r="B164" s="2010" t="s">
        <v>64</v>
      </c>
      <c r="C164" s="1994">
        <f>SUM(C165:C166)</f>
        <v>0</v>
      </c>
      <c r="D164" s="2011">
        <f>SUM(D165:D166)</f>
        <v>0</v>
      </c>
      <c r="E164" s="2011">
        <f>SUM(E165:E166)</f>
        <v>4000000</v>
      </c>
    </row>
    <row r="165" spans="1:5" x14ac:dyDescent="0.2">
      <c r="A165" s="1861">
        <v>22020101</v>
      </c>
      <c r="B165" s="151" t="s">
        <v>9</v>
      </c>
      <c r="C165" s="152"/>
      <c r="D165" s="152"/>
      <c r="E165" s="152"/>
    </row>
    <row r="166" spans="1:5" ht="21" thickBot="1" x14ac:dyDescent="0.25">
      <c r="A166" s="1861">
        <v>22020102</v>
      </c>
      <c r="B166" s="151" t="s">
        <v>10</v>
      </c>
      <c r="C166" s="152"/>
      <c r="D166" s="152"/>
      <c r="E166" s="152">
        <v>4000000</v>
      </c>
    </row>
    <row r="167" spans="1:5" ht="21" thickBot="1" x14ac:dyDescent="0.25">
      <c r="A167" s="1993">
        <v>22020200</v>
      </c>
      <c r="B167" s="2010" t="s">
        <v>65</v>
      </c>
      <c r="C167" s="1994">
        <f>SUM(C168:C169)</f>
        <v>0</v>
      </c>
      <c r="D167" s="1994">
        <f>SUM(D168:D169)</f>
        <v>0</v>
      </c>
      <c r="E167" s="1994">
        <f>SUM(E168:E169)</f>
        <v>1000000</v>
      </c>
    </row>
    <row r="168" spans="1:5" x14ac:dyDescent="0.2">
      <c r="A168" s="1861">
        <v>22020201</v>
      </c>
      <c r="B168" s="151" t="s">
        <v>13</v>
      </c>
      <c r="C168" s="1892"/>
      <c r="D168" s="1892"/>
      <c r="E168" s="1892">
        <v>500000</v>
      </c>
    </row>
    <row r="169" spans="1:5" ht="21" thickBot="1" x14ac:dyDescent="0.25">
      <c r="A169" s="1861">
        <v>22020203</v>
      </c>
      <c r="B169" s="153" t="s">
        <v>15</v>
      </c>
      <c r="C169" s="1892"/>
      <c r="D169" s="1892"/>
      <c r="E169" s="1892">
        <v>500000</v>
      </c>
    </row>
    <row r="170" spans="1:5" ht="21" thickBot="1" x14ac:dyDescent="0.25">
      <c r="A170" s="1993">
        <v>22020300</v>
      </c>
      <c r="B170" s="2010" t="s">
        <v>66</v>
      </c>
      <c r="C170" s="1994">
        <f>SUM(C171:C171)</f>
        <v>0</v>
      </c>
      <c r="D170" s="2011">
        <f>SUM(D171:D171)</f>
        <v>0</v>
      </c>
      <c r="E170" s="1994">
        <f>SUM(E171:E171)</f>
        <v>1800000</v>
      </c>
    </row>
    <row r="171" spans="1:5" ht="21" thickBot="1" x14ac:dyDescent="0.25">
      <c r="A171" s="1861">
        <v>22020301</v>
      </c>
      <c r="B171" s="2024" t="s">
        <v>17</v>
      </c>
      <c r="C171" s="1892"/>
      <c r="D171" s="1892"/>
      <c r="E171" s="1892">
        <v>1800000</v>
      </c>
    </row>
    <row r="172" spans="1:5" ht="21" thickBot="1" x14ac:dyDescent="0.25">
      <c r="A172" s="1993">
        <v>22020400</v>
      </c>
      <c r="B172" s="2010" t="s">
        <v>67</v>
      </c>
      <c r="C172" s="1994">
        <f>SUM(C173:C174)</f>
        <v>0</v>
      </c>
      <c r="D172" s="2011">
        <f>SUM(D173:D174)</f>
        <v>0</v>
      </c>
      <c r="E172" s="1994">
        <f>SUM(E173:E174)</f>
        <v>4200000</v>
      </c>
    </row>
    <row r="173" spans="1:5" x14ac:dyDescent="0.2">
      <c r="A173" s="1861">
        <v>22020401</v>
      </c>
      <c r="B173" s="2024" t="s">
        <v>79</v>
      </c>
      <c r="C173" s="152"/>
      <c r="D173" s="152"/>
      <c r="E173" s="152">
        <v>3000000</v>
      </c>
    </row>
    <row r="174" spans="1:5" ht="21" thickBot="1" x14ac:dyDescent="0.25">
      <c r="A174" s="1861">
        <v>22020405</v>
      </c>
      <c r="B174" s="151" t="s">
        <v>3020</v>
      </c>
      <c r="C174" s="1892"/>
      <c r="D174" s="1892"/>
      <c r="E174" s="1892">
        <v>1200000</v>
      </c>
    </row>
    <row r="175" spans="1:5" ht="21" thickBot="1" x14ac:dyDescent="0.25">
      <c r="A175" s="1993">
        <v>22021000</v>
      </c>
      <c r="B175" s="2030" t="s">
        <v>73</v>
      </c>
      <c r="C175" s="2018">
        <f>SUM(C176:C177)</f>
        <v>0</v>
      </c>
      <c r="D175" s="2018">
        <f>SUM(D176:D177)</f>
        <v>0</v>
      </c>
      <c r="E175" s="2018">
        <f>SUM(E176:E177)</f>
        <v>25000000</v>
      </c>
    </row>
    <row r="176" spans="1:5" x14ac:dyDescent="0.2">
      <c r="A176" s="1861">
        <v>22021001</v>
      </c>
      <c r="B176" s="151" t="s">
        <v>41</v>
      </c>
      <c r="C176" s="152"/>
      <c r="D176" s="152"/>
      <c r="E176" s="152">
        <v>1000000</v>
      </c>
    </row>
    <row r="177" spans="1:5" x14ac:dyDescent="0.2">
      <c r="A177" s="1861">
        <v>22021041</v>
      </c>
      <c r="B177" s="151" t="s">
        <v>3021</v>
      </c>
      <c r="C177" s="152"/>
      <c r="D177" s="152"/>
      <c r="E177" s="152">
        <v>24000000</v>
      </c>
    </row>
    <row r="178" spans="1:5" ht="21" thickBot="1" x14ac:dyDescent="0.25">
      <c r="A178" s="1861"/>
      <c r="B178" s="2059"/>
      <c r="C178" s="2060"/>
      <c r="D178" s="2060"/>
      <c r="E178" s="2060"/>
    </row>
    <row r="179" spans="1:5" ht="21" thickBot="1" x14ac:dyDescent="0.25">
      <c r="A179" s="2053"/>
      <c r="B179" s="2042" t="s">
        <v>3019</v>
      </c>
      <c r="C179" s="2018">
        <f>SUM(C164,C167,C170,C172,C175)</f>
        <v>0</v>
      </c>
      <c r="D179" s="2018">
        <f>SUM(D164,D167,D170,D172,D175)</f>
        <v>0</v>
      </c>
      <c r="E179" s="2018">
        <f>SUM(E164,E167,E170,E172,E175)</f>
        <v>36000000</v>
      </c>
    </row>
    <row r="180" spans="1:5" x14ac:dyDescent="0.2">
      <c r="A180" s="2073"/>
      <c r="B180" s="2073"/>
      <c r="C180" s="2073"/>
      <c r="D180" s="2073"/>
      <c r="E180" s="2073"/>
    </row>
    <row r="181" spans="1:5" x14ac:dyDescent="0.2">
      <c r="A181" s="2073"/>
      <c r="B181" s="2073"/>
      <c r="C181" s="2073"/>
      <c r="D181" s="2073"/>
      <c r="E181" s="2073"/>
    </row>
    <row r="182" spans="1:5" x14ac:dyDescent="0.2">
      <c r="A182" s="3477"/>
      <c r="B182" s="3477"/>
      <c r="C182" s="3477"/>
      <c r="D182" s="3477"/>
      <c r="E182" s="3477"/>
    </row>
    <row r="183" spans="1:5" x14ac:dyDescent="0.2">
      <c r="A183" s="3477" t="s">
        <v>641</v>
      </c>
      <c r="B183" s="3477"/>
      <c r="C183" s="3477"/>
      <c r="D183" s="3477"/>
      <c r="E183" s="3477"/>
    </row>
    <row r="184" spans="1:5" ht="21" thickBot="1" x14ac:dyDescent="0.25">
      <c r="A184" s="3476" t="s">
        <v>1325</v>
      </c>
      <c r="B184" s="3476"/>
      <c r="C184" s="3476"/>
      <c r="D184" s="3476"/>
      <c r="E184" s="3476"/>
    </row>
    <row r="185" spans="1:5" ht="81.75" thickBot="1" x14ac:dyDescent="0.35">
      <c r="A185" s="2004" t="s">
        <v>1014</v>
      </c>
      <c r="B185" s="2004" t="s">
        <v>282</v>
      </c>
      <c r="C185" s="173" t="s">
        <v>1174</v>
      </c>
      <c r="D185" s="173" t="s">
        <v>1145</v>
      </c>
      <c r="E185" s="173" t="s">
        <v>3096</v>
      </c>
    </row>
    <row r="186" spans="1:5" ht="21" thickBot="1" x14ac:dyDescent="0.25">
      <c r="A186" s="2005">
        <v>22020100</v>
      </c>
      <c r="B186" s="2061" t="s">
        <v>64</v>
      </c>
      <c r="C186" s="2062">
        <f>SUM(C187:C187)</f>
        <v>1759768</v>
      </c>
      <c r="D186" s="2018">
        <f>SUM(D187:D187)</f>
        <v>845796</v>
      </c>
      <c r="E186" s="2062">
        <f>SUM(E187:E187)</f>
        <v>1549768</v>
      </c>
    </row>
    <row r="187" spans="1:5" ht="21" thickBot="1" x14ac:dyDescent="0.25">
      <c r="A187" s="1861">
        <v>22020102</v>
      </c>
      <c r="B187" s="2074" t="s">
        <v>10</v>
      </c>
      <c r="C187" s="2000">
        <f>1549768+210000</f>
        <v>1759768</v>
      </c>
      <c r="D187" s="152">
        <v>845796</v>
      </c>
      <c r="E187" s="152">
        <v>1549768</v>
      </c>
    </row>
    <row r="188" spans="1:5" ht="21" thickBot="1" x14ac:dyDescent="0.25">
      <c r="A188" s="1993">
        <v>22020200</v>
      </c>
      <c r="B188" s="2010" t="s">
        <v>65</v>
      </c>
      <c r="C188" s="2018">
        <f>SUM(C189:C190)</f>
        <v>420000</v>
      </c>
      <c r="D188" s="2018">
        <f>SUM(D189:D190)</f>
        <v>134726</v>
      </c>
      <c r="E188" s="2018">
        <f>SUM(E189:E190)</f>
        <v>120000</v>
      </c>
    </row>
    <row r="189" spans="1:5" x14ac:dyDescent="0.2">
      <c r="A189" s="1861">
        <v>22020201</v>
      </c>
      <c r="B189" s="151" t="s">
        <v>13</v>
      </c>
      <c r="C189" s="152">
        <v>300000</v>
      </c>
      <c r="D189" s="152">
        <v>67363</v>
      </c>
      <c r="E189" s="152">
        <v>0</v>
      </c>
    </row>
    <row r="190" spans="1:5" ht="21" thickBot="1" x14ac:dyDescent="0.25">
      <c r="A190" s="1861">
        <v>22020203</v>
      </c>
      <c r="B190" s="151" t="s">
        <v>180</v>
      </c>
      <c r="C190" s="1892">
        <v>120000</v>
      </c>
      <c r="D190" s="1892">
        <v>67363</v>
      </c>
      <c r="E190" s="1892">
        <v>120000</v>
      </c>
    </row>
    <row r="191" spans="1:5" ht="21" thickBot="1" x14ac:dyDescent="0.25">
      <c r="A191" s="1993">
        <v>22020300</v>
      </c>
      <c r="B191" s="2010" t="s">
        <v>66</v>
      </c>
      <c r="C191" s="2062">
        <f>SUM(C192:C192)</f>
        <v>1825205</v>
      </c>
      <c r="D191" s="2018">
        <f>SUM(D192:D192)</f>
        <v>808308</v>
      </c>
      <c r="E191" s="2062">
        <f>SUM(E192:E192)</f>
        <v>1725205</v>
      </c>
    </row>
    <row r="192" spans="1:5" ht="21" thickBot="1" x14ac:dyDescent="0.25">
      <c r="A192" s="1861">
        <v>22020301</v>
      </c>
      <c r="B192" s="151" t="s">
        <v>17</v>
      </c>
      <c r="C192" s="152">
        <v>1825205</v>
      </c>
      <c r="D192" s="152">
        <v>808308</v>
      </c>
      <c r="E192" s="152">
        <v>1725205</v>
      </c>
    </row>
    <row r="193" spans="1:5" ht="21" thickBot="1" x14ac:dyDescent="0.25">
      <c r="A193" s="1993">
        <v>22020400</v>
      </c>
      <c r="B193" s="2010" t="s">
        <v>67</v>
      </c>
      <c r="C193" s="1994">
        <f>SUM(C194:C195)</f>
        <v>2389860</v>
      </c>
      <c r="D193" s="2011">
        <f>SUM(D194:D195)</f>
        <v>1226938</v>
      </c>
      <c r="E193" s="1994">
        <f>SUM(E194:E195)</f>
        <v>2389860</v>
      </c>
    </row>
    <row r="194" spans="1:5" x14ac:dyDescent="0.2">
      <c r="A194" s="1861">
        <v>22020401</v>
      </c>
      <c r="B194" s="2024" t="s">
        <v>79</v>
      </c>
      <c r="C194" s="152">
        <v>1189860</v>
      </c>
      <c r="D194" s="152">
        <v>526938</v>
      </c>
      <c r="E194" s="152">
        <v>1189860</v>
      </c>
    </row>
    <row r="195" spans="1:5" ht="21" thickBot="1" x14ac:dyDescent="0.25">
      <c r="A195" s="1861">
        <v>22020406</v>
      </c>
      <c r="B195" s="2024" t="s">
        <v>29</v>
      </c>
      <c r="C195" s="1892">
        <v>1200000</v>
      </c>
      <c r="D195" s="1892">
        <v>700000</v>
      </c>
      <c r="E195" s="1892">
        <v>1200000</v>
      </c>
    </row>
    <row r="196" spans="1:5" ht="21" thickBot="1" x14ac:dyDescent="0.25">
      <c r="A196" s="1993">
        <v>22021000</v>
      </c>
      <c r="B196" s="2010" t="s">
        <v>73</v>
      </c>
      <c r="C196" s="2062">
        <f>SUM(C197:C200)</f>
        <v>13510000</v>
      </c>
      <c r="D196" s="2018">
        <f>SUM(D197:D200)</f>
        <v>5043000</v>
      </c>
      <c r="E196" s="2018">
        <f>SUM(E197:E200)</f>
        <v>10410000</v>
      </c>
    </row>
    <row r="197" spans="1:5" x14ac:dyDescent="0.2">
      <c r="A197" s="1861">
        <v>22021001</v>
      </c>
      <c r="B197" s="151" t="s">
        <v>41</v>
      </c>
      <c r="C197" s="2075">
        <v>560000</v>
      </c>
      <c r="D197" s="152">
        <v>248000</v>
      </c>
      <c r="E197" s="152">
        <v>560000</v>
      </c>
    </row>
    <row r="198" spans="1:5" ht="40.5" x14ac:dyDescent="0.2">
      <c r="A198" s="1861">
        <v>22021021</v>
      </c>
      <c r="B198" s="151" t="s">
        <v>3295</v>
      </c>
      <c r="C198" s="152">
        <v>6300000</v>
      </c>
      <c r="D198" s="152">
        <v>3400000</v>
      </c>
      <c r="E198" s="152">
        <v>3500000</v>
      </c>
    </row>
    <row r="199" spans="1:5" x14ac:dyDescent="0.2">
      <c r="A199" s="1861">
        <v>22021003</v>
      </c>
      <c r="B199" s="151" t="s">
        <v>1041</v>
      </c>
      <c r="C199" s="152">
        <v>700000</v>
      </c>
      <c r="D199" s="152">
        <v>310000</v>
      </c>
      <c r="E199" s="152">
        <v>700000</v>
      </c>
    </row>
    <row r="200" spans="1:5" x14ac:dyDescent="0.2">
      <c r="A200" s="1861">
        <v>22021041</v>
      </c>
      <c r="B200" s="151" t="s">
        <v>3294</v>
      </c>
      <c r="C200" s="152">
        <v>5950000</v>
      </c>
      <c r="D200" s="152">
        <v>1085000</v>
      </c>
      <c r="E200" s="152">
        <v>5650000</v>
      </c>
    </row>
    <row r="201" spans="1:5" ht="21" thickBot="1" x14ac:dyDescent="0.25">
      <c r="A201" s="2039"/>
      <c r="B201" s="1989"/>
      <c r="C201" s="2097"/>
      <c r="D201" s="2097"/>
      <c r="E201" s="2097"/>
    </row>
    <row r="202" spans="1:5" s="1997" customFormat="1" ht="21" thickBot="1" x14ac:dyDescent="0.25">
      <c r="A202" s="2033"/>
      <c r="B202" s="2079" t="s">
        <v>1324</v>
      </c>
      <c r="C202" s="2018">
        <f>SUM(C186,C188,C191,C193,C196)</f>
        <v>19904833</v>
      </c>
      <c r="D202" s="2018">
        <f>SUM(D186,D188,D191,D193,D196)</f>
        <v>8058768</v>
      </c>
      <c r="E202" s="2018">
        <f>SUM(E186,E188,E191,E193,E196)</f>
        <v>16194833</v>
      </c>
    </row>
    <row r="203" spans="1:5" x14ac:dyDescent="0.2">
      <c r="A203" s="2080"/>
      <c r="B203" s="2081"/>
      <c r="D203" s="2082"/>
    </row>
    <row r="204" spans="1:5" s="2083" customFormat="1" x14ac:dyDescent="0.3">
      <c r="A204" s="3477" t="s">
        <v>1522</v>
      </c>
      <c r="B204" s="3477"/>
      <c r="C204" s="3477"/>
      <c r="D204" s="3477"/>
      <c r="E204" s="3477"/>
    </row>
    <row r="205" spans="1:5" s="2083" customFormat="1" x14ac:dyDescent="0.3">
      <c r="A205" s="3477" t="s">
        <v>641</v>
      </c>
      <c r="B205" s="3477"/>
      <c r="C205" s="3477"/>
      <c r="D205" s="3477"/>
      <c r="E205" s="3477"/>
    </row>
    <row r="206" spans="1:5" s="2083" customFormat="1" ht="21" thickBot="1" x14ac:dyDescent="0.35">
      <c r="A206" s="3476" t="s">
        <v>1523</v>
      </c>
      <c r="B206" s="3476"/>
      <c r="C206" s="3476"/>
      <c r="D206" s="3476"/>
      <c r="E206" s="3476"/>
    </row>
    <row r="207" spans="1:5" ht="81.75" thickBot="1" x14ac:dyDescent="0.35">
      <c r="A207" s="2004" t="s">
        <v>1014</v>
      </c>
      <c r="B207" s="2004" t="s">
        <v>282</v>
      </c>
      <c r="C207" s="173" t="s">
        <v>1174</v>
      </c>
      <c r="D207" s="173" t="s">
        <v>1145</v>
      </c>
      <c r="E207" s="173" t="s">
        <v>3096</v>
      </c>
    </row>
    <row r="208" spans="1:5" s="2083" customFormat="1" ht="21" thickBot="1" x14ac:dyDescent="0.35">
      <c r="A208" s="2024"/>
      <c r="B208" s="2084"/>
      <c r="C208" s="152"/>
      <c r="D208" s="152"/>
      <c r="E208" s="152"/>
    </row>
    <row r="209" spans="1:5" s="2083" customFormat="1" ht="21" thickBot="1" x14ac:dyDescent="0.35">
      <c r="A209" s="1993">
        <v>22020100</v>
      </c>
      <c r="B209" s="2010" t="s">
        <v>64</v>
      </c>
      <c r="C209" s="1994">
        <f>SUM(C210:C211)</f>
        <v>224200000</v>
      </c>
      <c r="D209" s="2011">
        <f>SUM(D210:D211)</f>
        <v>0</v>
      </c>
      <c r="E209" s="2012">
        <f>SUM(E210:E211)</f>
        <v>1504940835</v>
      </c>
    </row>
    <row r="210" spans="1:5" s="2083" customFormat="1" x14ac:dyDescent="0.3">
      <c r="A210" s="1861">
        <v>22020102</v>
      </c>
      <c r="B210" s="151" t="s">
        <v>10</v>
      </c>
      <c r="C210" s="152">
        <v>200000</v>
      </c>
      <c r="D210" s="152"/>
      <c r="E210" s="152">
        <v>800000</v>
      </c>
    </row>
    <row r="211" spans="1:5" s="2083" customFormat="1" ht="41.25" thickBot="1" x14ac:dyDescent="0.35">
      <c r="A211" s="1861">
        <v>22020104</v>
      </c>
      <c r="B211" s="153" t="s">
        <v>3296</v>
      </c>
      <c r="C211" s="152">
        <v>224000000</v>
      </c>
      <c r="D211" s="152">
        <v>0</v>
      </c>
      <c r="E211" s="152">
        <v>1504140835</v>
      </c>
    </row>
    <row r="212" spans="1:5" s="2083" customFormat="1" ht="21" thickBot="1" x14ac:dyDescent="0.35">
      <c r="A212" s="1993">
        <v>22020300</v>
      </c>
      <c r="B212" s="2010" t="s">
        <v>66</v>
      </c>
      <c r="C212" s="1994">
        <f>SUM(C213:C213)</f>
        <v>350000</v>
      </c>
      <c r="D212" s="2011">
        <f>SUM(D213:D213)</f>
        <v>0</v>
      </c>
      <c r="E212" s="2012">
        <f>SUM(E213:E213)</f>
        <v>750000</v>
      </c>
    </row>
    <row r="213" spans="1:5" s="2083" customFormat="1" ht="21" thickBot="1" x14ac:dyDescent="0.35">
      <c r="A213" s="1861">
        <v>22020301</v>
      </c>
      <c r="B213" s="151" t="s">
        <v>17</v>
      </c>
      <c r="C213" s="1892">
        <v>350000</v>
      </c>
      <c r="D213" s="1892"/>
      <c r="E213" s="1892">
        <v>750000</v>
      </c>
    </row>
    <row r="214" spans="1:5" s="2083" customFormat="1" ht="21" thickBot="1" x14ac:dyDescent="0.35">
      <c r="A214" s="1993">
        <v>22020400</v>
      </c>
      <c r="B214" s="2010" t="s">
        <v>67</v>
      </c>
      <c r="C214" s="1994">
        <f>SUM(C215:C216)</f>
        <v>16330000</v>
      </c>
      <c r="D214" s="1994">
        <f>SUM(D215:D216)</f>
        <v>12396750</v>
      </c>
      <c r="E214" s="1994">
        <f>SUM(E215:E216)</f>
        <v>16130000</v>
      </c>
    </row>
    <row r="215" spans="1:5" s="2083" customFormat="1" x14ac:dyDescent="0.3">
      <c r="A215" s="1861">
        <v>22020401</v>
      </c>
      <c r="B215" s="2085" t="s">
        <v>79</v>
      </c>
      <c r="C215" s="152">
        <v>200000</v>
      </c>
      <c r="D215" s="152">
        <v>0</v>
      </c>
      <c r="E215" s="152">
        <v>500000</v>
      </c>
    </row>
    <row r="216" spans="1:5" s="2083" customFormat="1" ht="21" thickBot="1" x14ac:dyDescent="0.35">
      <c r="A216" s="1861">
        <v>22020406</v>
      </c>
      <c r="B216" s="2085" t="s">
        <v>3297</v>
      </c>
      <c r="C216" s="1892">
        <v>16130000</v>
      </c>
      <c r="D216" s="1892">
        <v>12396750</v>
      </c>
      <c r="E216" s="1892">
        <v>15630000</v>
      </c>
    </row>
    <row r="217" spans="1:5" s="2083" customFormat="1" ht="21" thickBot="1" x14ac:dyDescent="0.35">
      <c r="A217" s="1993">
        <v>22020800</v>
      </c>
      <c r="B217" s="2010" t="s">
        <v>71</v>
      </c>
      <c r="C217" s="1994">
        <f>SUM(C218:C218)</f>
        <v>170885</v>
      </c>
      <c r="D217" s="2011">
        <f>SUM(D218:D218)</f>
        <v>0</v>
      </c>
      <c r="E217" s="2012">
        <f>SUM(E218:E218)</f>
        <v>370885</v>
      </c>
    </row>
    <row r="218" spans="1:5" s="2083" customFormat="1" x14ac:dyDescent="0.3">
      <c r="A218" s="1861">
        <v>22020803</v>
      </c>
      <c r="B218" s="151" t="s">
        <v>1524</v>
      </c>
      <c r="C218" s="2086">
        <v>170885</v>
      </c>
      <c r="D218" s="2086">
        <v>0</v>
      </c>
      <c r="E218" s="2086">
        <v>370885</v>
      </c>
    </row>
    <row r="219" spans="1:5" x14ac:dyDescent="0.2">
      <c r="A219" s="1993">
        <v>22021000</v>
      </c>
      <c r="B219" s="2010" t="s">
        <v>73</v>
      </c>
      <c r="C219" s="3134">
        <f>SUM(C220)</f>
        <v>4200000</v>
      </c>
      <c r="D219" s="1893"/>
      <c r="E219" s="1893"/>
    </row>
    <row r="220" spans="1:5" x14ac:dyDescent="0.2">
      <c r="A220" s="1861">
        <v>22021001</v>
      </c>
      <c r="B220" s="151" t="s">
        <v>41</v>
      </c>
      <c r="C220" s="2075">
        <v>4200000</v>
      </c>
      <c r="D220" s="152"/>
      <c r="E220" s="152"/>
    </row>
    <row r="221" spans="1:5" s="2083" customFormat="1" ht="21" thickBot="1" x14ac:dyDescent="0.35">
      <c r="A221" s="2087"/>
      <c r="B221" s="178"/>
      <c r="C221" s="3132"/>
      <c r="D221" s="2086"/>
      <c r="E221" s="2086"/>
    </row>
    <row r="222" spans="1:5" s="2083" customFormat="1" ht="21" thickBot="1" x14ac:dyDescent="0.35">
      <c r="A222" s="2131"/>
      <c r="B222" s="2010" t="s">
        <v>1527</v>
      </c>
      <c r="C222" s="2062">
        <f>C209+C212+C214+C217</f>
        <v>241050885</v>
      </c>
      <c r="D222" s="2018">
        <f>D209+D212+D214+D217</f>
        <v>12396750</v>
      </c>
      <c r="E222" s="2018">
        <f>E209+E212+E214+E217</f>
        <v>1522191720</v>
      </c>
    </row>
    <row r="223" spans="1:5" x14ac:dyDescent="0.2">
      <c r="A223" s="2080"/>
      <c r="B223" s="2081"/>
      <c r="D223" s="2082"/>
    </row>
    <row r="224" spans="1:5" x14ac:dyDescent="0.2">
      <c r="A224" s="2080"/>
      <c r="B224" s="2081"/>
      <c r="D224" s="2082"/>
    </row>
    <row r="225" spans="1:5" s="2083" customFormat="1" x14ac:dyDescent="0.3">
      <c r="A225" s="3477" t="s">
        <v>1475</v>
      </c>
      <c r="B225" s="3477"/>
      <c r="C225" s="3477"/>
      <c r="D225" s="3477"/>
      <c r="E225" s="3477"/>
    </row>
    <row r="226" spans="1:5" s="2083" customFormat="1" x14ac:dyDescent="0.3">
      <c r="A226" s="3477" t="s">
        <v>641</v>
      </c>
      <c r="B226" s="3477"/>
      <c r="C226" s="3477"/>
      <c r="D226" s="3477"/>
      <c r="E226" s="3477"/>
    </row>
    <row r="227" spans="1:5" s="2083" customFormat="1" ht="21" thickBot="1" x14ac:dyDescent="0.35">
      <c r="A227" s="3476" t="s">
        <v>1528</v>
      </c>
      <c r="B227" s="3476"/>
      <c r="C227" s="3476"/>
      <c r="D227" s="3476"/>
      <c r="E227" s="3476"/>
    </row>
    <row r="228" spans="1:5" ht="81.75" thickBot="1" x14ac:dyDescent="0.35">
      <c r="A228" s="2004" t="s">
        <v>1014</v>
      </c>
      <c r="B228" s="2004" t="s">
        <v>282</v>
      </c>
      <c r="C228" s="173" t="s">
        <v>1174</v>
      </c>
      <c r="D228" s="173" t="s">
        <v>1145</v>
      </c>
      <c r="E228" s="173" t="s">
        <v>3096</v>
      </c>
    </row>
    <row r="229" spans="1:5" ht="21" thickBot="1" x14ac:dyDescent="0.25">
      <c r="A229" s="2019"/>
      <c r="B229" s="2020"/>
      <c r="C229" s="2021"/>
      <c r="D229" s="2022"/>
      <c r="E229" s="2023"/>
    </row>
    <row r="230" spans="1:5" ht="21" thickBot="1" x14ac:dyDescent="0.25">
      <c r="A230" s="2005">
        <v>22020100</v>
      </c>
      <c r="B230" s="2061" t="s">
        <v>64</v>
      </c>
      <c r="C230" s="2018">
        <f>SUM(C231:C232)</f>
        <v>271440</v>
      </c>
      <c r="D230" s="2018">
        <f>SUM(D231:D232)</f>
        <v>193000</v>
      </c>
      <c r="E230" s="2062">
        <f>SUM(E231:E232)</f>
        <v>2500000</v>
      </c>
    </row>
    <row r="231" spans="1:5" x14ac:dyDescent="0.2">
      <c r="A231" s="1861">
        <v>22020101</v>
      </c>
      <c r="B231" s="2074" t="s">
        <v>3298</v>
      </c>
      <c r="C231" s="152">
        <v>0</v>
      </c>
      <c r="D231" s="152">
        <v>0</v>
      </c>
      <c r="E231" s="1892">
        <v>2000000</v>
      </c>
    </row>
    <row r="232" spans="1:5" ht="21" thickBot="1" x14ac:dyDescent="0.25">
      <c r="A232" s="1861">
        <v>22020102</v>
      </c>
      <c r="B232" s="2074" t="s">
        <v>10</v>
      </c>
      <c r="C232" s="152">
        <v>271440</v>
      </c>
      <c r="D232" s="152">
        <v>193000</v>
      </c>
      <c r="E232" s="152">
        <v>500000</v>
      </c>
    </row>
    <row r="233" spans="1:5" ht="21" thickBot="1" x14ac:dyDescent="0.25">
      <c r="A233" s="1993">
        <v>22020200</v>
      </c>
      <c r="B233" s="2010" t="s">
        <v>65</v>
      </c>
      <c r="C233" s="2018">
        <f>SUM(C234:C234)</f>
        <v>152000</v>
      </c>
      <c r="D233" s="2018">
        <f>SUM(D234:D234)</f>
        <v>153360</v>
      </c>
      <c r="E233" s="2018">
        <f>SUM(E234:E234)</f>
        <v>250410</v>
      </c>
    </row>
    <row r="234" spans="1:5" ht="21" thickBot="1" x14ac:dyDescent="0.25">
      <c r="A234" s="1861">
        <v>22020201</v>
      </c>
      <c r="B234" s="151" t="s">
        <v>13</v>
      </c>
      <c r="C234" s="152">
        <v>152000</v>
      </c>
      <c r="D234" s="152">
        <v>153360</v>
      </c>
      <c r="E234" s="152">
        <v>250410</v>
      </c>
    </row>
    <row r="235" spans="1:5" ht="21" thickBot="1" x14ac:dyDescent="0.25">
      <c r="A235" s="1993">
        <v>22020300</v>
      </c>
      <c r="B235" s="2010" t="s">
        <v>66</v>
      </c>
      <c r="C235" s="2062">
        <f>SUM(C236:C237)</f>
        <v>130000</v>
      </c>
      <c r="D235" s="2018">
        <f>SUM(D236:D237)</f>
        <v>120168</v>
      </c>
      <c r="E235" s="2018">
        <f>SUM(E236:E237)</f>
        <v>1120000</v>
      </c>
    </row>
    <row r="236" spans="1:5" x14ac:dyDescent="0.2">
      <c r="A236" s="1861">
        <v>22020301</v>
      </c>
      <c r="B236" s="151" t="s">
        <v>17</v>
      </c>
      <c r="C236" s="152">
        <v>50000</v>
      </c>
      <c r="D236" s="152">
        <v>60084</v>
      </c>
      <c r="E236" s="152">
        <v>120000</v>
      </c>
    </row>
    <row r="237" spans="1:5" ht="21" thickBot="1" x14ac:dyDescent="0.25">
      <c r="A237" s="1861">
        <v>22020310</v>
      </c>
      <c r="B237" s="151" t="s">
        <v>1529</v>
      </c>
      <c r="C237" s="2015">
        <v>80000</v>
      </c>
      <c r="D237" s="1892">
        <v>60084</v>
      </c>
      <c r="E237" s="1892">
        <v>1000000</v>
      </c>
    </row>
    <row r="238" spans="1:5" ht="21" thickBot="1" x14ac:dyDescent="0.25">
      <c r="A238" s="1993">
        <v>22020400</v>
      </c>
      <c r="B238" s="2010" t="s">
        <v>67</v>
      </c>
      <c r="C238" s="2106">
        <f>SUM(C239:C241)</f>
        <v>1578160</v>
      </c>
      <c r="D238" s="2011">
        <f>SUM(D239:D241)</f>
        <v>1130500</v>
      </c>
      <c r="E238" s="2018">
        <f>SUM(E239:E241)</f>
        <v>11314944</v>
      </c>
    </row>
    <row r="239" spans="1:5" x14ac:dyDescent="0.2">
      <c r="A239" s="1861">
        <v>22020401</v>
      </c>
      <c r="B239" s="2024" t="s">
        <v>79</v>
      </c>
      <c r="C239" s="2075">
        <v>438096</v>
      </c>
      <c r="D239" s="152">
        <v>210000</v>
      </c>
      <c r="E239" s="152">
        <v>440000</v>
      </c>
    </row>
    <row r="240" spans="1:5" x14ac:dyDescent="0.2">
      <c r="A240" s="1861">
        <v>22020403</v>
      </c>
      <c r="B240" s="2024" t="s">
        <v>2483</v>
      </c>
      <c r="C240" s="2076"/>
      <c r="D240" s="1892"/>
      <c r="E240" s="1892">
        <v>9734880</v>
      </c>
    </row>
    <row r="241" spans="1:5" ht="19.5" customHeight="1" thickBot="1" x14ac:dyDescent="0.25">
      <c r="A241" s="1861">
        <v>22020406</v>
      </c>
      <c r="B241" s="2024" t="s">
        <v>3299</v>
      </c>
      <c r="C241" s="2075">
        <v>1140064</v>
      </c>
      <c r="D241" s="152">
        <v>920500</v>
      </c>
      <c r="E241" s="152">
        <v>1140064</v>
      </c>
    </row>
    <row r="242" spans="1:5" ht="21" thickBot="1" x14ac:dyDescent="0.25">
      <c r="A242" s="1993">
        <v>22021000</v>
      </c>
      <c r="B242" s="2010" t="s">
        <v>73</v>
      </c>
      <c r="C242" s="2106">
        <f>SUM(C243:C246)</f>
        <v>2141808</v>
      </c>
      <c r="D242" s="1994">
        <f t="shared" ref="D242:E242" si="4">SUM(D243:D246)</f>
        <v>82000</v>
      </c>
      <c r="E242" s="1994">
        <f t="shared" si="4"/>
        <v>2275000</v>
      </c>
    </row>
    <row r="243" spans="1:5" x14ac:dyDescent="0.2">
      <c r="A243" s="1861">
        <v>22021001</v>
      </c>
      <c r="B243" s="151" t="s">
        <v>41</v>
      </c>
      <c r="C243" s="2075">
        <v>50000</v>
      </c>
      <c r="D243" s="152">
        <v>42000</v>
      </c>
      <c r="E243" s="152">
        <v>100000</v>
      </c>
    </row>
    <row r="244" spans="1:5" x14ac:dyDescent="0.2">
      <c r="A244" s="1861">
        <v>22021021</v>
      </c>
      <c r="B244" s="2024" t="s">
        <v>1530</v>
      </c>
      <c r="C244" s="2075">
        <v>2000000</v>
      </c>
      <c r="D244" s="152"/>
      <c r="E244" s="152">
        <v>2000000</v>
      </c>
    </row>
    <row r="245" spans="1:5" x14ac:dyDescent="0.2">
      <c r="A245" s="1861">
        <v>22021021</v>
      </c>
      <c r="B245" s="151" t="s">
        <v>1531</v>
      </c>
      <c r="C245" s="2075">
        <v>91808</v>
      </c>
      <c r="D245" s="152">
        <v>40000</v>
      </c>
      <c r="E245" s="152">
        <v>120000</v>
      </c>
    </row>
    <row r="246" spans="1:5" x14ac:dyDescent="0.2">
      <c r="A246" s="1861">
        <v>22021003</v>
      </c>
      <c r="B246" s="151" t="s">
        <v>1041</v>
      </c>
      <c r="C246" s="152"/>
      <c r="D246" s="152"/>
      <c r="E246" s="152">
        <v>55000</v>
      </c>
    </row>
    <row r="247" spans="1:5" ht="21" thickBot="1" x14ac:dyDescent="0.25">
      <c r="A247" s="1861"/>
      <c r="B247" s="2030"/>
      <c r="C247" s="1984"/>
      <c r="E247" s="1984"/>
    </row>
    <row r="248" spans="1:5" ht="21" thickBot="1" x14ac:dyDescent="0.25">
      <c r="A248" s="1861"/>
      <c r="B248" s="2030" t="s">
        <v>1532</v>
      </c>
      <c r="C248" s="2018">
        <f>SUM(C230,C233,C235,C238,C242)</f>
        <v>4273408</v>
      </c>
      <c r="D248" s="2018">
        <f>SUM(D230,D233,D235,D238,D242)</f>
        <v>1679028</v>
      </c>
      <c r="E248" s="2018">
        <f>SUM(E230,E233,E235,E238,E242)</f>
        <v>17460354</v>
      </c>
    </row>
    <row r="249" spans="1:5" x14ac:dyDescent="0.2">
      <c r="A249" s="2070"/>
      <c r="B249" s="2070"/>
      <c r="C249" s="2071"/>
      <c r="D249" s="2070"/>
      <c r="E249" s="2071"/>
    </row>
    <row r="250" spans="1:5" x14ac:dyDescent="0.2">
      <c r="A250" s="2070"/>
      <c r="B250" s="2070"/>
      <c r="C250" s="2071"/>
      <c r="D250" s="2070"/>
      <c r="E250" s="2071"/>
    </row>
    <row r="251" spans="1:5" x14ac:dyDescent="0.2">
      <c r="A251" s="3477" t="s">
        <v>641</v>
      </c>
      <c r="B251" s="3477"/>
      <c r="C251" s="3477"/>
      <c r="D251" s="3477"/>
      <c r="E251" s="3477"/>
    </row>
    <row r="252" spans="1:5" ht="21" thickBot="1" x14ac:dyDescent="0.25">
      <c r="A252" s="3476" t="s">
        <v>1156</v>
      </c>
      <c r="B252" s="3476"/>
      <c r="C252" s="3476"/>
      <c r="D252" s="3476"/>
      <c r="E252" s="3476"/>
    </row>
    <row r="253" spans="1:5" ht="81.75" thickBot="1" x14ac:dyDescent="0.35">
      <c r="A253" s="2004" t="s">
        <v>1014</v>
      </c>
      <c r="B253" s="2004" t="s">
        <v>282</v>
      </c>
      <c r="C253" s="173" t="s">
        <v>1174</v>
      </c>
      <c r="D253" s="173" t="s">
        <v>1145</v>
      </c>
      <c r="E253" s="173" t="s">
        <v>3096</v>
      </c>
    </row>
    <row r="254" spans="1:5" ht="21" thickBot="1" x14ac:dyDescent="0.25">
      <c r="A254" s="2090"/>
      <c r="B254" s="2091"/>
      <c r="C254" s="2015"/>
      <c r="D254" s="2021"/>
      <c r="E254" s="2007"/>
    </row>
    <row r="255" spans="1:5" ht="21" thickBot="1" x14ac:dyDescent="0.25">
      <c r="A255" s="1993">
        <v>22020100</v>
      </c>
      <c r="B255" s="2010" t="s">
        <v>700</v>
      </c>
      <c r="C255" s="2012">
        <f>SUM(C256:C257)</f>
        <v>1610000</v>
      </c>
      <c r="D255" s="2012">
        <f>SUM(D256:D257)</f>
        <v>878500</v>
      </c>
      <c r="E255" s="2012">
        <f>SUM(E256:E257)</f>
        <v>7610000</v>
      </c>
    </row>
    <row r="256" spans="1:5" x14ac:dyDescent="0.2">
      <c r="A256" s="1861">
        <v>22020101</v>
      </c>
      <c r="B256" s="151" t="s">
        <v>9</v>
      </c>
      <c r="C256" s="1892">
        <v>1610000</v>
      </c>
      <c r="D256" s="1892">
        <v>878500</v>
      </c>
      <c r="E256" s="1892">
        <v>1610000</v>
      </c>
    </row>
    <row r="257" spans="1:5" ht="41.25" thickBot="1" x14ac:dyDescent="0.25">
      <c r="A257" s="1861">
        <v>22020102</v>
      </c>
      <c r="B257" s="153" t="s">
        <v>1519</v>
      </c>
      <c r="C257" s="1892"/>
      <c r="D257" s="1892">
        <v>0</v>
      </c>
      <c r="E257" s="1892">
        <v>6000000</v>
      </c>
    </row>
    <row r="258" spans="1:5" ht="21" thickBot="1" x14ac:dyDescent="0.25">
      <c r="A258" s="1993">
        <v>22020300</v>
      </c>
      <c r="B258" s="2010" t="s">
        <v>66</v>
      </c>
      <c r="C258" s="2012">
        <f>SUM(C259:C259)</f>
        <v>1400000</v>
      </c>
      <c r="D258" s="2012">
        <f>SUM(D259:D259)</f>
        <v>540000</v>
      </c>
      <c r="E258" s="2012">
        <f>SUM(E259:E259)</f>
        <v>1400000</v>
      </c>
    </row>
    <row r="259" spans="1:5" ht="21" thickBot="1" x14ac:dyDescent="0.35">
      <c r="A259" s="1861">
        <v>22020301</v>
      </c>
      <c r="B259" s="151" t="s">
        <v>17</v>
      </c>
      <c r="C259" s="1892">
        <v>1400000</v>
      </c>
      <c r="D259" s="2092">
        <v>540000</v>
      </c>
      <c r="E259" s="1892">
        <v>1400000</v>
      </c>
    </row>
    <row r="260" spans="1:5" ht="21" thickBot="1" x14ac:dyDescent="0.25">
      <c r="A260" s="1993">
        <v>22020400</v>
      </c>
      <c r="B260" s="2010" t="s">
        <v>67</v>
      </c>
      <c r="C260" s="2012">
        <f>SUM(C261:C262)</f>
        <v>2600000</v>
      </c>
      <c r="D260" s="2011">
        <f>SUM(D261:D262)</f>
        <v>1140000</v>
      </c>
      <c r="E260" s="2012">
        <f>SUM(E261:E262)</f>
        <v>2600000</v>
      </c>
    </row>
    <row r="261" spans="1:5" x14ac:dyDescent="0.2">
      <c r="A261" s="1861">
        <v>22020401</v>
      </c>
      <c r="B261" s="2024" t="s">
        <v>79</v>
      </c>
      <c r="C261" s="152">
        <v>1400000</v>
      </c>
      <c r="D261" s="152">
        <v>540000</v>
      </c>
      <c r="E261" s="152">
        <v>1400000</v>
      </c>
    </row>
    <row r="262" spans="1:5" ht="21" thickBot="1" x14ac:dyDescent="0.25">
      <c r="A262" s="1861">
        <v>22020406</v>
      </c>
      <c r="B262" s="151" t="s">
        <v>29</v>
      </c>
      <c r="C262" s="1892">
        <v>1200000</v>
      </c>
      <c r="D262" s="1892">
        <v>600000</v>
      </c>
      <c r="E262" s="1892">
        <v>1200000</v>
      </c>
    </row>
    <row r="263" spans="1:5" ht="21" thickBot="1" x14ac:dyDescent="0.25">
      <c r="A263" s="1993">
        <v>22020500</v>
      </c>
      <c r="B263" s="2010" t="s">
        <v>68</v>
      </c>
      <c r="C263" s="2012">
        <f>SUM(C264:C264)</f>
        <v>1040000</v>
      </c>
      <c r="D263" s="2011">
        <f>SUM(D264:D264)</f>
        <v>0</v>
      </c>
      <c r="E263" s="2012">
        <f>SUM(E264:E264)</f>
        <v>1040000</v>
      </c>
    </row>
    <row r="264" spans="1:5" ht="21" thickBot="1" x14ac:dyDescent="0.25">
      <c r="A264" s="1861">
        <v>22020501</v>
      </c>
      <c r="B264" s="151" t="s">
        <v>30</v>
      </c>
      <c r="C264" s="2000">
        <v>1040000</v>
      </c>
      <c r="D264" s="152"/>
      <c r="E264" s="2000">
        <v>1040000</v>
      </c>
    </row>
    <row r="265" spans="1:5" ht="21" thickBot="1" x14ac:dyDescent="0.25">
      <c r="A265" s="1993">
        <v>22021000</v>
      </c>
      <c r="B265" s="2010" t="s">
        <v>73</v>
      </c>
      <c r="C265" s="2012">
        <f>SUM(C266:C266)</f>
        <v>350000</v>
      </c>
      <c r="D265" s="2011">
        <f>SUM(D266:D266)</f>
        <v>135000</v>
      </c>
      <c r="E265" s="2012">
        <f>SUM(E266:E266)</f>
        <v>350000</v>
      </c>
    </row>
    <row r="266" spans="1:5" ht="21" thickBot="1" x14ac:dyDescent="0.25">
      <c r="A266" s="1861">
        <v>22021001</v>
      </c>
      <c r="B266" s="151" t="s">
        <v>41</v>
      </c>
      <c r="C266" s="1892">
        <v>350000</v>
      </c>
      <c r="D266" s="1892">
        <v>135000</v>
      </c>
      <c r="E266" s="1892">
        <v>350000</v>
      </c>
    </row>
    <row r="267" spans="1:5" s="1997" customFormat="1" ht="21" thickBot="1" x14ac:dyDescent="0.25">
      <c r="A267" s="1993">
        <v>22021040</v>
      </c>
      <c r="B267" s="2093" t="s">
        <v>127</v>
      </c>
      <c r="C267" s="2012">
        <f>SUM(C268:C268)</f>
        <v>10000000</v>
      </c>
      <c r="D267" s="2012">
        <f>SUM(D268:D268)</f>
        <v>80000</v>
      </c>
      <c r="E267" s="2062">
        <f>SUM(E268:E268)</f>
        <v>10000000</v>
      </c>
    </row>
    <row r="268" spans="1:5" x14ac:dyDescent="0.2">
      <c r="A268" s="1861">
        <v>22021041</v>
      </c>
      <c r="B268" s="2096" t="s">
        <v>1157</v>
      </c>
      <c r="C268" s="152">
        <v>10000000</v>
      </c>
      <c r="D268" s="2097">
        <v>80000</v>
      </c>
      <c r="E268" s="152">
        <v>10000000</v>
      </c>
    </row>
    <row r="269" spans="1:5" ht="21" thickBot="1" x14ac:dyDescent="0.25">
      <c r="A269" s="1861"/>
      <c r="B269" s="153"/>
      <c r="C269" s="2058"/>
      <c r="D269" s="2058"/>
      <c r="E269" s="2058"/>
    </row>
    <row r="270" spans="1:5" s="1997" customFormat="1" ht="21" thickBot="1" x14ac:dyDescent="0.25">
      <c r="A270" s="2098"/>
      <c r="B270" s="2079" t="s">
        <v>1326</v>
      </c>
      <c r="C270" s="2062">
        <f>SUM(C255,C258,C260,C263,C265,C267)</f>
        <v>17000000</v>
      </c>
      <c r="D270" s="2062">
        <f>SUM(D255,D258,D260,D263,D265,D267)</f>
        <v>2773500</v>
      </c>
      <c r="E270" s="2062">
        <f>SUM(E255,E258,E260,E263,E265,E267)</f>
        <v>23000000</v>
      </c>
    </row>
    <row r="271" spans="1:5" x14ac:dyDescent="0.2">
      <c r="A271" s="3477" t="s">
        <v>1855</v>
      </c>
      <c r="B271" s="3477"/>
      <c r="C271" s="3477"/>
      <c r="D271" s="3477"/>
      <c r="E271" s="3477"/>
    </row>
    <row r="272" spans="1:5" x14ac:dyDescent="0.2">
      <c r="A272" s="3477" t="s">
        <v>641</v>
      </c>
      <c r="B272" s="3477"/>
      <c r="C272" s="3477"/>
      <c r="D272" s="3477"/>
      <c r="E272" s="3477"/>
    </row>
    <row r="273" spans="1:5" ht="21" thickBot="1" x14ac:dyDescent="0.25">
      <c r="A273" s="3476" t="s">
        <v>1160</v>
      </c>
      <c r="B273" s="3476"/>
      <c r="C273" s="3476"/>
      <c r="D273" s="3476"/>
      <c r="E273" s="3476"/>
    </row>
    <row r="274" spans="1:5" ht="81.75" thickBot="1" x14ac:dyDescent="0.35">
      <c r="A274" s="2004" t="s">
        <v>1014</v>
      </c>
      <c r="B274" s="2004" t="s">
        <v>282</v>
      </c>
      <c r="C274" s="173" t="s">
        <v>1174</v>
      </c>
      <c r="D274" s="173" t="s">
        <v>1145</v>
      </c>
      <c r="E274" s="173" t="s">
        <v>3096</v>
      </c>
    </row>
    <row r="275" spans="1:5" ht="21" thickBot="1" x14ac:dyDescent="0.25">
      <c r="A275" s="2005">
        <v>22020100</v>
      </c>
      <c r="B275" s="2061" t="s">
        <v>64</v>
      </c>
      <c r="C275" s="2018">
        <f>SUM(C276:C277)</f>
        <v>2135000</v>
      </c>
      <c r="D275" s="2018">
        <f>SUM(D276:D277)</f>
        <v>1067500</v>
      </c>
      <c r="E275" s="2018">
        <f>SUM(E276:E277)</f>
        <v>2135000</v>
      </c>
    </row>
    <row r="276" spans="1:5" x14ac:dyDescent="0.2">
      <c r="A276" s="1861">
        <v>22020101</v>
      </c>
      <c r="B276" s="151" t="s">
        <v>9</v>
      </c>
      <c r="C276" s="2099"/>
      <c r="E276" s="2099"/>
    </row>
    <row r="277" spans="1:5" ht="21" thickBot="1" x14ac:dyDescent="0.25">
      <c r="A277" s="1861">
        <v>22020102</v>
      </c>
      <c r="B277" s="151" t="s">
        <v>10</v>
      </c>
      <c r="C277" s="2099">
        <v>2135000</v>
      </c>
      <c r="D277" s="2099">
        <v>1067500</v>
      </c>
      <c r="E277" s="2099">
        <v>2135000</v>
      </c>
    </row>
    <row r="278" spans="1:5" ht="21" thickBot="1" x14ac:dyDescent="0.25">
      <c r="A278" s="1993">
        <v>22020300</v>
      </c>
      <c r="B278" s="2010" t="s">
        <v>66</v>
      </c>
      <c r="C278" s="2018">
        <f>SUM(C279:C279)</f>
        <v>945000</v>
      </c>
      <c r="D278" s="2101">
        <f>SUM(D279:D279)</f>
        <v>472500</v>
      </c>
      <c r="E278" s="2018">
        <f>SUM(E279:E279)</f>
        <v>945000</v>
      </c>
    </row>
    <row r="279" spans="1:5" ht="21" thickBot="1" x14ac:dyDescent="0.25">
      <c r="A279" s="1861">
        <v>22020301</v>
      </c>
      <c r="B279" s="151" t="s">
        <v>17</v>
      </c>
      <c r="C279" s="1892">
        <v>945000</v>
      </c>
      <c r="D279" s="2100">
        <v>472500</v>
      </c>
      <c r="E279" s="1892">
        <v>945000</v>
      </c>
    </row>
    <row r="280" spans="1:5" ht="21" thickBot="1" x14ac:dyDescent="0.25">
      <c r="A280" s="1993">
        <v>22020400</v>
      </c>
      <c r="B280" s="2010" t="s">
        <v>67</v>
      </c>
      <c r="C280" s="2018">
        <f>SUM(C281:C282)</f>
        <v>2517911</v>
      </c>
      <c r="D280" s="2101">
        <f>SUM(D281:D282)</f>
        <v>1358959</v>
      </c>
      <c r="E280" s="2018">
        <f>SUM(E281:E282)</f>
        <v>2517911</v>
      </c>
    </row>
    <row r="281" spans="1:5" x14ac:dyDescent="0.3">
      <c r="A281" s="1861">
        <v>22020401</v>
      </c>
      <c r="B281" s="2024" t="s">
        <v>79</v>
      </c>
      <c r="C281" s="179">
        <v>1317911</v>
      </c>
      <c r="D281" s="2099">
        <v>658959</v>
      </c>
      <c r="E281" s="179">
        <v>1317911</v>
      </c>
    </row>
    <row r="282" spans="1:5" ht="21" thickBot="1" x14ac:dyDescent="0.25">
      <c r="A282" s="1861">
        <v>22020406</v>
      </c>
      <c r="B282" s="151" t="s">
        <v>29</v>
      </c>
      <c r="C282" s="1892">
        <v>1200000</v>
      </c>
      <c r="D282" s="2100">
        <v>700000</v>
      </c>
      <c r="E282" s="1892">
        <v>1200000</v>
      </c>
    </row>
    <row r="283" spans="1:5" ht="21" thickBot="1" x14ac:dyDescent="0.25">
      <c r="A283" s="2035">
        <v>22020500</v>
      </c>
      <c r="B283" s="2036" t="s">
        <v>68</v>
      </c>
      <c r="C283" s="2018">
        <f>SUM(C284:C284)</f>
        <v>140000</v>
      </c>
      <c r="D283" s="2101">
        <f>SUM(D284:D284)</f>
        <v>0</v>
      </c>
      <c r="E283" s="2018">
        <f>SUM(E284:E284)</f>
        <v>140000</v>
      </c>
    </row>
    <row r="284" spans="1:5" ht="21" thickBot="1" x14ac:dyDescent="0.25">
      <c r="A284" s="1861">
        <v>22020501</v>
      </c>
      <c r="B284" s="151" t="s">
        <v>30</v>
      </c>
      <c r="C284" s="2000">
        <f>70000+70000</f>
        <v>140000</v>
      </c>
      <c r="D284" s="2099"/>
      <c r="E284" s="2000">
        <f>70000+70000</f>
        <v>140000</v>
      </c>
    </row>
    <row r="285" spans="1:5" ht="21" thickBot="1" x14ac:dyDescent="0.25">
      <c r="A285" s="1993">
        <v>220207</v>
      </c>
      <c r="B285" s="2103" t="s">
        <v>70</v>
      </c>
      <c r="C285" s="2018">
        <f>SUM(C286:C286)</f>
        <v>210000</v>
      </c>
      <c r="D285" s="2101">
        <f>SUM(D286:D286)</f>
        <v>0</v>
      </c>
      <c r="E285" s="2018">
        <f>SUM(E286:E286)</f>
        <v>210000</v>
      </c>
    </row>
    <row r="286" spans="1:5" ht="21" thickBot="1" x14ac:dyDescent="0.35">
      <c r="A286" s="1861">
        <v>22020701</v>
      </c>
      <c r="B286" s="151" t="s">
        <v>4283</v>
      </c>
      <c r="C286" s="179">
        <v>210000</v>
      </c>
      <c r="D286" s="2099">
        <v>0</v>
      </c>
      <c r="E286" s="179">
        <v>210000</v>
      </c>
    </row>
    <row r="287" spans="1:5" ht="21" thickBot="1" x14ac:dyDescent="0.25">
      <c r="A287" s="1993">
        <v>220209</v>
      </c>
      <c r="B287" s="2010" t="s">
        <v>72</v>
      </c>
      <c r="C287" s="2018">
        <f>SUM(C288:C288)</f>
        <v>178500</v>
      </c>
      <c r="D287" s="2101">
        <f>SUM(D288:D288)</f>
        <v>262500</v>
      </c>
      <c r="E287" s="2018">
        <f>SUM(E288:E288)</f>
        <v>178500</v>
      </c>
    </row>
    <row r="288" spans="1:5" ht="21" thickBot="1" x14ac:dyDescent="0.35">
      <c r="A288" s="1861">
        <v>22020901</v>
      </c>
      <c r="B288" s="151" t="s">
        <v>1097</v>
      </c>
      <c r="C288" s="180">
        <v>178500</v>
      </c>
      <c r="D288" s="2100">
        <v>262500</v>
      </c>
      <c r="E288" s="180">
        <v>178500</v>
      </c>
    </row>
    <row r="289" spans="1:5" ht="21" thickBot="1" x14ac:dyDescent="0.25">
      <c r="A289" s="1993">
        <v>22021000</v>
      </c>
      <c r="B289" s="2010" t="s">
        <v>73</v>
      </c>
      <c r="C289" s="2018">
        <f>SUM(C290:C291)</f>
        <v>3665000</v>
      </c>
      <c r="D289" s="2018">
        <f>SUM(D290:D291)</f>
        <v>105000</v>
      </c>
      <c r="E289" s="2018">
        <f>SUM(E290:E291)</f>
        <v>3665000</v>
      </c>
    </row>
    <row r="290" spans="1:5" x14ac:dyDescent="0.2">
      <c r="A290" s="1861">
        <v>22021001</v>
      </c>
      <c r="B290" s="151" t="s">
        <v>41</v>
      </c>
      <c r="C290" s="181">
        <v>525000</v>
      </c>
      <c r="D290" s="175">
        <v>35000</v>
      </c>
      <c r="E290" s="182">
        <v>525000</v>
      </c>
    </row>
    <row r="291" spans="1:5" ht="21" thickBot="1" x14ac:dyDescent="0.35">
      <c r="A291" s="1861">
        <v>22021041</v>
      </c>
      <c r="B291" s="151" t="s">
        <v>1738</v>
      </c>
      <c r="C291" s="180">
        <v>3140000</v>
      </c>
      <c r="D291" s="2100">
        <v>70000</v>
      </c>
      <c r="E291" s="183">
        <v>3140000</v>
      </c>
    </row>
    <row r="292" spans="1:5" ht="21" thickBot="1" x14ac:dyDescent="0.25">
      <c r="A292" s="1861"/>
      <c r="B292" s="2010"/>
      <c r="C292" s="2062"/>
      <c r="D292" s="2018"/>
      <c r="E292" s="2018"/>
    </row>
    <row r="293" spans="1:5" s="1997" customFormat="1" ht="21" thickBot="1" x14ac:dyDescent="0.25">
      <c r="A293" s="2104"/>
      <c r="B293" s="2105" t="s">
        <v>1328</v>
      </c>
      <c r="C293" s="2062">
        <f>SUM(C275,C278,C280,C283,C285,C287,C289)</f>
        <v>9791411</v>
      </c>
      <c r="D293" s="2018">
        <f>SUM(D275,D278,D280,D283,D285,D287,D289)</f>
        <v>3266459</v>
      </c>
      <c r="E293" s="2018">
        <f>SUM(E275,E278,E280,E283,E285,E287,E289)</f>
        <v>9791411</v>
      </c>
    </row>
    <row r="294" spans="1:5" ht="12" customHeight="1" x14ac:dyDescent="0.2">
      <c r="A294" s="3477"/>
      <c r="B294" s="3477"/>
      <c r="C294" s="3479"/>
      <c r="D294" s="3479"/>
      <c r="E294" s="3479"/>
    </row>
    <row r="295" spans="1:5" s="2203" customFormat="1" ht="19.5" x14ac:dyDescent="0.2">
      <c r="A295" s="3494" t="s">
        <v>1856</v>
      </c>
      <c r="B295" s="3494"/>
      <c r="C295" s="3494"/>
      <c r="D295" s="3494"/>
      <c r="E295" s="3494"/>
    </row>
    <row r="296" spans="1:5" s="2203" customFormat="1" ht="19.5" x14ac:dyDescent="0.2">
      <c r="A296" s="3494" t="s">
        <v>641</v>
      </c>
      <c r="B296" s="3494"/>
      <c r="C296" s="3494"/>
      <c r="D296" s="3494"/>
      <c r="E296" s="3494"/>
    </row>
    <row r="297" spans="1:5" s="2203" customFormat="1" thickBot="1" x14ac:dyDescent="0.25">
      <c r="A297" s="3495" t="s">
        <v>451</v>
      </c>
      <c r="B297" s="3495"/>
      <c r="C297" s="3495"/>
      <c r="D297" s="3495"/>
      <c r="E297" s="3495"/>
    </row>
    <row r="298" spans="1:5" s="2048" customFormat="1" ht="45" customHeight="1" thickBot="1" x14ac:dyDescent="0.35">
      <c r="A298" s="2290" t="s">
        <v>1014</v>
      </c>
      <c r="B298" s="2290" t="s">
        <v>282</v>
      </c>
      <c r="C298" s="2291" t="s">
        <v>1174</v>
      </c>
      <c r="D298" s="2291" t="s">
        <v>2963</v>
      </c>
      <c r="E298" s="2291" t="s">
        <v>3096</v>
      </c>
    </row>
    <row r="299" spans="1:5" s="2203" customFormat="1" thickBot="1" x14ac:dyDescent="0.25">
      <c r="A299" s="3255"/>
      <c r="B299" s="3256"/>
      <c r="C299" s="3257"/>
      <c r="D299" s="3258"/>
      <c r="E299" s="3259"/>
    </row>
    <row r="300" spans="1:5" s="2203" customFormat="1" thickBot="1" x14ac:dyDescent="0.25">
      <c r="A300" s="2204">
        <v>22020100</v>
      </c>
      <c r="B300" s="2205" t="s">
        <v>64</v>
      </c>
      <c r="C300" s="2214">
        <f>SUM(C301:C307)</f>
        <v>959000000</v>
      </c>
      <c r="D300" s="2214">
        <f>SUM(D301:D307)</f>
        <v>0</v>
      </c>
      <c r="E300" s="2214">
        <f>SUM(E301:E307)</f>
        <v>972000000</v>
      </c>
    </row>
    <row r="301" spans="1:5" s="2203" customFormat="1" ht="19.5" x14ac:dyDescent="0.2">
      <c r="A301" s="2207">
        <v>22020101</v>
      </c>
      <c r="B301" s="2208" t="s">
        <v>9</v>
      </c>
      <c r="C301" s="2220">
        <f>15000000</f>
        <v>15000000</v>
      </c>
      <c r="D301" s="2206"/>
      <c r="E301" s="2220">
        <f>15000000</f>
        <v>15000000</v>
      </c>
    </row>
    <row r="302" spans="1:5" s="2203" customFormat="1" ht="19.5" x14ac:dyDescent="0.2">
      <c r="A302" s="2207">
        <v>22020102</v>
      </c>
      <c r="B302" s="2208" t="s">
        <v>10</v>
      </c>
      <c r="C302" s="2220">
        <f>55000000</f>
        <v>55000000</v>
      </c>
      <c r="D302" s="2206"/>
      <c r="E302" s="2220">
        <f>55000000</f>
        <v>55000000</v>
      </c>
    </row>
    <row r="303" spans="1:5" s="2203" customFormat="1" ht="23.25" customHeight="1" x14ac:dyDescent="0.2">
      <c r="A303" s="2207">
        <v>22020103</v>
      </c>
      <c r="B303" s="2208" t="s">
        <v>11</v>
      </c>
      <c r="C303" s="2220">
        <f>20000000</f>
        <v>20000000</v>
      </c>
      <c r="D303" s="2206"/>
      <c r="E303" s="2220">
        <v>90000000</v>
      </c>
    </row>
    <row r="304" spans="1:5" s="2203" customFormat="1" ht="19.5" x14ac:dyDescent="0.2">
      <c r="A304" s="2207">
        <v>22020104</v>
      </c>
      <c r="B304" s="2208" t="s">
        <v>12</v>
      </c>
      <c r="C304" s="2220">
        <f>145000000</f>
        <v>145000000</v>
      </c>
      <c r="D304" s="2206"/>
      <c r="E304" s="2220">
        <v>150000000</v>
      </c>
    </row>
    <row r="305" spans="1:5" s="2203" customFormat="1" ht="19.5" x14ac:dyDescent="0.2">
      <c r="A305" s="2207">
        <v>22020105</v>
      </c>
      <c r="B305" s="2208" t="s">
        <v>223</v>
      </c>
      <c r="C305" s="2220">
        <v>2000000</v>
      </c>
      <c r="D305" s="2206"/>
      <c r="E305" s="2220">
        <v>2000000</v>
      </c>
    </row>
    <row r="306" spans="1:5" s="2203" customFormat="1" ht="19.5" x14ac:dyDescent="0.2">
      <c r="A306" s="2207">
        <v>22020106</v>
      </c>
      <c r="B306" s="2208" t="s">
        <v>1192</v>
      </c>
      <c r="C306" s="2220">
        <f>5000000+0</f>
        <v>5000000</v>
      </c>
      <c r="D306" s="2206"/>
      <c r="E306" s="2220">
        <f>5000000+0</f>
        <v>5000000</v>
      </c>
    </row>
    <row r="307" spans="1:5" s="2203" customFormat="1" thickBot="1" x14ac:dyDescent="0.25">
      <c r="A307" s="2207">
        <v>22020107</v>
      </c>
      <c r="B307" s="2210" t="s">
        <v>1195</v>
      </c>
      <c r="C307" s="2220">
        <v>717000000</v>
      </c>
      <c r="D307" s="2206"/>
      <c r="E307" s="2220">
        <v>655000000</v>
      </c>
    </row>
    <row r="308" spans="1:5" s="2203" customFormat="1" thickBot="1" x14ac:dyDescent="0.25">
      <c r="A308" s="2204">
        <v>22020200</v>
      </c>
      <c r="B308" s="2205" t="s">
        <v>65</v>
      </c>
      <c r="C308" s="2214">
        <f>SUM(C309:C310)</f>
        <v>12765000</v>
      </c>
      <c r="D308" s="2222">
        <f>SUM(D309:D310)</f>
        <v>0</v>
      </c>
      <c r="E308" s="2214">
        <f>SUM(E309:E310)</f>
        <v>12765000</v>
      </c>
    </row>
    <row r="309" spans="1:5" s="2203" customFormat="1" ht="19.5" x14ac:dyDescent="0.2">
      <c r="A309" s="2207">
        <v>22020201</v>
      </c>
      <c r="B309" s="2208" t="s">
        <v>13</v>
      </c>
      <c r="C309" s="2220">
        <v>10000000</v>
      </c>
      <c r="D309" s="2206"/>
      <c r="E309" s="2220">
        <v>10000000</v>
      </c>
    </row>
    <row r="310" spans="1:5" s="2203" customFormat="1" thickBot="1" x14ac:dyDescent="0.25">
      <c r="A310" s="2207">
        <v>22020204</v>
      </c>
      <c r="B310" s="2208" t="s">
        <v>16</v>
      </c>
      <c r="C310" s="2221">
        <v>2765000</v>
      </c>
      <c r="D310" s="2221"/>
      <c r="E310" s="2221">
        <v>2765000</v>
      </c>
    </row>
    <row r="311" spans="1:5" s="2203" customFormat="1" thickBot="1" x14ac:dyDescent="0.25">
      <c r="A311" s="2204">
        <v>22020300</v>
      </c>
      <c r="B311" s="2205" t="s">
        <v>66</v>
      </c>
      <c r="C311" s="2535">
        <f>SUM(C312:C315)</f>
        <v>84700000</v>
      </c>
      <c r="D311" s="3260">
        <f>SUM(D312:D315)</f>
        <v>0</v>
      </c>
      <c r="E311" s="2535">
        <f>SUM(E312:E315)</f>
        <v>84700000</v>
      </c>
    </row>
    <row r="312" spans="1:5" s="2203" customFormat="1" ht="19.5" x14ac:dyDescent="0.2">
      <c r="A312" s="2207">
        <v>22020302</v>
      </c>
      <c r="B312" s="2208" t="s">
        <v>1196</v>
      </c>
      <c r="C312" s="2220">
        <f>5000000+5000000</f>
        <v>10000000</v>
      </c>
      <c r="D312" s="2206"/>
      <c r="E312" s="2220">
        <f>5000000+5000000</f>
        <v>10000000</v>
      </c>
    </row>
    <row r="313" spans="1:5" s="2203" customFormat="1" ht="19.5" x14ac:dyDescent="0.2">
      <c r="A313" s="2207">
        <v>22020304</v>
      </c>
      <c r="B313" s="2208" t="s">
        <v>1190</v>
      </c>
      <c r="C313" s="2206">
        <v>1000000</v>
      </c>
      <c r="D313" s="2206"/>
      <c r="E313" s="2206">
        <v>1000000</v>
      </c>
    </row>
    <row r="314" spans="1:5" s="2203" customFormat="1" ht="19.5" x14ac:dyDescent="0.2">
      <c r="A314" s="2207">
        <v>22020305</v>
      </c>
      <c r="B314" s="2208" t="s">
        <v>20</v>
      </c>
      <c r="C314" s="2220">
        <v>10000000</v>
      </c>
      <c r="D314" s="2206"/>
      <c r="E314" s="2220">
        <v>10000000</v>
      </c>
    </row>
    <row r="315" spans="1:5" s="2203" customFormat="1" ht="19.5" x14ac:dyDescent="0.2">
      <c r="A315" s="2207">
        <v>22020309</v>
      </c>
      <c r="B315" s="2208" t="s">
        <v>23</v>
      </c>
      <c r="C315" s="2220">
        <f>4500000+9000000+33200000+17000000</f>
        <v>63700000</v>
      </c>
      <c r="D315" s="2206"/>
      <c r="E315" s="2220">
        <f>4500000+9000000+33200000+17000000</f>
        <v>63700000</v>
      </c>
    </row>
    <row r="316" spans="1:5" s="2203" customFormat="1" thickBot="1" x14ac:dyDescent="0.25">
      <c r="A316" s="2533">
        <v>22020400</v>
      </c>
      <c r="B316" s="3261" t="s">
        <v>67</v>
      </c>
      <c r="C316" s="3262">
        <f>SUM(C317:C323)</f>
        <v>175040000</v>
      </c>
      <c r="D316" s="3262">
        <f>SUM(D317:D322)</f>
        <v>0</v>
      </c>
      <c r="E316" s="3262">
        <f>SUM(E317:E324)</f>
        <v>215517176</v>
      </c>
    </row>
    <row r="317" spans="1:5" s="2203" customFormat="1" ht="19.5" x14ac:dyDescent="0.2">
      <c r="A317" s="2207">
        <v>22020401</v>
      </c>
      <c r="B317" s="2219" t="s">
        <v>79</v>
      </c>
      <c r="C317" s="2206">
        <v>35000000</v>
      </c>
      <c r="D317" s="2206"/>
      <c r="E317" s="2206">
        <v>35000000</v>
      </c>
    </row>
    <row r="318" spans="1:5" s="2203" customFormat="1" ht="19.5" x14ac:dyDescent="0.2">
      <c r="A318" s="2207">
        <v>22020402</v>
      </c>
      <c r="B318" s="2208" t="s">
        <v>26</v>
      </c>
      <c r="C318" s="2220">
        <f>7500000+15000000</f>
        <v>22500000</v>
      </c>
      <c r="D318" s="2206"/>
      <c r="E318" s="2220">
        <v>15000000</v>
      </c>
    </row>
    <row r="319" spans="1:5" s="2203" customFormat="1" ht="19.5" x14ac:dyDescent="0.2">
      <c r="A319" s="2207">
        <v>22020403</v>
      </c>
      <c r="B319" s="2219" t="s">
        <v>131</v>
      </c>
      <c r="C319" s="2220">
        <f>10000000+5000000+5000000</f>
        <v>20000000</v>
      </c>
      <c r="D319" s="2206"/>
      <c r="E319" s="2220">
        <f>10000000+5000000+5000000</f>
        <v>20000000</v>
      </c>
    </row>
    <row r="320" spans="1:5" s="2203" customFormat="1" ht="19.5" x14ac:dyDescent="0.2">
      <c r="A320" s="2207">
        <v>22020404</v>
      </c>
      <c r="B320" s="2208" t="s">
        <v>27</v>
      </c>
      <c r="C320" s="2220">
        <f>25000000</f>
        <v>25000000</v>
      </c>
      <c r="D320" s="2206"/>
      <c r="E320" s="2220">
        <v>30437176</v>
      </c>
    </row>
    <row r="321" spans="1:5" s="2203" customFormat="1" ht="19.5" x14ac:dyDescent="0.2">
      <c r="A321" s="2207">
        <v>22020405</v>
      </c>
      <c r="B321" s="2208" t="s">
        <v>28</v>
      </c>
      <c r="C321" s="2220">
        <f>7000000</f>
        <v>7000000</v>
      </c>
      <c r="D321" s="2206"/>
      <c r="E321" s="2220">
        <f>7000000</f>
        <v>7000000</v>
      </c>
    </row>
    <row r="322" spans="1:5" s="2203" customFormat="1" ht="19.5" x14ac:dyDescent="0.2">
      <c r="A322" s="3263">
        <v>22020414</v>
      </c>
      <c r="B322" s="3264" t="s">
        <v>3092</v>
      </c>
      <c r="C322" s="2211">
        <v>65540000</v>
      </c>
      <c r="D322" s="2221"/>
      <c r="E322" s="2211">
        <v>65540000</v>
      </c>
    </row>
    <row r="323" spans="1:5" s="2203" customFormat="1" ht="19.5" x14ac:dyDescent="0.2">
      <c r="A323" s="3263">
        <v>22020414</v>
      </c>
      <c r="B323" s="2208" t="s">
        <v>3091</v>
      </c>
      <c r="C323" s="2211"/>
      <c r="D323" s="2221"/>
      <c r="E323" s="2211">
        <v>15540000</v>
      </c>
    </row>
    <row r="324" spans="1:5" s="2203" customFormat="1" thickBot="1" x14ac:dyDescent="0.25">
      <c r="A324" s="3263">
        <v>22020406</v>
      </c>
      <c r="B324" s="2208" t="s">
        <v>29</v>
      </c>
      <c r="C324" s="2220"/>
      <c r="D324" s="2206"/>
      <c r="E324" s="2220">
        <v>27000000</v>
      </c>
    </row>
    <row r="325" spans="1:5" s="2203" customFormat="1" thickBot="1" x14ac:dyDescent="0.25">
      <c r="A325" s="2204">
        <v>22020500</v>
      </c>
      <c r="B325" s="2205" t="s">
        <v>68</v>
      </c>
      <c r="C325" s="2214">
        <f>SUM(C326:C326)</f>
        <v>100000000</v>
      </c>
      <c r="D325" s="2222">
        <f>SUM(D326:D326)</f>
        <v>0</v>
      </c>
      <c r="E325" s="2535">
        <f>SUM(E326:E326)</f>
        <v>100000000</v>
      </c>
    </row>
    <row r="326" spans="1:5" s="2203" customFormat="1" ht="19.5" x14ac:dyDescent="0.2">
      <c r="A326" s="2207">
        <v>22020501</v>
      </c>
      <c r="B326" s="2208" t="s">
        <v>30</v>
      </c>
      <c r="C326" s="3276">
        <f>90000000+10000000</f>
        <v>100000000</v>
      </c>
      <c r="D326" s="2215"/>
      <c r="E326" s="3276">
        <f>90000000+10000000</f>
        <v>100000000</v>
      </c>
    </row>
    <row r="327" spans="1:5" s="2203" customFormat="1" ht="19.5" x14ac:dyDescent="0.2">
      <c r="A327" s="3268"/>
      <c r="B327" s="3280"/>
      <c r="C327" s="3281"/>
      <c r="D327" s="3241"/>
      <c r="E327" s="3281"/>
    </row>
    <row r="328" spans="1:5" s="3270" customFormat="1" ht="21" thickBot="1" x14ac:dyDescent="0.25">
      <c r="A328" s="3496" t="s">
        <v>2713</v>
      </c>
      <c r="B328" s="3496"/>
      <c r="C328" s="3269"/>
      <c r="D328" s="3269"/>
      <c r="E328" s="3269"/>
    </row>
    <row r="329" spans="1:5" s="2164" customFormat="1" ht="34.5" customHeight="1" thickBot="1" x14ac:dyDescent="0.3">
      <c r="A329" s="2165" t="s">
        <v>1014</v>
      </c>
      <c r="B329" s="2165" t="s">
        <v>282</v>
      </c>
      <c r="C329" s="2166" t="s">
        <v>1174</v>
      </c>
      <c r="D329" s="2166" t="s">
        <v>1145</v>
      </c>
      <c r="E329" s="2166" t="s">
        <v>3096</v>
      </c>
    </row>
    <row r="330" spans="1:5" s="2203" customFormat="1" thickBot="1" x14ac:dyDescent="0.25">
      <c r="A330" s="2204">
        <v>220206</v>
      </c>
      <c r="B330" s="2205" t="s">
        <v>69</v>
      </c>
      <c r="C330" s="2214">
        <f>SUM(C331:C333)</f>
        <v>231000000</v>
      </c>
      <c r="D330" s="2222">
        <f>SUM(D331:D333)</f>
        <v>0</v>
      </c>
      <c r="E330" s="2214">
        <f>SUM(E331:E333)</f>
        <v>231000000</v>
      </c>
    </row>
    <row r="331" spans="1:5" s="2203" customFormat="1" ht="19.5" x14ac:dyDescent="0.2">
      <c r="A331" s="2207">
        <v>22020601</v>
      </c>
      <c r="B331" s="2208" t="s">
        <v>31</v>
      </c>
      <c r="C331" s="2220">
        <f>8000000+200000000</f>
        <v>208000000</v>
      </c>
      <c r="D331" s="2206"/>
      <c r="E331" s="2206">
        <v>200000000</v>
      </c>
    </row>
    <row r="332" spans="1:5" s="2203" customFormat="1" ht="19.5" x14ac:dyDescent="0.2">
      <c r="A332" s="2207">
        <v>22020605</v>
      </c>
      <c r="B332" s="2208" t="s">
        <v>33</v>
      </c>
      <c r="C332" s="3265">
        <v>18000000</v>
      </c>
      <c r="D332" s="3266"/>
      <c r="E332" s="3265">
        <v>18000000</v>
      </c>
    </row>
    <row r="333" spans="1:5" s="2203" customFormat="1" thickBot="1" x14ac:dyDescent="0.25">
      <c r="A333" s="2207">
        <v>22020608</v>
      </c>
      <c r="B333" s="2208" t="s">
        <v>1194</v>
      </c>
      <c r="C333" s="2211">
        <f>5000000</f>
        <v>5000000</v>
      </c>
      <c r="D333" s="2221"/>
      <c r="E333" s="2211">
        <v>13000000</v>
      </c>
    </row>
    <row r="334" spans="1:5" s="2203" customFormat="1" thickBot="1" x14ac:dyDescent="0.25">
      <c r="A334" s="2204">
        <v>220207</v>
      </c>
      <c r="B334" s="3267" t="s">
        <v>70</v>
      </c>
      <c r="C334" s="2214">
        <f>SUM(C335:C338)</f>
        <v>20150000</v>
      </c>
      <c r="D334" s="2222">
        <f>SUM(D335:D338)</f>
        <v>0</v>
      </c>
      <c r="E334" s="2214">
        <f>SUM(E335:E338)</f>
        <v>20150000</v>
      </c>
    </row>
    <row r="335" spans="1:5" s="2203" customFormat="1" ht="19.5" x14ac:dyDescent="0.2">
      <c r="A335" s="2207">
        <v>22020701</v>
      </c>
      <c r="B335" s="2208" t="s">
        <v>34</v>
      </c>
      <c r="C335" s="2206">
        <v>6500000</v>
      </c>
      <c r="D335" s="2206"/>
      <c r="E335" s="2206">
        <v>6500000</v>
      </c>
    </row>
    <row r="336" spans="1:5" s="2203" customFormat="1" ht="19.5" x14ac:dyDescent="0.2">
      <c r="A336" s="2207">
        <v>22020702</v>
      </c>
      <c r="B336" s="2208" t="s">
        <v>35</v>
      </c>
      <c r="C336" s="2206">
        <v>1650000</v>
      </c>
      <c r="D336" s="2206"/>
      <c r="E336" s="2206">
        <v>1650000</v>
      </c>
    </row>
    <row r="337" spans="1:5" s="2203" customFormat="1" ht="19.5" x14ac:dyDescent="0.2">
      <c r="A337" s="2207">
        <v>22020703</v>
      </c>
      <c r="B337" s="2208" t="s">
        <v>36</v>
      </c>
      <c r="C337" s="2220">
        <v>5000000</v>
      </c>
      <c r="D337" s="2206"/>
      <c r="E337" s="2220">
        <v>5000000</v>
      </c>
    </row>
    <row r="338" spans="1:5" s="2203" customFormat="1" thickBot="1" x14ac:dyDescent="0.25">
      <c r="A338" s="2207">
        <v>22020709</v>
      </c>
      <c r="B338" s="2208" t="s">
        <v>1191</v>
      </c>
      <c r="C338" s="2206">
        <v>7000000</v>
      </c>
      <c r="D338" s="2206"/>
      <c r="E338" s="2206">
        <v>7000000</v>
      </c>
    </row>
    <row r="339" spans="1:5" s="2203" customFormat="1" thickBot="1" x14ac:dyDescent="0.25">
      <c r="A339" s="2315">
        <v>22020800</v>
      </c>
      <c r="B339" s="3271" t="s">
        <v>71</v>
      </c>
      <c r="C339" s="2214">
        <f>SUM(C340)</f>
        <v>45000000</v>
      </c>
      <c r="D339" s="2222">
        <f>SUM(D340)</f>
        <v>0</v>
      </c>
      <c r="E339" s="2545">
        <f>SUM(E340)</f>
        <v>50000000</v>
      </c>
    </row>
    <row r="340" spans="1:5" s="2203" customFormat="1" thickBot="1" x14ac:dyDescent="0.25">
      <c r="A340" s="2207">
        <v>22020803</v>
      </c>
      <c r="B340" s="2208" t="s">
        <v>115</v>
      </c>
      <c r="C340" s="3272">
        <v>45000000</v>
      </c>
      <c r="D340" s="3273"/>
      <c r="E340" s="3272">
        <v>50000000</v>
      </c>
    </row>
    <row r="341" spans="1:5" s="2203" customFormat="1" thickBot="1" x14ac:dyDescent="0.25">
      <c r="A341" s="2204">
        <v>220209</v>
      </c>
      <c r="B341" s="2213" t="s">
        <v>72</v>
      </c>
      <c r="C341" s="2214">
        <f>SUM(C342:C342)</f>
        <v>25000000</v>
      </c>
      <c r="D341" s="3250"/>
      <c r="E341" s="2545">
        <f>SUM(E342:E342)</f>
        <v>25000000</v>
      </c>
    </row>
    <row r="342" spans="1:5" s="2203" customFormat="1" thickBot="1" x14ac:dyDescent="0.35">
      <c r="A342" s="3274">
        <v>22020902</v>
      </c>
      <c r="B342" s="3275" t="s">
        <v>40</v>
      </c>
      <c r="C342" s="3272">
        <f>25000000</f>
        <v>25000000</v>
      </c>
      <c r="D342" s="3273"/>
      <c r="E342" s="3272">
        <f>25000000</f>
        <v>25000000</v>
      </c>
    </row>
    <row r="343" spans="1:5" s="2203" customFormat="1" thickBot="1" x14ac:dyDescent="0.25">
      <c r="A343" s="2204">
        <v>22021000</v>
      </c>
      <c r="B343" s="2213" t="s">
        <v>73</v>
      </c>
      <c r="C343" s="2214">
        <f>SUM(C344:C356)</f>
        <v>541700000</v>
      </c>
      <c r="D343" s="3250"/>
      <c r="E343" s="2545">
        <f>SUM(E344:E356)</f>
        <v>651700000</v>
      </c>
    </row>
    <row r="344" spans="1:5" s="2203" customFormat="1" ht="19.5" x14ac:dyDescent="0.2">
      <c r="A344" s="2207">
        <v>22021001</v>
      </c>
      <c r="B344" s="2208" t="s">
        <v>41</v>
      </c>
      <c r="C344" s="3276">
        <f>125000000+36000000</f>
        <v>161000000</v>
      </c>
      <c r="D344" s="2215"/>
      <c r="E344" s="3276">
        <f>125000000+36000000</f>
        <v>161000000</v>
      </c>
    </row>
    <row r="345" spans="1:5" s="2203" customFormat="1" ht="19.5" x14ac:dyDescent="0.2">
      <c r="A345" s="2207">
        <v>22021002</v>
      </c>
      <c r="B345" s="2208" t="s">
        <v>220</v>
      </c>
      <c r="C345" s="2220">
        <f>60000000</f>
        <v>60000000</v>
      </c>
      <c r="D345" s="2206"/>
      <c r="E345" s="2220">
        <f>60000000</f>
        <v>60000000</v>
      </c>
    </row>
    <row r="346" spans="1:5" s="2203" customFormat="1" ht="19.5" x14ac:dyDescent="0.2">
      <c r="A346" s="2207">
        <v>22021003</v>
      </c>
      <c r="B346" s="2208" t="s">
        <v>42</v>
      </c>
      <c r="C346" s="2220">
        <f>15000000</f>
        <v>15000000</v>
      </c>
      <c r="D346" s="2206"/>
      <c r="E346" s="2220">
        <f>15000000</f>
        <v>15000000</v>
      </c>
    </row>
    <row r="347" spans="1:5" s="2203" customFormat="1" ht="19.5" x14ac:dyDescent="0.2">
      <c r="A347" s="2207">
        <v>22021004</v>
      </c>
      <c r="B347" s="2208" t="s">
        <v>142</v>
      </c>
      <c r="C347" s="2206">
        <v>70000000</v>
      </c>
      <c r="D347" s="2206"/>
      <c r="E347" s="2206">
        <v>70000000</v>
      </c>
    </row>
    <row r="348" spans="1:5" s="2203" customFormat="1" ht="19.5" x14ac:dyDescent="0.2">
      <c r="A348" s="2207">
        <v>22021005</v>
      </c>
      <c r="B348" s="2208" t="s">
        <v>3093</v>
      </c>
      <c r="C348" s="2206"/>
      <c r="D348" s="2206"/>
      <c r="E348" s="2206">
        <v>45000000</v>
      </c>
    </row>
    <row r="349" spans="1:5" s="2203" customFormat="1" ht="19.5" x14ac:dyDescent="0.2">
      <c r="A349" s="2207">
        <v>22021006</v>
      </c>
      <c r="B349" s="2208" t="s">
        <v>701</v>
      </c>
      <c r="C349" s="3277">
        <v>500000</v>
      </c>
      <c r="D349" s="2206"/>
      <c r="E349" s="3277">
        <v>500000</v>
      </c>
    </row>
    <row r="350" spans="1:5" s="2203" customFormat="1" ht="19.5" x14ac:dyDescent="0.2">
      <c r="A350" s="2207">
        <v>22021007</v>
      </c>
      <c r="B350" s="2208" t="s">
        <v>44</v>
      </c>
      <c r="C350" s="2206">
        <v>57200000</v>
      </c>
      <c r="D350" s="2206"/>
      <c r="E350" s="2206">
        <v>57200000</v>
      </c>
    </row>
    <row r="351" spans="1:5" s="2203" customFormat="1" ht="19.5" x14ac:dyDescent="0.2">
      <c r="A351" s="2207">
        <v>22021008</v>
      </c>
      <c r="B351" s="2208" t="s">
        <v>45</v>
      </c>
      <c r="C351" s="2220">
        <v>20000000</v>
      </c>
      <c r="D351" s="2206"/>
      <c r="E351" s="2220">
        <v>20000000</v>
      </c>
    </row>
    <row r="352" spans="1:5" s="2203" customFormat="1" ht="19.5" x14ac:dyDescent="0.2">
      <c r="A352" s="2207">
        <v>22021011</v>
      </c>
      <c r="B352" s="2208" t="s">
        <v>1237</v>
      </c>
      <c r="C352" s="2206">
        <v>13000000</v>
      </c>
      <c r="D352" s="2206"/>
      <c r="E352" s="2206">
        <v>13000000</v>
      </c>
    </row>
    <row r="353" spans="1:5" s="2203" customFormat="1" ht="19.5" x14ac:dyDescent="0.2">
      <c r="A353" s="2207">
        <v>22021014</v>
      </c>
      <c r="B353" s="2219" t="s">
        <v>3094</v>
      </c>
      <c r="C353" s="2220">
        <f>40000000+35000000</f>
        <v>75000000</v>
      </c>
      <c r="D353" s="2206"/>
      <c r="E353" s="2220">
        <v>50000000</v>
      </c>
    </row>
    <row r="354" spans="1:5" s="2203" customFormat="1" ht="19.5" x14ac:dyDescent="0.2">
      <c r="A354" s="2207">
        <v>22021014</v>
      </c>
      <c r="B354" s="2219" t="s">
        <v>3095</v>
      </c>
      <c r="C354" s="2220"/>
      <c r="D354" s="2206"/>
      <c r="E354" s="2220">
        <v>40000000</v>
      </c>
    </row>
    <row r="355" spans="1:5" s="2203" customFormat="1" ht="19.5" x14ac:dyDescent="0.2">
      <c r="A355" s="2207">
        <v>22021021</v>
      </c>
      <c r="B355" s="2208" t="s">
        <v>78</v>
      </c>
      <c r="C355" s="2220">
        <f>65000000</f>
        <v>65000000</v>
      </c>
      <c r="D355" s="2206"/>
      <c r="E355" s="2220">
        <v>105000000</v>
      </c>
    </row>
    <row r="356" spans="1:5" s="2203" customFormat="1" thickBot="1" x14ac:dyDescent="0.25">
      <c r="A356" s="2207">
        <v>22021041</v>
      </c>
      <c r="B356" s="2208" t="s">
        <v>3300</v>
      </c>
      <c r="C356" s="2211">
        <f>5000000</f>
        <v>5000000</v>
      </c>
      <c r="D356" s="2221"/>
      <c r="E356" s="2211">
        <v>15000000</v>
      </c>
    </row>
    <row r="357" spans="1:5" s="2203" customFormat="1" thickBot="1" x14ac:dyDescent="0.25">
      <c r="A357" s="2204">
        <v>220401</v>
      </c>
      <c r="B357" s="2213" t="s">
        <v>75</v>
      </c>
      <c r="C357" s="2214">
        <f>SUM(C358:C359)</f>
        <v>135000000</v>
      </c>
      <c r="D357" s="3250"/>
      <c r="E357" s="2545">
        <f>SUM(E358:E359)</f>
        <v>135000000</v>
      </c>
    </row>
    <row r="358" spans="1:5" s="2203" customFormat="1" ht="19.5" x14ac:dyDescent="0.3">
      <c r="A358" s="3274">
        <v>22040109</v>
      </c>
      <c r="B358" s="3275" t="s">
        <v>1193</v>
      </c>
      <c r="C358" s="3276">
        <f>30000000+100000000</f>
        <v>130000000</v>
      </c>
      <c r="D358" s="2215"/>
      <c r="E358" s="3276">
        <f>30000000+100000000</f>
        <v>130000000</v>
      </c>
    </row>
    <row r="359" spans="1:5" s="2203" customFormat="1" ht="19.5" x14ac:dyDescent="0.3">
      <c r="A359" s="3274">
        <v>22040110</v>
      </c>
      <c r="B359" s="3275" t="s">
        <v>1098</v>
      </c>
      <c r="C359" s="2206">
        <v>5000000</v>
      </c>
      <c r="D359" s="2206"/>
      <c r="E359" s="2206">
        <v>5000000</v>
      </c>
    </row>
    <row r="360" spans="1:5" s="2203" customFormat="1" thickBot="1" x14ac:dyDescent="0.25">
      <c r="A360" s="2207"/>
      <c r="B360" s="2205"/>
      <c r="C360" s="3278"/>
      <c r="D360" s="3278"/>
      <c r="E360" s="3278"/>
    </row>
    <row r="361" spans="1:5" s="2218" customFormat="1" thickBot="1" x14ac:dyDescent="0.25">
      <c r="A361" s="3237"/>
      <c r="B361" s="3279" t="s">
        <v>1161</v>
      </c>
      <c r="C361" s="2214">
        <f>SUM(C300,C308,C311,C316,C325,C330,C334,C339,C341,C343,C357)</f>
        <v>2329355000</v>
      </c>
      <c r="D361" s="2222">
        <f>SUM(D300,D308,D311,D316,D325,D330,D334,D339,D341,D343,D357)</f>
        <v>0</v>
      </c>
      <c r="E361" s="2545">
        <f>SUM(E300,E308,E311,E316,E325,E330,E334,E339,E341,E343,E357)</f>
        <v>2497832176</v>
      </c>
    </row>
    <row r="362" spans="1:5" s="1997" customFormat="1" x14ac:dyDescent="0.2">
      <c r="A362" s="2111"/>
      <c r="B362" s="2044"/>
      <c r="C362" s="2003"/>
      <c r="D362" s="2003"/>
      <c r="E362" s="2003"/>
    </row>
    <row r="363" spans="1:5" x14ac:dyDescent="0.2">
      <c r="A363" s="3477" t="s">
        <v>1855</v>
      </c>
      <c r="B363" s="3477"/>
      <c r="C363" s="3477"/>
      <c r="D363" s="3477"/>
      <c r="E363" s="3477"/>
    </row>
    <row r="364" spans="1:5" s="2112" customFormat="1" ht="23.25" thickBot="1" x14ac:dyDescent="0.25">
      <c r="A364" s="3484" t="s">
        <v>723</v>
      </c>
      <c r="B364" s="3484"/>
      <c r="C364" s="3484"/>
      <c r="D364" s="3484"/>
      <c r="E364" s="3484"/>
    </row>
    <row r="365" spans="1:5" s="2116" customFormat="1" ht="81.75" thickBot="1" x14ac:dyDescent="0.25">
      <c r="A365" s="2004" t="s">
        <v>1014</v>
      </c>
      <c r="B365" s="2113" t="s">
        <v>282</v>
      </c>
      <c r="C365" s="2114" t="s">
        <v>1174</v>
      </c>
      <c r="D365" s="2114" t="s">
        <v>1145</v>
      </c>
      <c r="E365" s="2115" t="s">
        <v>3096</v>
      </c>
    </row>
    <row r="366" spans="1:5" s="2112" customFormat="1" ht="23.25" thickBot="1" x14ac:dyDescent="0.25">
      <c r="A366" s="3135">
        <v>22020100</v>
      </c>
      <c r="B366" s="3136" t="s">
        <v>700</v>
      </c>
      <c r="C366" s="3138">
        <f>SUM(C367)</f>
        <v>1425200</v>
      </c>
      <c r="D366" s="3138">
        <f t="shared" ref="D366:E366" si="5">SUM(D367)</f>
        <v>631160</v>
      </c>
      <c r="E366" s="3138">
        <f t="shared" si="5"/>
        <v>1425200</v>
      </c>
    </row>
    <row r="367" spans="1:5" s="2112" customFormat="1" ht="24" thickBot="1" x14ac:dyDescent="0.25">
      <c r="A367" s="2117">
        <v>22020102</v>
      </c>
      <c r="B367" s="3137" t="s">
        <v>1854</v>
      </c>
      <c r="C367" s="3139">
        <v>1425200</v>
      </c>
      <c r="D367" s="3140">
        <v>631160</v>
      </c>
      <c r="E367" s="3139">
        <v>1425200</v>
      </c>
    </row>
    <row r="368" spans="1:5" s="2112" customFormat="1" ht="21" thickBot="1" x14ac:dyDescent="0.25">
      <c r="A368" s="1993">
        <v>22020300</v>
      </c>
      <c r="B368" s="2030" t="s">
        <v>66</v>
      </c>
      <c r="C368" s="2120">
        <f>SUM(C369:C369)</f>
        <v>725200</v>
      </c>
      <c r="D368" s="2121">
        <f>SUM(D369:D369)</f>
        <v>321160</v>
      </c>
      <c r="E368" s="2126">
        <f>SUM(E369:E369)</f>
        <v>725200</v>
      </c>
    </row>
    <row r="369" spans="1:5" s="2112" customFormat="1" ht="21" thickBot="1" x14ac:dyDescent="0.35">
      <c r="A369" s="1861">
        <v>22020301</v>
      </c>
      <c r="B369" s="151" t="s">
        <v>17</v>
      </c>
      <c r="C369" s="3143">
        <v>725200</v>
      </c>
      <c r="D369" s="3144">
        <v>321160</v>
      </c>
      <c r="E369" s="3145">
        <v>725200</v>
      </c>
    </row>
    <row r="370" spans="1:5" s="2112" customFormat="1" ht="21" thickBot="1" x14ac:dyDescent="0.25">
      <c r="A370" s="1993">
        <v>22020400</v>
      </c>
      <c r="B370" s="2030" t="s">
        <v>67</v>
      </c>
      <c r="C370" s="2120">
        <f>SUM(C371:C372)</f>
        <v>2625200</v>
      </c>
      <c r="D370" s="2121">
        <f>SUM(D371:D372)</f>
        <v>1331160</v>
      </c>
      <c r="E370" s="2126">
        <f>SUM(E371:E372)</f>
        <v>2625200</v>
      </c>
    </row>
    <row r="371" spans="1:5" s="2112" customFormat="1" x14ac:dyDescent="0.3">
      <c r="A371" s="1861">
        <v>22020401</v>
      </c>
      <c r="B371" s="2024" t="s">
        <v>79</v>
      </c>
      <c r="C371" s="3141">
        <v>1425200</v>
      </c>
      <c r="D371" s="541">
        <v>631160</v>
      </c>
      <c r="E371" s="3142">
        <v>1425200</v>
      </c>
    </row>
    <row r="372" spans="1:5" s="2112" customFormat="1" ht="21" thickBot="1" x14ac:dyDescent="0.25">
      <c r="A372" s="1861">
        <v>22020406</v>
      </c>
      <c r="B372" s="151" t="s">
        <v>29</v>
      </c>
      <c r="C372" s="2124">
        <v>1200000</v>
      </c>
      <c r="D372" s="2125">
        <v>700000</v>
      </c>
      <c r="E372" s="2124">
        <v>1200000</v>
      </c>
    </row>
    <row r="373" spans="1:5" s="2112" customFormat="1" ht="21" thickBot="1" x14ac:dyDescent="0.25">
      <c r="A373" s="1993">
        <v>22021000</v>
      </c>
      <c r="B373" s="2030" t="s">
        <v>73</v>
      </c>
      <c r="C373" s="2120">
        <f>SUM(C374:C375)</f>
        <v>3064400</v>
      </c>
      <c r="D373" s="2121">
        <f>SUM(D374:D375)</f>
        <v>1361520</v>
      </c>
      <c r="E373" s="2126">
        <f>SUM(E374:E375)</f>
        <v>3064400</v>
      </c>
    </row>
    <row r="374" spans="1:5" s="2112" customFormat="1" x14ac:dyDescent="0.2">
      <c r="A374" s="1861">
        <v>22021001</v>
      </c>
      <c r="B374" s="151" t="s">
        <v>41</v>
      </c>
      <c r="C374" s="2122">
        <v>1775200</v>
      </c>
      <c r="D374" s="2123">
        <v>786160</v>
      </c>
      <c r="E374" s="2122">
        <v>1775200</v>
      </c>
    </row>
    <row r="375" spans="1:5" s="2112" customFormat="1" x14ac:dyDescent="0.2">
      <c r="A375" s="1861">
        <v>22021041</v>
      </c>
      <c r="B375" s="151" t="s">
        <v>127</v>
      </c>
      <c r="C375" s="2118">
        <v>1289200</v>
      </c>
      <c r="D375" s="2119">
        <v>575360</v>
      </c>
      <c r="E375" s="2118">
        <v>1289200</v>
      </c>
    </row>
    <row r="376" spans="1:5" s="2112" customFormat="1" ht="21" thickBot="1" x14ac:dyDescent="0.25">
      <c r="A376" s="1861"/>
      <c r="B376" s="151"/>
      <c r="C376" s="2124"/>
      <c r="D376" s="2125"/>
      <c r="E376" s="2124"/>
    </row>
    <row r="377" spans="1:5" s="2112" customFormat="1" ht="21" thickBot="1" x14ac:dyDescent="0.25">
      <c r="A377" s="2177"/>
      <c r="B377" s="2187" t="s">
        <v>1338</v>
      </c>
      <c r="C377" s="2120">
        <f>SUM(C366,C368,C370,C373)</f>
        <v>7840000</v>
      </c>
      <c r="D377" s="2120">
        <f t="shared" ref="D377:E377" si="6">SUM(D366,D368,D370,D373)</f>
        <v>3645000</v>
      </c>
      <c r="E377" s="2120">
        <f t="shared" si="6"/>
        <v>7840000</v>
      </c>
    </row>
    <row r="378" spans="1:5" s="1997" customFormat="1" x14ac:dyDescent="0.2">
      <c r="A378" s="2111"/>
      <c r="B378" s="2044"/>
      <c r="C378" s="2003"/>
      <c r="D378" s="2003"/>
      <c r="E378" s="2003"/>
    </row>
    <row r="379" spans="1:5" x14ac:dyDescent="0.2">
      <c r="A379" s="3477" t="s">
        <v>1855</v>
      </c>
      <c r="B379" s="3477"/>
      <c r="C379" s="3477"/>
      <c r="D379" s="3477"/>
      <c r="E379" s="3477"/>
    </row>
    <row r="380" spans="1:5" x14ac:dyDescent="0.2">
      <c r="A380" s="3477" t="s">
        <v>641</v>
      </c>
      <c r="B380" s="3477"/>
      <c r="C380" s="3477"/>
      <c r="D380" s="3477"/>
      <c r="E380" s="3477"/>
    </row>
    <row r="381" spans="1:5" ht="21" thickBot="1" x14ac:dyDescent="0.25">
      <c r="A381" s="3476" t="s">
        <v>139</v>
      </c>
      <c r="B381" s="3476"/>
      <c r="C381" s="3476"/>
      <c r="D381" s="3476"/>
      <c r="E381" s="3476"/>
    </row>
    <row r="382" spans="1:5" ht="81.75" thickBot="1" x14ac:dyDescent="0.35">
      <c r="A382" s="2004" t="s">
        <v>1014</v>
      </c>
      <c r="B382" s="2004" t="s">
        <v>282</v>
      </c>
      <c r="C382" s="173" t="s">
        <v>1174</v>
      </c>
      <c r="D382" s="173" t="s">
        <v>1145</v>
      </c>
      <c r="E382" s="173" t="s">
        <v>3096</v>
      </c>
    </row>
    <row r="383" spans="1:5" s="2112" customFormat="1" ht="21" thickBot="1" x14ac:dyDescent="0.25">
      <c r="A383" s="2019"/>
      <c r="B383" s="2020"/>
      <c r="C383" s="2021"/>
      <c r="D383" s="2022"/>
      <c r="E383" s="2023"/>
    </row>
    <row r="384" spans="1:5" s="2112" customFormat="1" ht="21" thickBot="1" x14ac:dyDescent="0.25">
      <c r="A384" s="1993">
        <v>22020100</v>
      </c>
      <c r="B384" s="2030" t="s">
        <v>64</v>
      </c>
      <c r="C384" s="1994">
        <f>SUM(C385:C385)</f>
        <v>1960000</v>
      </c>
      <c r="D384" s="2011">
        <f>SUM(D385:D385)</f>
        <v>756000</v>
      </c>
      <c r="E384" s="2012">
        <f>SUM(E385:E385)</f>
        <v>1960000</v>
      </c>
    </row>
    <row r="385" spans="1:5" s="2112" customFormat="1" x14ac:dyDescent="0.2">
      <c r="A385" s="1861">
        <v>22020102</v>
      </c>
      <c r="B385" s="151" t="s">
        <v>10</v>
      </c>
      <c r="C385" s="1893">
        <v>1960000</v>
      </c>
      <c r="D385" s="1893">
        <v>756000</v>
      </c>
      <c r="E385" s="1893">
        <v>1960000</v>
      </c>
    </row>
    <row r="386" spans="1:5" s="2129" customFormat="1" ht="21" x14ac:dyDescent="0.35">
      <c r="A386" s="1993">
        <v>22020200</v>
      </c>
      <c r="B386" s="2010" t="s">
        <v>1478</v>
      </c>
      <c r="C386" s="2065">
        <f>SUM(C387)</f>
        <v>665000</v>
      </c>
      <c r="D386" s="2065">
        <f>SUM(D387)</f>
        <v>0</v>
      </c>
      <c r="E386" s="2065">
        <f>SUM(E387)</f>
        <v>665000</v>
      </c>
    </row>
    <row r="387" spans="1:5" s="2129" customFormat="1" ht="21.75" thickBot="1" x14ac:dyDescent="0.4">
      <c r="A387" s="1861">
        <v>22020201</v>
      </c>
      <c r="B387" s="151" t="s">
        <v>1216</v>
      </c>
      <c r="C387" s="2037">
        <f>329000+336000</f>
        <v>665000</v>
      </c>
      <c r="D387" s="1892">
        <v>0</v>
      </c>
      <c r="E387" s="2037">
        <f>329000+336000</f>
        <v>665000</v>
      </c>
    </row>
    <row r="388" spans="1:5" s="2112" customFormat="1" ht="21" thickBot="1" x14ac:dyDescent="0.25">
      <c r="A388" s="1993">
        <v>22020300</v>
      </c>
      <c r="B388" s="2030" t="s">
        <v>66</v>
      </c>
      <c r="C388" s="1994">
        <f>SUM(C389:C390)</f>
        <v>1833185</v>
      </c>
      <c r="D388" s="2011">
        <f>SUM(D389:D390)</f>
        <v>171000</v>
      </c>
      <c r="E388" s="2012">
        <f>SUM(E389:E390)</f>
        <v>1833185</v>
      </c>
    </row>
    <row r="389" spans="1:5" s="2112" customFormat="1" x14ac:dyDescent="0.2">
      <c r="A389" s="1861">
        <v>22020301</v>
      </c>
      <c r="B389" s="151" t="s">
        <v>17</v>
      </c>
      <c r="C389" s="1893">
        <v>448000</v>
      </c>
      <c r="D389" s="1893">
        <v>171000</v>
      </c>
      <c r="E389" s="1893">
        <v>448000</v>
      </c>
    </row>
    <row r="390" spans="1:5" s="2112" customFormat="1" ht="21" thickBot="1" x14ac:dyDescent="0.25">
      <c r="A390" s="1861">
        <v>22020309</v>
      </c>
      <c r="B390" s="151" t="s">
        <v>23</v>
      </c>
      <c r="C390" s="1892">
        <v>1385185</v>
      </c>
      <c r="D390" s="1892">
        <v>0</v>
      </c>
      <c r="E390" s="1892">
        <v>1385185</v>
      </c>
    </row>
    <row r="391" spans="1:5" s="2112" customFormat="1" ht="21" thickBot="1" x14ac:dyDescent="0.25">
      <c r="A391" s="1993">
        <v>22020400</v>
      </c>
      <c r="B391" s="2030" t="s">
        <v>67</v>
      </c>
      <c r="C391" s="1994">
        <f>SUM(C392:C395)</f>
        <v>4490000</v>
      </c>
      <c r="D391" s="2011">
        <f>SUM(D392:D395)</f>
        <v>1653000</v>
      </c>
      <c r="E391" s="2012">
        <f>SUM(E392:E395)</f>
        <v>4490000</v>
      </c>
    </row>
    <row r="392" spans="1:5" s="2112" customFormat="1" x14ac:dyDescent="0.2">
      <c r="A392" s="1861">
        <v>22020401</v>
      </c>
      <c r="B392" s="2024" t="s">
        <v>79</v>
      </c>
      <c r="C392" s="1893">
        <v>2450000</v>
      </c>
      <c r="D392" s="1893">
        <v>999000</v>
      </c>
      <c r="E392" s="1893">
        <v>2450000</v>
      </c>
    </row>
    <row r="393" spans="1:5" s="2112" customFormat="1" x14ac:dyDescent="0.2">
      <c r="A393" s="1861">
        <v>22020404</v>
      </c>
      <c r="B393" s="151" t="s">
        <v>27</v>
      </c>
      <c r="C393" s="2000">
        <f>210000+140000+350000</f>
        <v>700000</v>
      </c>
      <c r="D393" s="152">
        <v>654000</v>
      </c>
      <c r="E393" s="2000">
        <f>210000+140000+350000</f>
        <v>700000</v>
      </c>
    </row>
    <row r="394" spans="1:5" s="2112" customFormat="1" x14ac:dyDescent="0.2">
      <c r="A394" s="1861">
        <v>22020406</v>
      </c>
      <c r="B394" s="151" t="s">
        <v>29</v>
      </c>
      <c r="C394" s="152">
        <v>1200000</v>
      </c>
      <c r="D394" s="152"/>
      <c r="E394" s="152">
        <v>1200000</v>
      </c>
    </row>
    <row r="395" spans="1:5" s="2112" customFormat="1" ht="21" thickBot="1" x14ac:dyDescent="0.25">
      <c r="A395" s="1861">
        <v>22020411</v>
      </c>
      <c r="B395" s="151" t="s">
        <v>113</v>
      </c>
      <c r="C395" s="1892">
        <v>140000</v>
      </c>
      <c r="D395" s="1892"/>
      <c r="E395" s="1892">
        <v>140000</v>
      </c>
    </row>
    <row r="396" spans="1:5" s="2112" customFormat="1" ht="21" thickBot="1" x14ac:dyDescent="0.25">
      <c r="A396" s="1993">
        <v>22020700</v>
      </c>
      <c r="B396" s="2176" t="s">
        <v>70</v>
      </c>
      <c r="C396" s="1994">
        <f>SUM(C397)</f>
        <v>21000000</v>
      </c>
      <c r="D396" s="2011">
        <f>SUM(D397)</f>
        <v>0</v>
      </c>
      <c r="E396" s="2012">
        <f>SUM(E397)</f>
        <v>21000000</v>
      </c>
    </row>
    <row r="397" spans="1:5" s="2112" customFormat="1" ht="21" thickBot="1" x14ac:dyDescent="0.25">
      <c r="A397" s="1861">
        <v>22020702</v>
      </c>
      <c r="B397" s="151" t="s">
        <v>35</v>
      </c>
      <c r="C397" s="2058">
        <v>21000000</v>
      </c>
      <c r="D397" s="2058" t="s">
        <v>1466</v>
      </c>
      <c r="E397" s="2058">
        <v>21000000</v>
      </c>
    </row>
    <row r="398" spans="1:5" s="2112" customFormat="1" ht="21" thickBot="1" x14ac:dyDescent="0.25">
      <c r="A398" s="1993">
        <v>22021000</v>
      </c>
      <c r="B398" s="2030" t="s">
        <v>73</v>
      </c>
      <c r="C398" s="1994">
        <f>SUM(C399:C401)</f>
        <v>505878006</v>
      </c>
      <c r="D398" s="2011">
        <f>SUM(D399:D401)</f>
        <v>180906291</v>
      </c>
      <c r="E398" s="2012">
        <f>SUM(E399:E401)</f>
        <v>505878006</v>
      </c>
    </row>
    <row r="399" spans="1:5" s="2112" customFormat="1" x14ac:dyDescent="0.2">
      <c r="A399" s="1861">
        <v>22021001</v>
      </c>
      <c r="B399" s="151" t="s">
        <v>41</v>
      </c>
      <c r="C399" s="1893">
        <v>210000</v>
      </c>
      <c r="D399" s="1893">
        <v>81000</v>
      </c>
      <c r="E399" s="1893">
        <v>210000</v>
      </c>
    </row>
    <row r="400" spans="1:5" s="2112" customFormat="1" x14ac:dyDescent="0.2">
      <c r="A400" s="1861">
        <v>22021002</v>
      </c>
      <c r="B400" s="151" t="s">
        <v>1099</v>
      </c>
      <c r="C400" s="152">
        <v>1028006</v>
      </c>
      <c r="D400" s="152">
        <v>396516</v>
      </c>
      <c r="E400" s="152">
        <v>1028006</v>
      </c>
    </row>
    <row r="401" spans="1:5" s="2112" customFormat="1" x14ac:dyDescent="0.2">
      <c r="A401" s="1861">
        <v>22021003</v>
      </c>
      <c r="B401" s="151" t="s">
        <v>42</v>
      </c>
      <c r="C401" s="152">
        <v>504640000</v>
      </c>
      <c r="D401" s="152">
        <v>180428775</v>
      </c>
      <c r="E401" s="152">
        <v>504640000</v>
      </c>
    </row>
    <row r="402" spans="1:5" ht="21" thickBot="1" x14ac:dyDescent="0.25">
      <c r="A402" s="1861"/>
      <c r="B402" s="151"/>
      <c r="C402" s="1892"/>
      <c r="D402" s="1892"/>
      <c r="E402" s="1892"/>
    </row>
    <row r="403" spans="1:5" ht="21" thickBot="1" x14ac:dyDescent="0.25">
      <c r="A403" s="2177"/>
      <c r="B403" s="2187" t="s">
        <v>1329</v>
      </c>
      <c r="C403" s="1994">
        <f>SUM(C384,C386,C388,C391,C396,C398)</f>
        <v>535826191</v>
      </c>
      <c r="D403" s="2011">
        <f>SUM(D384,D386,D388,D391,D396,D398)</f>
        <v>183486291</v>
      </c>
      <c r="E403" s="2012">
        <f>SUM(E384,E386,E388,E391,E396,E398)</f>
        <v>535826191</v>
      </c>
    </row>
    <row r="404" spans="1:5" x14ac:dyDescent="0.2">
      <c r="A404" s="3477"/>
      <c r="B404" s="3477"/>
      <c r="C404" s="3477"/>
      <c r="D404" s="3477"/>
      <c r="E404" s="3477"/>
    </row>
    <row r="405" spans="1:5" s="2083" customFormat="1" x14ac:dyDescent="0.3">
      <c r="A405" s="3477" t="s">
        <v>1475</v>
      </c>
      <c r="B405" s="3477"/>
      <c r="C405" s="3477"/>
      <c r="D405" s="3477"/>
      <c r="E405" s="3477"/>
    </row>
    <row r="406" spans="1:5" s="2083" customFormat="1" x14ac:dyDescent="0.3">
      <c r="A406" s="3477" t="s">
        <v>1476</v>
      </c>
      <c r="B406" s="3477"/>
      <c r="C406" s="3477"/>
      <c r="D406" s="3477"/>
      <c r="E406" s="3477"/>
    </row>
    <row r="407" spans="1:5" s="2083" customFormat="1" ht="21" thickBot="1" x14ac:dyDescent="0.35">
      <c r="A407" s="3476" t="s">
        <v>1486</v>
      </c>
      <c r="B407" s="3476"/>
      <c r="C407" s="3476"/>
      <c r="D407" s="3476"/>
      <c r="E407" s="3476"/>
    </row>
    <row r="408" spans="1:5" ht="81.75" thickBot="1" x14ac:dyDescent="0.35">
      <c r="A408" s="2004" t="s">
        <v>1014</v>
      </c>
      <c r="B408" s="2004" t="s">
        <v>282</v>
      </c>
      <c r="C408" s="173" t="s">
        <v>1174</v>
      </c>
      <c r="D408" s="173" t="s">
        <v>1145</v>
      </c>
      <c r="E408" s="173" t="s">
        <v>3096</v>
      </c>
    </row>
    <row r="409" spans="1:5" s="2083" customFormat="1" ht="21" thickBot="1" x14ac:dyDescent="0.35">
      <c r="A409" s="2019"/>
      <c r="B409" s="2020"/>
      <c r="C409" s="2021"/>
      <c r="D409" s="2022"/>
      <c r="E409" s="2021"/>
    </row>
    <row r="410" spans="1:5" s="2112" customFormat="1" ht="21" thickBot="1" x14ac:dyDescent="0.25">
      <c r="A410" s="1993">
        <v>22020400</v>
      </c>
      <c r="B410" s="2030" t="s">
        <v>67</v>
      </c>
      <c r="C410" s="1994">
        <f>SUM(C411:C412)</f>
        <v>27368000</v>
      </c>
      <c r="D410" s="2011">
        <f>SUM(D411:D412)</f>
        <v>12026437</v>
      </c>
      <c r="E410" s="2012">
        <f>SUM(E411:E412)</f>
        <v>27368000</v>
      </c>
    </row>
    <row r="411" spans="1:5" s="2112" customFormat="1" x14ac:dyDescent="0.2">
      <c r="A411" s="1861">
        <v>22020401</v>
      </c>
      <c r="B411" s="153" t="s">
        <v>1491</v>
      </c>
      <c r="C411" s="1893">
        <v>1368000</v>
      </c>
      <c r="D411" s="1893">
        <v>932000</v>
      </c>
      <c r="E411" s="1893">
        <v>1368000</v>
      </c>
    </row>
    <row r="412" spans="1:5" s="2112" customFormat="1" ht="21" thickBot="1" x14ac:dyDescent="0.25">
      <c r="A412" s="1861">
        <v>22020406</v>
      </c>
      <c r="B412" s="153" t="s">
        <v>3301</v>
      </c>
      <c r="C412" s="152">
        <v>26000000</v>
      </c>
      <c r="D412" s="152">
        <v>11094437</v>
      </c>
      <c r="E412" s="152">
        <v>26000000</v>
      </c>
    </row>
    <row r="413" spans="1:5" s="2083" customFormat="1" ht="21" thickBot="1" x14ac:dyDescent="0.35">
      <c r="A413" s="1993">
        <v>22020800</v>
      </c>
      <c r="B413" s="2010" t="s">
        <v>71</v>
      </c>
      <c r="C413" s="2106">
        <f>SUM(C414:C414)</f>
        <v>7892860</v>
      </c>
      <c r="D413" s="2011">
        <f>SUM(D414:D414)</f>
        <v>2734135</v>
      </c>
      <c r="E413" s="2012">
        <f>SUM(E414:E414)</f>
        <v>7892860</v>
      </c>
    </row>
    <row r="414" spans="1:5" s="2083" customFormat="1" ht="21" thickBot="1" x14ac:dyDescent="0.35">
      <c r="A414" s="1861">
        <v>22020803</v>
      </c>
      <c r="B414" s="151" t="s">
        <v>1490</v>
      </c>
      <c r="C414" s="2508">
        <v>7892860</v>
      </c>
      <c r="D414" s="2037">
        <v>2734135</v>
      </c>
      <c r="E414" s="2037">
        <v>7892860</v>
      </c>
    </row>
    <row r="415" spans="1:5" s="2083" customFormat="1" ht="21" thickBot="1" x14ac:dyDescent="0.35">
      <c r="A415" s="1993">
        <v>22021000</v>
      </c>
      <c r="B415" s="2010" t="s">
        <v>73</v>
      </c>
      <c r="C415" s="2106">
        <f>SUM(C416:C416)</f>
        <v>2200000</v>
      </c>
      <c r="D415" s="1994">
        <f>SUM(D416:D416)</f>
        <v>500000</v>
      </c>
      <c r="E415" s="1994">
        <f>SUM(E416:E416)</f>
        <v>2200000</v>
      </c>
    </row>
    <row r="416" spans="1:5" s="2083" customFormat="1" x14ac:dyDescent="0.3">
      <c r="A416" s="1861">
        <v>22021002</v>
      </c>
      <c r="B416" s="151" t="s">
        <v>1492</v>
      </c>
      <c r="C416" s="2076">
        <v>2200000</v>
      </c>
      <c r="D416" s="1892">
        <v>500000</v>
      </c>
      <c r="E416" s="1892">
        <v>2200000</v>
      </c>
    </row>
    <row r="417" spans="1:5" s="2083" customFormat="1" ht="21" thickBot="1" x14ac:dyDescent="0.35">
      <c r="A417" s="1993"/>
      <c r="B417" s="2010"/>
      <c r="C417" s="3147"/>
      <c r="D417" s="2097"/>
      <c r="E417" s="2097"/>
    </row>
    <row r="418" spans="1:5" s="2083" customFormat="1" ht="21" thickBot="1" x14ac:dyDescent="0.35">
      <c r="A418" s="2104"/>
      <c r="B418" s="2105" t="s">
        <v>1489</v>
      </c>
      <c r="C418" s="2062">
        <f>C410+C413+C415</f>
        <v>37460860</v>
      </c>
      <c r="D418" s="2018">
        <f>D410+D413+D415</f>
        <v>15260572</v>
      </c>
      <c r="E418" s="2018">
        <f>E410+E413+E415</f>
        <v>37460860</v>
      </c>
    </row>
    <row r="419" spans="1:5" s="2083" customFormat="1" x14ac:dyDescent="0.3">
      <c r="A419" s="2111"/>
      <c r="B419" s="2044"/>
      <c r="C419" s="2045"/>
      <c r="D419" s="2045"/>
      <c r="E419" s="2045"/>
    </row>
    <row r="420" spans="1:5" s="2083" customFormat="1" x14ac:dyDescent="0.3">
      <c r="A420" s="3477" t="s">
        <v>1475</v>
      </c>
      <c r="B420" s="3477"/>
      <c r="C420" s="3477"/>
      <c r="D420" s="3477"/>
      <c r="E420" s="3477"/>
    </row>
    <row r="421" spans="1:5" s="2083" customFormat="1" x14ac:dyDescent="0.3">
      <c r="A421" s="3477" t="s">
        <v>1509</v>
      </c>
      <c r="B421" s="3477"/>
      <c r="C421" s="3477"/>
      <c r="D421" s="3477"/>
      <c r="E421" s="3477"/>
    </row>
    <row r="422" spans="1:5" s="2083" customFormat="1" ht="21" thickBot="1" x14ac:dyDescent="0.35">
      <c r="A422" s="3476" t="s">
        <v>1480</v>
      </c>
      <c r="B422" s="3476"/>
      <c r="C422" s="3476"/>
      <c r="D422" s="3476"/>
      <c r="E422" s="3476"/>
    </row>
    <row r="423" spans="1:5" ht="81" x14ac:dyDescent="0.3">
      <c r="A423" s="1985" t="s">
        <v>1014</v>
      </c>
      <c r="B423" s="1985" t="s">
        <v>282</v>
      </c>
      <c r="C423" s="1987" t="s">
        <v>1174</v>
      </c>
      <c r="D423" s="1987" t="s">
        <v>1145</v>
      </c>
      <c r="E423" s="1987" t="s">
        <v>3096</v>
      </c>
    </row>
    <row r="424" spans="1:5" s="2083" customFormat="1" ht="21" thickBot="1" x14ac:dyDescent="0.35">
      <c r="A424" s="2024"/>
      <c r="B424" s="2084"/>
      <c r="C424" s="152"/>
      <c r="D424" s="152"/>
      <c r="E424" s="152"/>
    </row>
    <row r="425" spans="1:5" s="2083" customFormat="1" ht="21" thickBot="1" x14ac:dyDescent="0.35">
      <c r="A425" s="1993">
        <v>22020100</v>
      </c>
      <c r="B425" s="2010" t="s">
        <v>64</v>
      </c>
      <c r="C425" s="1994">
        <f>SUM(C426:C427)</f>
        <v>500000</v>
      </c>
      <c r="D425" s="2011">
        <f>SUM(D426:D427)</f>
        <v>478650</v>
      </c>
      <c r="E425" s="2012">
        <f>SUM(E426:E427)</f>
        <v>500000</v>
      </c>
    </row>
    <row r="426" spans="1:5" s="2083" customFormat="1" x14ac:dyDescent="0.3">
      <c r="A426" s="1861">
        <v>22020101</v>
      </c>
      <c r="B426" s="1991" t="s">
        <v>9</v>
      </c>
      <c r="C426" s="152"/>
      <c r="D426" s="1990"/>
      <c r="E426" s="152"/>
    </row>
    <row r="427" spans="1:5" s="2083" customFormat="1" ht="21" thickBot="1" x14ac:dyDescent="0.35">
      <c r="A427" s="1861">
        <v>22020102</v>
      </c>
      <c r="B427" s="151" t="s">
        <v>10</v>
      </c>
      <c r="C427" s="1892">
        <v>500000</v>
      </c>
      <c r="D427" s="1892">
        <v>478650</v>
      </c>
      <c r="E427" s="1892">
        <v>500000</v>
      </c>
    </row>
    <row r="428" spans="1:5" s="2083" customFormat="1" ht="21" thickBot="1" x14ac:dyDescent="0.35">
      <c r="A428" s="1993">
        <v>22020300</v>
      </c>
      <c r="B428" s="2010" t="s">
        <v>66</v>
      </c>
      <c r="C428" s="1994">
        <f>SUM(C429:C430)</f>
        <v>920000</v>
      </c>
      <c r="D428" s="2011">
        <f>SUM(D429:D430)</f>
        <v>454080</v>
      </c>
      <c r="E428" s="2012">
        <f>SUM(E429:E430)</f>
        <v>920000</v>
      </c>
    </row>
    <row r="429" spans="1:5" s="2083" customFormat="1" x14ac:dyDescent="0.3">
      <c r="A429" s="1861">
        <v>22020301</v>
      </c>
      <c r="B429" s="178" t="s">
        <v>1510</v>
      </c>
      <c r="C429" s="152">
        <v>150000</v>
      </c>
      <c r="D429" s="152">
        <v>74000</v>
      </c>
      <c r="E429" s="152">
        <v>150000</v>
      </c>
    </row>
    <row r="430" spans="1:5" s="2083" customFormat="1" ht="21" thickBot="1" x14ac:dyDescent="0.35">
      <c r="A430" s="1861">
        <v>22020302</v>
      </c>
      <c r="B430" s="178" t="s">
        <v>1511</v>
      </c>
      <c r="C430" s="152">
        <v>770000</v>
      </c>
      <c r="D430" s="152">
        <v>380080</v>
      </c>
      <c r="E430" s="152">
        <v>770000</v>
      </c>
    </row>
    <row r="431" spans="1:5" s="2083" customFormat="1" ht="21" thickBot="1" x14ac:dyDescent="0.35">
      <c r="A431" s="1993">
        <v>22020400</v>
      </c>
      <c r="B431" s="2010" t="s">
        <v>67</v>
      </c>
      <c r="C431" s="1994">
        <f>SUM(C432:C432)</f>
        <v>689944</v>
      </c>
      <c r="D431" s="1994">
        <f>SUM(D432:D432)</f>
        <v>489200</v>
      </c>
      <c r="E431" s="1994">
        <f>SUM(E432:E432)</f>
        <v>689944</v>
      </c>
    </row>
    <row r="432" spans="1:5" s="2083" customFormat="1" x14ac:dyDescent="0.3">
      <c r="A432" s="1861">
        <v>22020401</v>
      </c>
      <c r="B432" s="178" t="s">
        <v>1512</v>
      </c>
      <c r="C432" s="152">
        <v>689944</v>
      </c>
      <c r="D432" s="152">
        <v>489200</v>
      </c>
      <c r="E432" s="152">
        <v>689944</v>
      </c>
    </row>
    <row r="433" spans="1:5" s="2112" customFormat="1" x14ac:dyDescent="0.2">
      <c r="A433" s="1993">
        <v>22020400</v>
      </c>
      <c r="B433" s="2010" t="s">
        <v>67</v>
      </c>
      <c r="C433" s="3149">
        <f>SUM(C434)</f>
        <v>50300000</v>
      </c>
      <c r="D433" s="2065">
        <f>SUM(D434)</f>
        <v>36039452</v>
      </c>
      <c r="E433" s="2065">
        <f>SUM(E434)</f>
        <v>74300000</v>
      </c>
    </row>
    <row r="434" spans="1:5" s="2112" customFormat="1" ht="21" thickBot="1" x14ac:dyDescent="0.25">
      <c r="A434" s="1861">
        <v>22020401</v>
      </c>
      <c r="B434" s="151" t="s">
        <v>3297</v>
      </c>
      <c r="C434" s="2057">
        <v>50300000</v>
      </c>
      <c r="D434" s="2058">
        <v>36039452</v>
      </c>
      <c r="E434" s="1892">
        <v>74300000</v>
      </c>
    </row>
    <row r="435" spans="1:5" s="2083" customFormat="1" ht="21" thickBot="1" x14ac:dyDescent="0.35">
      <c r="A435" s="1993">
        <v>22020800</v>
      </c>
      <c r="B435" s="196" t="s">
        <v>71</v>
      </c>
      <c r="C435" s="2106">
        <f>SUM(C436:C436)</f>
        <v>6392158</v>
      </c>
      <c r="D435" s="2011">
        <f>SUM(D436:D436)</f>
        <v>6156670</v>
      </c>
      <c r="E435" s="2012">
        <f>SUM(E436:E436)</f>
        <v>7000000</v>
      </c>
    </row>
    <row r="436" spans="1:5" s="2083" customFormat="1" x14ac:dyDescent="0.3">
      <c r="A436" s="1861">
        <v>22020803</v>
      </c>
      <c r="B436" s="178" t="s">
        <v>1513</v>
      </c>
      <c r="C436" s="3150">
        <v>6392158</v>
      </c>
      <c r="D436" s="2086">
        <v>6156670</v>
      </c>
      <c r="E436" s="2086">
        <v>7000000</v>
      </c>
    </row>
    <row r="437" spans="1:5" s="2083" customFormat="1" ht="21" thickBot="1" x14ac:dyDescent="0.35">
      <c r="A437" s="2131"/>
      <c r="B437" s="2010"/>
      <c r="C437" s="3147"/>
      <c r="D437" s="2097"/>
      <c r="E437" s="2097"/>
    </row>
    <row r="438" spans="1:5" s="2083" customFormat="1" ht="21" thickBot="1" x14ac:dyDescent="0.35">
      <c r="A438" s="2104"/>
      <c r="B438" s="2187" t="s">
        <v>2504</v>
      </c>
      <c r="C438" s="2018">
        <f>C425+C428+C431+C433+C435</f>
        <v>58802102</v>
      </c>
      <c r="D438" s="2018">
        <f>D425+D428+D431+D433+D435</f>
        <v>43618052</v>
      </c>
      <c r="E438" s="2018">
        <f>E425+E428+E431+E433+E435</f>
        <v>83409944</v>
      </c>
    </row>
    <row r="439" spans="1:5" s="2083" customFormat="1" x14ac:dyDescent="0.3">
      <c r="C439" s="2132"/>
      <c r="E439" s="2132"/>
    </row>
    <row r="440" spans="1:5" s="2083" customFormat="1" x14ac:dyDescent="0.3">
      <c r="C440" s="2132"/>
      <c r="E440" s="2132"/>
    </row>
    <row r="441" spans="1:5" s="2083" customFormat="1" x14ac:dyDescent="0.3">
      <c r="A441" s="3477" t="s">
        <v>1475</v>
      </c>
      <c r="B441" s="3477"/>
      <c r="C441" s="3477"/>
      <c r="D441" s="3477"/>
      <c r="E441" s="3477"/>
    </row>
    <row r="442" spans="1:5" s="2083" customFormat="1" x14ac:dyDescent="0.3">
      <c r="A442" s="3477" t="s">
        <v>1476</v>
      </c>
      <c r="B442" s="3477"/>
      <c r="C442" s="3477"/>
      <c r="D442" s="3477"/>
      <c r="E442" s="3477"/>
    </row>
    <row r="443" spans="1:5" s="2083" customFormat="1" ht="21" thickBot="1" x14ac:dyDescent="0.35">
      <c r="A443" s="3477" t="s">
        <v>1453</v>
      </c>
      <c r="B443" s="3477"/>
      <c r="C443" s="3477"/>
      <c r="D443" s="3477"/>
      <c r="E443" s="3477"/>
    </row>
    <row r="444" spans="1:5" ht="81.75" thickBot="1" x14ac:dyDescent="0.35">
      <c r="A444" s="2004" t="s">
        <v>1014</v>
      </c>
      <c r="B444" s="2004" t="s">
        <v>282</v>
      </c>
      <c r="C444" s="173" t="s">
        <v>1174</v>
      </c>
      <c r="D444" s="173" t="s">
        <v>1145</v>
      </c>
      <c r="E444" s="173" t="s">
        <v>3096</v>
      </c>
    </row>
    <row r="445" spans="1:5" s="2083" customFormat="1" ht="21" thickBot="1" x14ac:dyDescent="0.35">
      <c r="A445" s="2024"/>
      <c r="B445" s="2084"/>
      <c r="C445" s="2102"/>
      <c r="D445" s="2022"/>
      <c r="E445" s="2021"/>
    </row>
    <row r="446" spans="1:5" s="2083" customFormat="1" ht="21" thickBot="1" x14ac:dyDescent="0.35">
      <c r="A446" s="1993">
        <v>22020100</v>
      </c>
      <c r="B446" s="2010" t="s">
        <v>64</v>
      </c>
      <c r="C446" s="1994">
        <f>SUM(C447:C447)</f>
        <v>1705260</v>
      </c>
      <c r="D446" s="2011">
        <f>SUM(D447:D447)</f>
        <v>66000</v>
      </c>
      <c r="E446" s="1994">
        <f>SUM(E447:E447)</f>
        <v>1705260</v>
      </c>
    </row>
    <row r="447" spans="1:5" s="2083" customFormat="1" ht="21" thickBot="1" x14ac:dyDescent="0.35">
      <c r="A447" s="1861">
        <v>22020103</v>
      </c>
      <c r="B447" s="151" t="s">
        <v>1477</v>
      </c>
      <c r="C447" s="1892">
        <v>1705260</v>
      </c>
      <c r="D447" s="1892">
        <v>66000</v>
      </c>
      <c r="E447" s="1892">
        <v>1705260</v>
      </c>
    </row>
    <row r="448" spans="1:5" s="2083" customFormat="1" ht="21" thickBot="1" x14ac:dyDescent="0.35">
      <c r="A448" s="1993">
        <v>22020200</v>
      </c>
      <c r="B448" s="2010" t="s">
        <v>1478</v>
      </c>
      <c r="C448" s="1994">
        <f>SUM(C449:C450)</f>
        <v>100000</v>
      </c>
      <c r="D448" s="2011">
        <f>SUM(D449:D450)</f>
        <v>43700</v>
      </c>
      <c r="E448" s="1994">
        <f>SUM(E449:E450)</f>
        <v>200000</v>
      </c>
    </row>
    <row r="449" spans="1:5" s="2083" customFormat="1" x14ac:dyDescent="0.3">
      <c r="A449" s="1861">
        <v>22020211</v>
      </c>
      <c r="B449" s="151" t="s">
        <v>3302</v>
      </c>
      <c r="C449" s="152">
        <v>100000</v>
      </c>
      <c r="D449" s="152">
        <v>43700</v>
      </c>
      <c r="E449" s="152">
        <v>100000</v>
      </c>
    </row>
    <row r="450" spans="1:5" s="2083" customFormat="1" ht="21" thickBot="1" x14ac:dyDescent="0.35">
      <c r="A450" s="1861">
        <v>22020202</v>
      </c>
      <c r="B450" s="151" t="s">
        <v>1216</v>
      </c>
      <c r="C450" s="1892"/>
      <c r="D450" s="2097"/>
      <c r="E450" s="1892">
        <v>100000</v>
      </c>
    </row>
    <row r="451" spans="1:5" s="2083" customFormat="1" ht="21" thickBot="1" x14ac:dyDescent="0.35">
      <c r="A451" s="1993">
        <v>22020300</v>
      </c>
      <c r="B451" s="2010" t="s">
        <v>66</v>
      </c>
      <c r="C451" s="1994">
        <f>SUM(C452:C452)</f>
        <v>3076447</v>
      </c>
      <c r="D451" s="2011">
        <f>SUM(D452:D452)</f>
        <v>2255395</v>
      </c>
      <c r="E451" s="1994">
        <f>SUM(E452:E452)</f>
        <v>5307645</v>
      </c>
    </row>
    <row r="452" spans="1:5" s="2083" customFormat="1" ht="21" thickBot="1" x14ac:dyDescent="0.35">
      <c r="A452" s="1861">
        <v>22020301</v>
      </c>
      <c r="B452" s="151" t="s">
        <v>2505</v>
      </c>
      <c r="C452" s="152">
        <v>3076447</v>
      </c>
      <c r="D452" s="152">
        <v>2255395</v>
      </c>
      <c r="E452" s="152">
        <v>5307645</v>
      </c>
    </row>
    <row r="453" spans="1:5" s="2083" customFormat="1" ht="21" thickBot="1" x14ac:dyDescent="0.35">
      <c r="A453" s="1993">
        <v>22020400</v>
      </c>
      <c r="B453" s="2010" t="s">
        <v>67</v>
      </c>
      <c r="C453" s="2106">
        <f>SUM(C454:C454)</f>
        <v>1150000</v>
      </c>
      <c r="D453" s="2011">
        <f>SUM(D454:D454)</f>
        <v>448000</v>
      </c>
      <c r="E453" s="1994">
        <f>SUM(E454:E454)</f>
        <v>1150000</v>
      </c>
    </row>
    <row r="454" spans="1:5" s="2083" customFormat="1" ht="21" thickBot="1" x14ac:dyDescent="0.35">
      <c r="A454" s="1861">
        <v>22020401</v>
      </c>
      <c r="B454" s="151" t="s">
        <v>2506</v>
      </c>
      <c r="C454" s="2075">
        <v>1150000</v>
      </c>
      <c r="D454" s="152">
        <v>448000</v>
      </c>
      <c r="E454" s="152">
        <v>1150000</v>
      </c>
    </row>
    <row r="455" spans="1:5" s="2083" customFormat="1" ht="21" thickBot="1" x14ac:dyDescent="0.35">
      <c r="A455" s="1993">
        <v>22020800</v>
      </c>
      <c r="B455" s="2010" t="s">
        <v>71</v>
      </c>
      <c r="C455" s="2106">
        <f>SUM(C456:C457)</f>
        <v>2100000</v>
      </c>
      <c r="D455" s="2011">
        <f>SUM(D456:D457)</f>
        <v>0</v>
      </c>
      <c r="E455" s="1994">
        <f>SUM(E456:E457)</f>
        <v>2100000</v>
      </c>
    </row>
    <row r="456" spans="1:5" s="2083" customFormat="1" x14ac:dyDescent="0.3">
      <c r="A456" s="1861">
        <v>22020801</v>
      </c>
      <c r="B456" s="151" t="s">
        <v>2507</v>
      </c>
      <c r="C456" s="3151">
        <v>1100000</v>
      </c>
      <c r="D456" s="2000" t="s">
        <v>179</v>
      </c>
      <c r="E456" s="2000">
        <v>1100000</v>
      </c>
    </row>
    <row r="457" spans="1:5" s="2083" customFormat="1" ht="21" thickBot="1" x14ac:dyDescent="0.35">
      <c r="A457" s="1861">
        <v>22020802</v>
      </c>
      <c r="B457" s="151" t="s">
        <v>2508</v>
      </c>
      <c r="C457" s="2508">
        <v>1000000</v>
      </c>
      <c r="D457" s="2037"/>
      <c r="E457" s="2037">
        <v>1000000</v>
      </c>
    </row>
    <row r="458" spans="1:5" s="2083" customFormat="1" ht="21" thickBot="1" x14ac:dyDescent="0.35">
      <c r="A458" s="1993">
        <v>22021000</v>
      </c>
      <c r="B458" s="2010" t="s">
        <v>73</v>
      </c>
      <c r="C458" s="2106">
        <f>SUM(C459:C459)</f>
        <v>700000</v>
      </c>
      <c r="D458" s="2011">
        <f>SUM(D459:D459)</f>
        <v>283000</v>
      </c>
      <c r="E458" s="2018">
        <f>SUM(E459:E459)</f>
        <v>700000</v>
      </c>
    </row>
    <row r="459" spans="1:5" s="2083" customFormat="1" x14ac:dyDescent="0.3">
      <c r="A459" s="1861">
        <v>22021007</v>
      </c>
      <c r="B459" s="151" t="s">
        <v>41</v>
      </c>
      <c r="C459" s="2405">
        <v>700000</v>
      </c>
      <c r="D459" s="1893">
        <v>283000</v>
      </c>
      <c r="E459" s="1893">
        <v>700000</v>
      </c>
    </row>
    <row r="460" spans="1:5" s="2083" customFormat="1" ht="21" thickBot="1" x14ac:dyDescent="0.35">
      <c r="A460" s="2131"/>
      <c r="B460" s="2010"/>
      <c r="C460" s="3147"/>
      <c r="D460" s="2097"/>
      <c r="E460" s="2097"/>
    </row>
    <row r="461" spans="1:5" s="2083" customFormat="1" ht="21" thickBot="1" x14ac:dyDescent="0.35">
      <c r="A461" s="2104"/>
      <c r="B461" s="2105" t="s">
        <v>2509</v>
      </c>
      <c r="C461" s="2062">
        <f>SUM(C446,C448,C451,C453,C455,C458)</f>
        <v>8831707</v>
      </c>
      <c r="D461" s="2018">
        <f>SUM(D446,D448,D451,D453,D455,D458)</f>
        <v>3096095</v>
      </c>
      <c r="E461" s="2018">
        <f>SUM(E446,E448,E451,E453,E455,E458)</f>
        <v>11162905</v>
      </c>
    </row>
    <row r="462" spans="1:5" s="2083" customFormat="1" x14ac:dyDescent="0.3">
      <c r="A462" s="2111"/>
      <c r="B462" s="2044"/>
      <c r="C462" s="2003"/>
      <c r="D462" s="2003"/>
      <c r="E462" s="2003"/>
    </row>
    <row r="463" spans="1:5" s="2112" customFormat="1" ht="18.75" x14ac:dyDescent="0.2">
      <c r="A463" s="3486" t="s">
        <v>1475</v>
      </c>
      <c r="B463" s="3486"/>
      <c r="C463" s="3486"/>
      <c r="D463" s="3486"/>
      <c r="E463" s="3486"/>
    </row>
    <row r="464" spans="1:5" s="2112" customFormat="1" ht="18.75" x14ac:dyDescent="0.2">
      <c r="A464" s="3486" t="s">
        <v>1751</v>
      </c>
      <c r="B464" s="3486"/>
      <c r="C464" s="3486"/>
      <c r="D464" s="3486"/>
      <c r="E464" s="3486"/>
    </row>
    <row r="465" spans="1:5" s="2112" customFormat="1" ht="19.5" thickBot="1" x14ac:dyDescent="0.25">
      <c r="A465" s="3488" t="s">
        <v>1247</v>
      </c>
      <c r="B465" s="3488"/>
      <c r="C465" s="3488"/>
      <c r="D465" s="3488"/>
      <c r="E465" s="3488"/>
    </row>
    <row r="466" spans="1:5" ht="81.75" thickBot="1" x14ac:dyDescent="0.35">
      <c r="A466" s="2004" t="s">
        <v>1014</v>
      </c>
      <c r="B466" s="2004" t="s">
        <v>282</v>
      </c>
      <c r="C466" s="173" t="s">
        <v>1174</v>
      </c>
      <c r="D466" s="173" t="s">
        <v>1145</v>
      </c>
      <c r="E466" s="173" t="s">
        <v>3096</v>
      </c>
    </row>
    <row r="467" spans="1:5" s="2112" customFormat="1" ht="19.5" thickBot="1" x14ac:dyDescent="0.25">
      <c r="A467" s="2133"/>
      <c r="B467" s="2134"/>
      <c r="C467" s="2135"/>
      <c r="D467" s="2136"/>
      <c r="E467" s="2137"/>
    </row>
    <row r="468" spans="1:5" s="2112" customFormat="1" ht="19.5" thickBot="1" x14ac:dyDescent="0.25">
      <c r="A468" s="2046">
        <v>22020100</v>
      </c>
      <c r="B468" s="2047" t="s">
        <v>64</v>
      </c>
      <c r="C468" s="2140">
        <f>SUM(C469:C470)</f>
        <v>2081000</v>
      </c>
      <c r="D468" s="2141">
        <f>SUM(D469:D470)</f>
        <v>732550</v>
      </c>
      <c r="E468" s="2142">
        <f>SUM(E469:E470)</f>
        <v>3783000</v>
      </c>
    </row>
    <row r="469" spans="1:5" s="2112" customFormat="1" ht="18.75" x14ac:dyDescent="0.2">
      <c r="A469" s="2049">
        <v>22020101</v>
      </c>
      <c r="B469" s="2050" t="s">
        <v>3303</v>
      </c>
      <c r="C469" s="2139">
        <v>968000</v>
      </c>
      <c r="D469" s="2139">
        <v>437550</v>
      </c>
      <c r="E469" s="2139">
        <v>2268000</v>
      </c>
    </row>
    <row r="470" spans="1:5" s="2112" customFormat="1" ht="19.5" thickBot="1" x14ac:dyDescent="0.25">
      <c r="A470" s="2049">
        <v>22020102</v>
      </c>
      <c r="B470" s="2050" t="s">
        <v>10</v>
      </c>
      <c r="C470" s="2138">
        <v>1113000</v>
      </c>
      <c r="D470" s="2138">
        <v>295000</v>
      </c>
      <c r="E470" s="2138">
        <v>1515000</v>
      </c>
    </row>
    <row r="471" spans="1:5" s="2112" customFormat="1" ht="19.5" thickBot="1" x14ac:dyDescent="0.25">
      <c r="A471" s="2046">
        <v>22020300</v>
      </c>
      <c r="B471" s="2047" t="s">
        <v>66</v>
      </c>
      <c r="C471" s="2140">
        <f>SUM(C472)</f>
        <v>992400</v>
      </c>
      <c r="D471" s="2141">
        <f>SUM(D472)</f>
        <v>488000</v>
      </c>
      <c r="E471" s="2142">
        <f>SUM(E472)</f>
        <v>250000</v>
      </c>
    </row>
    <row r="472" spans="1:5" s="2112" customFormat="1" ht="19.5" thickBot="1" x14ac:dyDescent="0.25">
      <c r="A472" s="2049">
        <v>22020301</v>
      </c>
      <c r="B472" s="2050" t="s">
        <v>1752</v>
      </c>
      <c r="C472" s="2139">
        <v>992400</v>
      </c>
      <c r="D472" s="2139">
        <v>488000</v>
      </c>
      <c r="E472" s="2139">
        <v>250000</v>
      </c>
    </row>
    <row r="473" spans="1:5" s="2112" customFormat="1" ht="19.5" thickBot="1" x14ac:dyDescent="0.25">
      <c r="A473" s="2046">
        <v>22020400</v>
      </c>
      <c r="B473" s="2047" t="s">
        <v>67</v>
      </c>
      <c r="C473" s="2140">
        <f>SUM(C474:C475)</f>
        <v>2837134</v>
      </c>
      <c r="D473" s="2141">
        <f>SUM(D474:D475)</f>
        <v>1807000</v>
      </c>
      <c r="E473" s="2142">
        <f>SUM(E474:E475)</f>
        <v>3037134</v>
      </c>
    </row>
    <row r="474" spans="1:5" s="2112" customFormat="1" ht="18.75" x14ac:dyDescent="0.2">
      <c r="A474" s="2049">
        <v>22020401</v>
      </c>
      <c r="B474" s="2143" t="s">
        <v>1753</v>
      </c>
      <c r="C474" s="2138">
        <v>1020080</v>
      </c>
      <c r="D474" s="2138">
        <v>1126000</v>
      </c>
      <c r="E474" s="2138">
        <v>1220080</v>
      </c>
    </row>
    <row r="475" spans="1:5" s="2112" customFormat="1" ht="33.75" customHeight="1" thickBot="1" x14ac:dyDescent="0.25">
      <c r="A475" s="2049">
        <v>22020406</v>
      </c>
      <c r="B475" s="2311" t="s">
        <v>3304</v>
      </c>
      <c r="C475" s="3152">
        <v>1817054</v>
      </c>
      <c r="D475" s="2138">
        <v>681000</v>
      </c>
      <c r="E475" s="2138">
        <v>1817054</v>
      </c>
    </row>
    <row r="476" spans="1:5" s="2112" customFormat="1" ht="19.5" thickBot="1" x14ac:dyDescent="0.25">
      <c r="A476" s="2046">
        <v>22021000</v>
      </c>
      <c r="B476" s="2191" t="s">
        <v>73</v>
      </c>
      <c r="C476" s="3153">
        <f>SUM(C477:C480)</f>
        <v>12520259</v>
      </c>
      <c r="D476" s="2140">
        <f>SUM(D477:D480)</f>
        <v>1947117</v>
      </c>
      <c r="E476" s="2140">
        <f>SUM(E477:E480)</f>
        <v>14240261</v>
      </c>
    </row>
    <row r="477" spans="1:5" s="2112" customFormat="1" ht="18.75" x14ac:dyDescent="0.2">
      <c r="A477" s="2049">
        <v>22021001</v>
      </c>
      <c r="B477" s="2146" t="s">
        <v>1754</v>
      </c>
      <c r="C477" s="3152">
        <v>1015000</v>
      </c>
      <c r="D477" s="2138">
        <v>966617</v>
      </c>
      <c r="E477" s="2138">
        <v>1515000</v>
      </c>
    </row>
    <row r="478" spans="1:5" s="2112" customFormat="1" ht="18.75" x14ac:dyDescent="0.2">
      <c r="A478" s="2049">
        <v>22021002</v>
      </c>
      <c r="B478" s="2146" t="s">
        <v>1579</v>
      </c>
      <c r="C478" s="3154">
        <v>2600000</v>
      </c>
      <c r="D478" s="2144"/>
      <c r="E478" s="2145">
        <v>2600000</v>
      </c>
    </row>
    <row r="479" spans="1:5" s="2112" customFormat="1" ht="37.5" x14ac:dyDescent="0.2">
      <c r="A479" s="2049">
        <v>22021021</v>
      </c>
      <c r="B479" s="2146" t="s">
        <v>3306</v>
      </c>
      <c r="C479" s="3154">
        <v>1738734</v>
      </c>
      <c r="D479" s="2144">
        <v>857000</v>
      </c>
      <c r="E479" s="2144">
        <v>2738734</v>
      </c>
    </row>
    <row r="480" spans="1:5" s="2148" customFormat="1" ht="18.75" x14ac:dyDescent="0.25">
      <c r="A480" s="2049">
        <v>22021414</v>
      </c>
      <c r="B480" s="2146" t="s">
        <v>3305</v>
      </c>
      <c r="C480" s="3155">
        <v>7166525</v>
      </c>
      <c r="D480" s="2051">
        <v>123500</v>
      </c>
      <c r="E480" s="2051">
        <v>7386527</v>
      </c>
    </row>
    <row r="481" spans="1:5" s="2112" customFormat="1" ht="19.5" thickBot="1" x14ac:dyDescent="0.35">
      <c r="A481" s="2445"/>
      <c r="B481" s="2191"/>
      <c r="C481" s="3156"/>
      <c r="D481" s="2149"/>
      <c r="E481" s="2149"/>
    </row>
    <row r="482" spans="1:5" s="2112" customFormat="1" ht="19.5" thickBot="1" x14ac:dyDescent="0.25">
      <c r="A482" s="2472"/>
      <c r="B482" s="3158" t="s">
        <v>2510</v>
      </c>
      <c r="C482" s="3157">
        <f>SUM(C468,C471,C473,C476)</f>
        <v>18430793</v>
      </c>
      <c r="D482" s="2152">
        <f>SUM(D468,D471,D473,D476)</f>
        <v>4974667</v>
      </c>
      <c r="E482" s="2152">
        <f>SUM(E468,E471,E473,E476)</f>
        <v>21310395</v>
      </c>
    </row>
    <row r="483" spans="1:5" s="2112" customFormat="1" ht="12.75" x14ac:dyDescent="0.2">
      <c r="C483" s="2153"/>
      <c r="E483" s="2153"/>
    </row>
    <row r="484" spans="1:5" s="2083" customFormat="1" x14ac:dyDescent="0.3">
      <c r="A484" s="2154"/>
      <c r="B484" s="2155"/>
      <c r="C484" s="2156"/>
      <c r="D484" s="2157"/>
      <c r="E484" s="2156"/>
    </row>
    <row r="485" spans="1:5" x14ac:dyDescent="0.2">
      <c r="A485" s="3477" t="s">
        <v>1163</v>
      </c>
      <c r="B485" s="3477"/>
      <c r="C485" s="3477"/>
      <c r="D485" s="3477"/>
      <c r="E485" s="3477"/>
    </row>
    <row r="486" spans="1:5" ht="21" thickBot="1" x14ac:dyDescent="0.25">
      <c r="A486" s="3476" t="s">
        <v>1162</v>
      </c>
      <c r="B486" s="3476"/>
      <c r="C486" s="3476"/>
      <c r="D486" s="3476"/>
      <c r="E486" s="3476"/>
    </row>
    <row r="487" spans="1:5" ht="81.75" thickBot="1" x14ac:dyDescent="0.35">
      <c r="A487" s="2004" t="s">
        <v>1014</v>
      </c>
      <c r="B487" s="2004" t="s">
        <v>282</v>
      </c>
      <c r="C487" s="173" t="s">
        <v>1174</v>
      </c>
      <c r="D487" s="173" t="s">
        <v>1145</v>
      </c>
      <c r="E487" s="173" t="s">
        <v>3096</v>
      </c>
    </row>
    <row r="488" spans="1:5" ht="21" thickBot="1" x14ac:dyDescent="0.25">
      <c r="A488" s="2005">
        <v>22020100</v>
      </c>
      <c r="B488" s="2061" t="s">
        <v>64</v>
      </c>
      <c r="C488" s="1994">
        <f>SUM(C489:C489)</f>
        <v>2855990</v>
      </c>
      <c r="D488" s="2011">
        <f>SUM(D489:D489)</f>
        <v>1264794</v>
      </c>
      <c r="E488" s="1994">
        <f>SUM(E489:E489)</f>
        <v>2855990</v>
      </c>
    </row>
    <row r="489" spans="1:5" ht="21" thickBot="1" x14ac:dyDescent="0.25">
      <c r="A489" s="1861">
        <v>22020102</v>
      </c>
      <c r="B489" s="151" t="s">
        <v>10</v>
      </c>
      <c r="C489" s="152">
        <v>2855990</v>
      </c>
      <c r="D489" s="152">
        <v>1264794</v>
      </c>
      <c r="E489" s="152">
        <v>2855990</v>
      </c>
    </row>
    <row r="490" spans="1:5" ht="21" thickBot="1" x14ac:dyDescent="0.25">
      <c r="A490" s="1993">
        <v>22020300</v>
      </c>
      <c r="B490" s="2010" t="s">
        <v>66</v>
      </c>
      <c r="C490" s="1994">
        <f>SUM(C491:C492)</f>
        <v>1463690</v>
      </c>
      <c r="D490" s="2011">
        <f>SUM(D491:D492)</f>
        <v>648203</v>
      </c>
      <c r="E490" s="1994">
        <f>SUM(E491:E492)</f>
        <v>1463690</v>
      </c>
    </row>
    <row r="491" spans="1:5" x14ac:dyDescent="0.2">
      <c r="A491" s="1861">
        <v>22020301</v>
      </c>
      <c r="B491" s="151" t="s">
        <v>17</v>
      </c>
      <c r="C491" s="152">
        <v>1285200</v>
      </c>
      <c r="D491" s="152">
        <v>569160</v>
      </c>
      <c r="E491" s="152">
        <v>1285200</v>
      </c>
    </row>
    <row r="492" spans="1:5" ht="21" thickBot="1" x14ac:dyDescent="0.25">
      <c r="A492" s="1861">
        <v>22020303</v>
      </c>
      <c r="B492" s="151" t="s">
        <v>19</v>
      </c>
      <c r="C492" s="1892">
        <v>178490</v>
      </c>
      <c r="D492" s="1892">
        <v>79043</v>
      </c>
      <c r="E492" s="1892">
        <v>178490</v>
      </c>
    </row>
    <row r="493" spans="1:5" ht="21" thickBot="1" x14ac:dyDescent="0.25">
      <c r="A493" s="1993">
        <v>22020400</v>
      </c>
      <c r="B493" s="2010" t="s">
        <v>67</v>
      </c>
      <c r="C493" s="1994">
        <f>SUM(C494:C495)</f>
        <v>3877535</v>
      </c>
      <c r="D493" s="2011">
        <f>SUM(D494:D495)</f>
        <v>1885767</v>
      </c>
      <c r="E493" s="1994">
        <f>SUM(E494:E495)</f>
        <v>3877535</v>
      </c>
    </row>
    <row r="494" spans="1:5" x14ac:dyDescent="0.2">
      <c r="A494" s="1861">
        <v>22020401</v>
      </c>
      <c r="B494" s="2024" t="s">
        <v>79</v>
      </c>
      <c r="C494" s="152">
        <v>2677535</v>
      </c>
      <c r="D494" s="152">
        <v>1185767</v>
      </c>
      <c r="E494" s="152">
        <v>2677535</v>
      </c>
    </row>
    <row r="495" spans="1:5" ht="21" thickBot="1" x14ac:dyDescent="0.25">
      <c r="A495" s="1861">
        <v>22020406</v>
      </c>
      <c r="B495" s="151" t="s">
        <v>29</v>
      </c>
      <c r="C495" s="2158">
        <v>1200000</v>
      </c>
      <c r="D495" s="2158">
        <v>700000</v>
      </c>
      <c r="E495" s="2158">
        <v>1200000</v>
      </c>
    </row>
    <row r="496" spans="1:5" ht="21" thickBot="1" x14ac:dyDescent="0.25">
      <c r="A496" s="1993">
        <v>22021000</v>
      </c>
      <c r="B496" s="2010" t="s">
        <v>73</v>
      </c>
      <c r="C496" s="2018">
        <f>SUM(C497:C500)</f>
        <v>63022661</v>
      </c>
      <c r="D496" s="2018">
        <f>SUM(D497:D500)</f>
        <v>33437193</v>
      </c>
      <c r="E496" s="2018">
        <f>SUM(E497:E500)</f>
        <v>204273990</v>
      </c>
    </row>
    <row r="497" spans="1:5" x14ac:dyDescent="0.2">
      <c r="A497" s="1861">
        <v>22021001</v>
      </c>
      <c r="B497" s="151" t="s">
        <v>41</v>
      </c>
      <c r="C497" s="2075">
        <v>713990</v>
      </c>
      <c r="D497" s="152">
        <v>316193</v>
      </c>
      <c r="E497" s="152">
        <v>713990</v>
      </c>
    </row>
    <row r="498" spans="1:5" x14ac:dyDescent="0.2">
      <c r="A498" s="1861">
        <v>22021020</v>
      </c>
      <c r="B498" s="151" t="s">
        <v>135</v>
      </c>
      <c r="C498" s="2075">
        <v>7140000</v>
      </c>
      <c r="D498" s="152"/>
      <c r="E498" s="152">
        <v>14280000</v>
      </c>
    </row>
    <row r="499" spans="1:5" x14ac:dyDescent="0.2">
      <c r="A499" s="1861">
        <v>22021041</v>
      </c>
      <c r="B499" s="151" t="s">
        <v>580</v>
      </c>
      <c r="C499" s="2075">
        <v>20528671</v>
      </c>
      <c r="D499" s="152">
        <v>9800000</v>
      </c>
      <c r="E499" s="152">
        <v>120000000</v>
      </c>
    </row>
    <row r="500" spans="1:5" x14ac:dyDescent="0.2">
      <c r="A500" s="1861">
        <v>22021003</v>
      </c>
      <c r="B500" s="151" t="s">
        <v>581</v>
      </c>
      <c r="C500" s="152">
        <v>34640000</v>
      </c>
      <c r="D500" s="152">
        <v>23321000</v>
      </c>
      <c r="E500" s="152">
        <v>69280000</v>
      </c>
    </row>
    <row r="501" spans="1:5" ht="21" thickBot="1" x14ac:dyDescent="0.25">
      <c r="A501" s="1861"/>
      <c r="B501" s="151"/>
      <c r="C501" s="3159"/>
      <c r="D501" s="2003"/>
      <c r="E501" s="2159"/>
    </row>
    <row r="502" spans="1:5" ht="21" thickBot="1" x14ac:dyDescent="0.25">
      <c r="A502" s="2177"/>
      <c r="B502" s="2105" t="s">
        <v>1330</v>
      </c>
      <c r="C502" s="2062">
        <f>SUM(C488,C490,C493,C496)</f>
        <v>71219876</v>
      </c>
      <c r="D502" s="2018">
        <f>SUM(D488,D490,D493,D496)</f>
        <v>37235957</v>
      </c>
      <c r="E502" s="2018">
        <f>SUM(E488,E490,E493,E496)</f>
        <v>212471205</v>
      </c>
    </row>
    <row r="503" spans="1:5" x14ac:dyDescent="0.2">
      <c r="A503" s="2043"/>
      <c r="B503" s="2044"/>
      <c r="C503" s="2003"/>
      <c r="D503" s="2003"/>
      <c r="E503" s="2003"/>
    </row>
    <row r="504" spans="1:5" x14ac:dyDescent="0.2">
      <c r="A504" s="3477" t="s">
        <v>1856</v>
      </c>
      <c r="B504" s="3477"/>
      <c r="C504" s="3477"/>
      <c r="D504" s="3477"/>
      <c r="E504" s="3477"/>
    </row>
    <row r="505" spans="1:5" x14ac:dyDescent="0.2">
      <c r="A505" s="3477" t="s">
        <v>1163</v>
      </c>
      <c r="B505" s="3477"/>
      <c r="C505" s="3477"/>
      <c r="D505" s="3477"/>
      <c r="E505" s="3477"/>
    </row>
    <row r="506" spans="1:5" ht="21" thickBot="1" x14ac:dyDescent="0.25">
      <c r="A506" s="3476" t="s">
        <v>1450</v>
      </c>
      <c r="B506" s="3476"/>
      <c r="C506" s="3476"/>
      <c r="D506" s="3476"/>
      <c r="E506" s="3476"/>
    </row>
    <row r="507" spans="1:5" ht="81.75" thickBot="1" x14ac:dyDescent="0.35">
      <c r="A507" s="2004" t="s">
        <v>1014</v>
      </c>
      <c r="B507" s="2004" t="s">
        <v>282</v>
      </c>
      <c r="C507" s="173" t="s">
        <v>1174</v>
      </c>
      <c r="D507" s="173" t="s">
        <v>1145</v>
      </c>
      <c r="E507" s="173" t="s">
        <v>3096</v>
      </c>
    </row>
    <row r="508" spans="1:5" ht="21" thickBot="1" x14ac:dyDescent="0.25">
      <c r="A508" s="1993">
        <v>22020100</v>
      </c>
      <c r="B508" s="2010" t="s">
        <v>64</v>
      </c>
      <c r="C508" s="1994">
        <f>SUM(C509:C509)</f>
        <v>2100000</v>
      </c>
      <c r="D508" s="2011">
        <f>SUM(D509:D509)</f>
        <v>1050000</v>
      </c>
      <c r="E508" s="2012">
        <f>SUM(E509:E509)</f>
        <v>2100000</v>
      </c>
    </row>
    <row r="509" spans="1:5" ht="21" thickBot="1" x14ac:dyDescent="0.25">
      <c r="A509" s="1861">
        <v>22020102</v>
      </c>
      <c r="B509" s="151" t="s">
        <v>10</v>
      </c>
      <c r="C509" s="1892">
        <v>2100000</v>
      </c>
      <c r="D509" s="1892">
        <v>1050000</v>
      </c>
      <c r="E509" s="1892">
        <v>2100000</v>
      </c>
    </row>
    <row r="510" spans="1:5" ht="21" thickBot="1" x14ac:dyDescent="0.25">
      <c r="A510" s="1993">
        <v>22020200</v>
      </c>
      <c r="B510" s="2010" t="s">
        <v>65</v>
      </c>
      <c r="C510" s="1994">
        <f>SUM(C511:C512)</f>
        <v>700000</v>
      </c>
      <c r="D510" s="2011">
        <f>SUM(D511:D512)</f>
        <v>350000</v>
      </c>
      <c r="E510" s="2012">
        <f>SUM(E511:E512)</f>
        <v>700000</v>
      </c>
    </row>
    <row r="511" spans="1:5" x14ac:dyDescent="0.2">
      <c r="A511" s="1861">
        <v>22020201</v>
      </c>
      <c r="B511" s="151" t="s">
        <v>13</v>
      </c>
      <c r="C511" s="152">
        <v>500000</v>
      </c>
      <c r="D511" s="152">
        <v>256000</v>
      </c>
      <c r="E511" s="152">
        <v>500000</v>
      </c>
    </row>
    <row r="512" spans="1:5" ht="21" thickBot="1" x14ac:dyDescent="0.25">
      <c r="A512" s="1861">
        <v>22020202</v>
      </c>
      <c r="B512" s="151" t="s">
        <v>1216</v>
      </c>
      <c r="C512" s="1892">
        <v>200000</v>
      </c>
      <c r="D512" s="1892">
        <v>94000</v>
      </c>
      <c r="E512" s="1892">
        <v>200000</v>
      </c>
    </row>
    <row r="513" spans="1:5" ht="21" thickBot="1" x14ac:dyDescent="0.25">
      <c r="A513" s="1993">
        <v>22020300</v>
      </c>
      <c r="B513" s="2010" t="s">
        <v>66</v>
      </c>
      <c r="C513" s="1994">
        <f>SUM(C514:C514)</f>
        <v>1050000</v>
      </c>
      <c r="D513" s="2011">
        <f>SUM(D514:D514)</f>
        <v>525000</v>
      </c>
      <c r="E513" s="2012">
        <f>SUM(E514:E514)</f>
        <v>1050000</v>
      </c>
    </row>
    <row r="514" spans="1:5" ht="21" thickBot="1" x14ac:dyDescent="0.35">
      <c r="A514" s="1861">
        <v>22020301</v>
      </c>
      <c r="B514" s="151" t="s">
        <v>17</v>
      </c>
      <c r="C514" s="2160">
        <v>1050000</v>
      </c>
      <c r="D514" s="2092">
        <v>525000</v>
      </c>
      <c r="E514" s="2160">
        <v>1050000</v>
      </c>
    </row>
    <row r="515" spans="1:5" ht="21" thickBot="1" x14ac:dyDescent="0.25">
      <c r="A515" s="1993">
        <v>22020400</v>
      </c>
      <c r="B515" s="2010" t="s">
        <v>67</v>
      </c>
      <c r="C515" s="2066">
        <f>SUM(C516:C517)</f>
        <v>2460000</v>
      </c>
      <c r="D515" s="2067">
        <f>SUM(D516:D517)</f>
        <v>1430000</v>
      </c>
      <c r="E515" s="2068">
        <f>SUM(E516:E517)</f>
        <v>2460000</v>
      </c>
    </row>
    <row r="516" spans="1:5" x14ac:dyDescent="0.3">
      <c r="A516" s="1861">
        <v>22020401</v>
      </c>
      <c r="B516" s="2024" t="s">
        <v>79</v>
      </c>
      <c r="C516" s="2161">
        <v>1260000</v>
      </c>
      <c r="D516" s="185">
        <v>630000</v>
      </c>
      <c r="E516" s="2161">
        <v>1260000</v>
      </c>
    </row>
    <row r="517" spans="1:5" ht="21" thickBot="1" x14ac:dyDescent="0.25">
      <c r="A517" s="1861">
        <v>22020406</v>
      </c>
      <c r="B517" s="151" t="s">
        <v>29</v>
      </c>
      <c r="C517" s="2076">
        <v>1200000</v>
      </c>
      <c r="D517" s="1892">
        <v>800000</v>
      </c>
      <c r="E517" s="1892">
        <v>1200000</v>
      </c>
    </row>
    <row r="518" spans="1:5" ht="21" thickBot="1" x14ac:dyDescent="0.25">
      <c r="A518" s="1993">
        <v>22020500</v>
      </c>
      <c r="B518" s="2010" t="s">
        <v>68</v>
      </c>
      <c r="C518" s="2077">
        <f>SUM(C519:C519)</f>
        <v>130000</v>
      </c>
      <c r="D518" s="2025">
        <f>SUM(D519:D519)</f>
        <v>0</v>
      </c>
      <c r="E518" s="2025">
        <f>SUM(E519:E519)</f>
        <v>250000</v>
      </c>
    </row>
    <row r="519" spans="1:5" ht="21" thickBot="1" x14ac:dyDescent="0.25">
      <c r="A519" s="1861">
        <v>22020501</v>
      </c>
      <c r="B519" s="151" t="s">
        <v>30</v>
      </c>
      <c r="C519" s="2076">
        <v>130000</v>
      </c>
      <c r="D519" s="1892"/>
      <c r="E519" s="1892">
        <v>250000</v>
      </c>
    </row>
    <row r="520" spans="1:5" ht="21" thickBot="1" x14ac:dyDescent="0.25">
      <c r="A520" s="1993">
        <v>22021000</v>
      </c>
      <c r="B520" s="2030" t="s">
        <v>73</v>
      </c>
      <c r="C520" s="2025">
        <f>SUM(C521:C521)</f>
        <v>525000</v>
      </c>
      <c r="D520" s="2025">
        <f>SUM(D521:D521)</f>
        <v>232500</v>
      </c>
      <c r="E520" s="2025">
        <f>SUM(E521:E521)</f>
        <v>525000</v>
      </c>
    </row>
    <row r="521" spans="1:5" x14ac:dyDescent="0.2">
      <c r="A521" s="1861">
        <v>22021001</v>
      </c>
      <c r="B521" s="151" t="s">
        <v>41</v>
      </c>
      <c r="C521" s="2405">
        <v>525000</v>
      </c>
      <c r="D521" s="1893">
        <v>232500</v>
      </c>
      <c r="E521" s="1893">
        <v>525000</v>
      </c>
    </row>
    <row r="522" spans="1:5" ht="21" thickBot="1" x14ac:dyDescent="0.25">
      <c r="A522" s="1861"/>
      <c r="B522" s="151"/>
      <c r="C522" s="2076"/>
      <c r="D522" s="1892"/>
      <c r="E522" s="1892"/>
    </row>
    <row r="523" spans="1:5" ht="21" thickBot="1" x14ac:dyDescent="0.25">
      <c r="A523" s="2104"/>
      <c r="B523" s="2187" t="s">
        <v>1337</v>
      </c>
      <c r="C523" s="2025">
        <f>SUM(C508,C510,C513,C515,C518,C520)</f>
        <v>6965000</v>
      </c>
      <c r="D523" s="2018">
        <f>SUM(D508,D510,D513,D515,D518,D520)</f>
        <v>3587500</v>
      </c>
      <c r="E523" s="2018">
        <f>SUM(E508,E510,E513,E515,E518,E520)</f>
        <v>7085000</v>
      </c>
    </row>
    <row r="524" spans="1:5" x14ac:dyDescent="0.2">
      <c r="A524" s="2043"/>
      <c r="B524" s="2044"/>
      <c r="C524" s="2003"/>
      <c r="D524" s="2003"/>
      <c r="E524" s="2003"/>
    </row>
    <row r="525" spans="1:5" x14ac:dyDescent="0.2">
      <c r="A525" s="3477" t="s">
        <v>1856</v>
      </c>
      <c r="B525" s="3477"/>
      <c r="C525" s="3477"/>
      <c r="D525" s="3477"/>
      <c r="E525" s="3477"/>
    </row>
    <row r="526" spans="1:5" x14ac:dyDescent="0.2">
      <c r="A526" s="3477" t="s">
        <v>641</v>
      </c>
      <c r="B526" s="3477"/>
      <c r="C526" s="3477"/>
      <c r="D526" s="3477"/>
      <c r="E526" s="3477"/>
    </row>
    <row r="527" spans="1:5" ht="21" thickBot="1" x14ac:dyDescent="0.25">
      <c r="A527" s="3476" t="s">
        <v>1181</v>
      </c>
      <c r="B527" s="3476"/>
      <c r="C527" s="3476"/>
      <c r="D527" s="3476"/>
      <c r="E527" s="3476"/>
    </row>
    <row r="528" spans="1:5" ht="81.75" thickBot="1" x14ac:dyDescent="0.35">
      <c r="A528" s="2004" t="s">
        <v>1014</v>
      </c>
      <c r="B528" s="2004" t="s">
        <v>282</v>
      </c>
      <c r="C528" s="173" t="s">
        <v>1174</v>
      </c>
      <c r="D528" s="173" t="s">
        <v>1145</v>
      </c>
      <c r="E528" s="173" t="s">
        <v>3096</v>
      </c>
    </row>
    <row r="529" spans="1:5" ht="21" thickBot="1" x14ac:dyDescent="0.25">
      <c r="A529" s="1993">
        <v>22020100</v>
      </c>
      <c r="B529" s="2010" t="s">
        <v>64</v>
      </c>
      <c r="C529" s="1994">
        <f>SUM(C530:C531)</f>
        <v>3850000</v>
      </c>
      <c r="D529" s="2011">
        <f>SUM(D530:D531)</f>
        <v>2045000</v>
      </c>
      <c r="E529" s="1994">
        <f>SUM(E530:E531)</f>
        <v>3850000</v>
      </c>
    </row>
    <row r="530" spans="1:5" x14ac:dyDescent="0.2">
      <c r="A530" s="1861">
        <v>22020101</v>
      </c>
      <c r="B530" s="151" t="s">
        <v>9</v>
      </c>
      <c r="C530" s="152">
        <v>1850000</v>
      </c>
      <c r="D530" s="152">
        <v>2045000</v>
      </c>
      <c r="E530" s="152">
        <v>350000</v>
      </c>
    </row>
    <row r="531" spans="1:5" ht="21" thickBot="1" x14ac:dyDescent="0.25">
      <c r="A531" s="1861">
        <v>22020102</v>
      </c>
      <c r="B531" s="151" t="s">
        <v>10</v>
      </c>
      <c r="C531" s="152">
        <v>2000000</v>
      </c>
      <c r="D531" s="152"/>
      <c r="E531" s="152">
        <v>3500000</v>
      </c>
    </row>
    <row r="532" spans="1:5" ht="21" thickBot="1" x14ac:dyDescent="0.25">
      <c r="A532" s="1993">
        <v>22020300</v>
      </c>
      <c r="B532" s="2010" t="s">
        <v>66</v>
      </c>
      <c r="C532" s="1994">
        <f>SUM(C533:C535)</f>
        <v>9100000</v>
      </c>
      <c r="D532" s="2011">
        <f>SUM(D533:D535)</f>
        <v>1785000</v>
      </c>
      <c r="E532" s="1994">
        <f>SUM(E533:E535)</f>
        <v>9100000</v>
      </c>
    </row>
    <row r="533" spans="1:5" x14ac:dyDescent="0.2">
      <c r="A533" s="1861">
        <v>22020301</v>
      </c>
      <c r="B533" s="151" t="s">
        <v>17</v>
      </c>
      <c r="C533" s="152">
        <v>3150000</v>
      </c>
      <c r="D533" s="152">
        <v>1785000</v>
      </c>
      <c r="E533" s="152">
        <v>3150000</v>
      </c>
    </row>
    <row r="534" spans="1:5" x14ac:dyDescent="0.2">
      <c r="A534" s="1861">
        <v>22020305</v>
      </c>
      <c r="B534" s="151" t="s">
        <v>20</v>
      </c>
      <c r="C534" s="152">
        <v>2450000</v>
      </c>
      <c r="D534" s="152"/>
      <c r="E534" s="152">
        <v>2450000</v>
      </c>
    </row>
    <row r="535" spans="1:5" ht="21" thickBot="1" x14ac:dyDescent="0.25">
      <c r="A535" s="1861">
        <v>22020309</v>
      </c>
      <c r="B535" s="151" t="s">
        <v>112</v>
      </c>
      <c r="C535" s="1892">
        <v>3500000</v>
      </c>
      <c r="D535" s="1892"/>
      <c r="E535" s="1892">
        <v>3500000</v>
      </c>
    </row>
    <row r="536" spans="1:5" ht="21" thickBot="1" x14ac:dyDescent="0.25">
      <c r="A536" s="1993">
        <v>22020400</v>
      </c>
      <c r="B536" s="2010" t="s">
        <v>67</v>
      </c>
      <c r="C536" s="2018">
        <f>SUM(C537:C539)</f>
        <v>29550000</v>
      </c>
      <c r="D536" s="2106">
        <f>SUM(D537:D539)</f>
        <v>23835600</v>
      </c>
      <c r="E536" s="2018">
        <f>SUM(E537:E539)</f>
        <v>29550000</v>
      </c>
    </row>
    <row r="537" spans="1:5" x14ac:dyDescent="0.2">
      <c r="A537" s="1861">
        <v>22020401</v>
      </c>
      <c r="B537" s="2024" t="s">
        <v>79</v>
      </c>
      <c r="C537" s="2000">
        <f>3500000+22750000</f>
        <v>26250000</v>
      </c>
      <c r="D537" s="152">
        <v>22085600</v>
      </c>
      <c r="E537" s="2000">
        <f>3500000+22750000</f>
        <v>26250000</v>
      </c>
    </row>
    <row r="538" spans="1:5" x14ac:dyDescent="0.2">
      <c r="A538" s="1861">
        <v>22020404</v>
      </c>
      <c r="B538" s="2024" t="s">
        <v>1100</v>
      </c>
      <c r="C538" s="181">
        <v>2100000</v>
      </c>
      <c r="D538" s="175">
        <v>1050000</v>
      </c>
      <c r="E538" s="344">
        <v>2100000</v>
      </c>
    </row>
    <row r="539" spans="1:5" ht="21" thickBot="1" x14ac:dyDescent="0.25">
      <c r="A539" s="1861">
        <v>22020406</v>
      </c>
      <c r="B539" s="151" t="s">
        <v>29</v>
      </c>
      <c r="C539" s="1892">
        <v>1200000</v>
      </c>
      <c r="D539" s="1892">
        <v>700000</v>
      </c>
      <c r="E539" s="1892">
        <v>1200000</v>
      </c>
    </row>
    <row r="540" spans="1:5" ht="21" thickBot="1" x14ac:dyDescent="0.25">
      <c r="A540" s="2005">
        <v>22020500</v>
      </c>
      <c r="B540" s="2059" t="s">
        <v>68</v>
      </c>
      <c r="C540" s="1994">
        <f>SUM(C541:C541)</f>
        <v>630000</v>
      </c>
      <c r="D540" s="2011">
        <f>SUM(D541:D541)</f>
        <v>0</v>
      </c>
      <c r="E540" s="1994">
        <f>SUM(E541:E541)</f>
        <v>630000</v>
      </c>
    </row>
    <row r="541" spans="1:5" ht="21" thickBot="1" x14ac:dyDescent="0.25">
      <c r="A541" s="1861">
        <v>22020501</v>
      </c>
      <c r="B541" s="151" t="s">
        <v>30</v>
      </c>
      <c r="C541" s="152">
        <v>630000</v>
      </c>
      <c r="D541" s="152">
        <v>0</v>
      </c>
      <c r="E541" s="152">
        <v>630000</v>
      </c>
    </row>
    <row r="542" spans="1:5" ht="21" thickBot="1" x14ac:dyDescent="0.25">
      <c r="A542" s="1993">
        <v>22020600</v>
      </c>
      <c r="B542" s="2010" t="s">
        <v>69</v>
      </c>
      <c r="C542" s="1994">
        <f>SUM(C543:C543)</f>
        <v>52171556</v>
      </c>
      <c r="D542" s="2011">
        <f>SUM(D543:D543)</f>
        <v>53616616</v>
      </c>
      <c r="E542" s="1994">
        <f>SUM(E543:E543)</f>
        <v>52171556</v>
      </c>
    </row>
    <row r="543" spans="1:5" ht="21" thickBot="1" x14ac:dyDescent="0.25">
      <c r="A543" s="1861">
        <v>22020603</v>
      </c>
      <c r="B543" s="151" t="s">
        <v>32</v>
      </c>
      <c r="C543" s="1892">
        <v>52171556</v>
      </c>
      <c r="D543" s="1892">
        <v>53616616</v>
      </c>
      <c r="E543" s="1892">
        <v>52171556</v>
      </c>
    </row>
    <row r="544" spans="1:5" ht="21" thickBot="1" x14ac:dyDescent="0.25">
      <c r="A544" s="1993">
        <v>22020700</v>
      </c>
      <c r="B544" s="2103" t="s">
        <v>70</v>
      </c>
      <c r="C544" s="2106">
        <f>SUM(C545:C545)</f>
        <v>2100000</v>
      </c>
      <c r="D544" s="2011">
        <f>SUM(D545:D545)</f>
        <v>4000000</v>
      </c>
      <c r="E544" s="1994">
        <f>SUM(E545:E545)</f>
        <v>2100000</v>
      </c>
    </row>
    <row r="545" spans="1:5" ht="21" thickBot="1" x14ac:dyDescent="0.35">
      <c r="A545" s="1861">
        <v>22020708</v>
      </c>
      <c r="B545" s="151" t="s">
        <v>38</v>
      </c>
      <c r="C545" s="3160">
        <v>2100000</v>
      </c>
      <c r="D545" s="1892">
        <v>4000000</v>
      </c>
      <c r="E545" s="2160">
        <v>2100000</v>
      </c>
    </row>
    <row r="546" spans="1:5" x14ac:dyDescent="0.2">
      <c r="A546" s="1993">
        <v>22021000</v>
      </c>
      <c r="B546" s="2010" t="s">
        <v>73</v>
      </c>
      <c r="C546" s="3161">
        <f>SUM(C547:C547)</f>
        <v>1400000</v>
      </c>
      <c r="D546" s="2336">
        <f>SUM(D547:D547)</f>
        <v>880000</v>
      </c>
      <c r="E546" s="2128">
        <f>SUM(E547:E547)</f>
        <v>1400000</v>
      </c>
    </row>
    <row r="547" spans="1:5" ht="21" thickBot="1" x14ac:dyDescent="0.25">
      <c r="A547" s="1861">
        <v>22021001</v>
      </c>
      <c r="B547" s="151" t="s">
        <v>41</v>
      </c>
      <c r="C547" s="2075">
        <v>1400000</v>
      </c>
      <c r="D547" s="152">
        <v>880000</v>
      </c>
      <c r="E547" s="152">
        <v>1400000</v>
      </c>
    </row>
    <row r="548" spans="1:5" ht="21" thickBot="1" x14ac:dyDescent="0.25">
      <c r="A548" s="1861"/>
      <c r="B548" s="2010"/>
      <c r="C548" s="3162"/>
      <c r="D548" s="2032"/>
      <c r="E548" s="2032"/>
    </row>
    <row r="549" spans="1:5" ht="21" thickBot="1" x14ac:dyDescent="0.25">
      <c r="A549" s="2177"/>
      <c r="B549" s="2105" t="s">
        <v>1331</v>
      </c>
      <c r="C549" s="2072">
        <f>SUM(C529,C532,C536,C540,C542,C544,C546)</f>
        <v>98801556</v>
      </c>
      <c r="D549" s="2038">
        <f>SUM(D529,D532,D536,D540,D542,D544,D546)</f>
        <v>86162216</v>
      </c>
      <c r="E549" s="2038">
        <f>SUM(E529,E532,E536,E540,E542,E544,E546)</f>
        <v>98801556</v>
      </c>
    </row>
    <row r="550" spans="1:5" x14ac:dyDescent="0.2">
      <c r="A550" s="3478" t="s">
        <v>1855</v>
      </c>
      <c r="B550" s="3478"/>
      <c r="C550" s="3478"/>
      <c r="D550" s="3478"/>
      <c r="E550" s="3478"/>
    </row>
    <row r="551" spans="1:5" x14ac:dyDescent="0.2">
      <c r="A551" s="3478" t="s">
        <v>641</v>
      </c>
      <c r="B551" s="3478"/>
      <c r="C551" s="3478"/>
      <c r="D551" s="3478"/>
      <c r="E551" s="3478"/>
    </row>
    <row r="552" spans="1:5" ht="21" thickBot="1" x14ac:dyDescent="0.25">
      <c r="A552" s="3476" t="s">
        <v>3154</v>
      </c>
      <c r="B552" s="3476"/>
      <c r="C552" s="3476"/>
      <c r="D552" s="3476"/>
      <c r="E552" s="3476"/>
    </row>
    <row r="553" spans="1:5" ht="81.75" thickBot="1" x14ac:dyDescent="0.35">
      <c r="A553" s="2004" t="s">
        <v>1014</v>
      </c>
      <c r="B553" s="2004" t="s">
        <v>282</v>
      </c>
      <c r="C553" s="173" t="s">
        <v>1174</v>
      </c>
      <c r="D553" s="173" t="s">
        <v>1145</v>
      </c>
      <c r="E553" s="173" t="s">
        <v>3096</v>
      </c>
    </row>
    <row r="554" spans="1:5" ht="21" thickBot="1" x14ac:dyDescent="0.25">
      <c r="A554" s="2035">
        <v>22020100</v>
      </c>
      <c r="B554" s="2036" t="s">
        <v>64</v>
      </c>
      <c r="C554" s="1994">
        <f>SUM(C555:C556)</f>
        <v>2012500</v>
      </c>
      <c r="D554" s="2011">
        <f>SUM(D555:D556)</f>
        <v>891250</v>
      </c>
      <c r="E554" s="1994">
        <f>SUM(E555:E556)</f>
        <v>2012500</v>
      </c>
    </row>
    <row r="555" spans="1:5" x14ac:dyDescent="0.2">
      <c r="A555" s="1861">
        <v>22020101</v>
      </c>
      <c r="B555" s="151" t="s">
        <v>9</v>
      </c>
      <c r="C555" s="152">
        <v>1012500</v>
      </c>
      <c r="D555" s="152">
        <v>891250</v>
      </c>
      <c r="E555" s="152">
        <v>1012500</v>
      </c>
    </row>
    <row r="556" spans="1:5" ht="21" thickBot="1" x14ac:dyDescent="0.25">
      <c r="A556" s="1861">
        <v>22020102</v>
      </c>
      <c r="B556" s="151" t="s">
        <v>10</v>
      </c>
      <c r="C556" s="1892">
        <v>1000000</v>
      </c>
      <c r="D556" s="1892"/>
      <c r="E556" s="1892">
        <v>1000000</v>
      </c>
    </row>
    <row r="557" spans="1:5" ht="21" thickBot="1" x14ac:dyDescent="0.25">
      <c r="A557" s="1993">
        <v>22020300</v>
      </c>
      <c r="B557" s="2010" t="s">
        <v>66</v>
      </c>
      <c r="C557" s="1994">
        <f>SUM(C558:C559)</f>
        <v>3920000</v>
      </c>
      <c r="D557" s="1994">
        <f>SUM(D558:D559)</f>
        <v>1736000</v>
      </c>
      <c r="E557" s="1994">
        <f>SUM(E558:E559)</f>
        <v>3920000</v>
      </c>
    </row>
    <row r="558" spans="1:5" x14ac:dyDescent="0.2">
      <c r="A558" s="1861">
        <v>22020301</v>
      </c>
      <c r="B558" s="153" t="s">
        <v>17</v>
      </c>
      <c r="C558" s="152">
        <v>420000</v>
      </c>
      <c r="D558" s="152">
        <v>186000</v>
      </c>
      <c r="E558" s="152">
        <v>420000</v>
      </c>
    </row>
    <row r="559" spans="1:5" ht="21" thickBot="1" x14ac:dyDescent="0.25">
      <c r="A559" s="1861">
        <v>22020305</v>
      </c>
      <c r="B559" s="153" t="s">
        <v>20</v>
      </c>
      <c r="C559" s="1892">
        <v>3500000</v>
      </c>
      <c r="D559" s="1892">
        <v>1550000</v>
      </c>
      <c r="E559" s="1892">
        <v>3500000</v>
      </c>
    </row>
    <row r="560" spans="1:5" ht="21" thickBot="1" x14ac:dyDescent="0.25">
      <c r="A560" s="1993">
        <v>22020400</v>
      </c>
      <c r="B560" s="2010" t="s">
        <v>67</v>
      </c>
      <c r="C560" s="1994">
        <f>SUM(C561:C563)</f>
        <v>3291750</v>
      </c>
      <c r="D560" s="2011">
        <f>SUM(D561:D563)</f>
        <v>1457775</v>
      </c>
      <c r="E560" s="1994">
        <f>SUM(E561:E563)</f>
        <v>3291750</v>
      </c>
    </row>
    <row r="561" spans="1:5" x14ac:dyDescent="0.2">
      <c r="A561" s="1861">
        <v>22020401</v>
      </c>
      <c r="B561" s="2024" t="s">
        <v>79</v>
      </c>
      <c r="C561" s="152">
        <v>420350</v>
      </c>
      <c r="D561" s="152">
        <v>186155</v>
      </c>
      <c r="E561" s="152">
        <v>420350</v>
      </c>
    </row>
    <row r="562" spans="1:5" x14ac:dyDescent="0.2">
      <c r="A562" s="1861">
        <v>22020404</v>
      </c>
      <c r="B562" s="2024" t="s">
        <v>1165</v>
      </c>
      <c r="C562" s="152">
        <v>2800000</v>
      </c>
      <c r="D562" s="152">
        <v>1240000</v>
      </c>
      <c r="E562" s="152">
        <v>2800000</v>
      </c>
    </row>
    <row r="563" spans="1:5" ht="21" thickBot="1" x14ac:dyDescent="0.25">
      <c r="A563" s="1861">
        <v>22020406</v>
      </c>
      <c r="B563" s="151" t="s">
        <v>1166</v>
      </c>
      <c r="C563" s="1892">
        <v>71400</v>
      </c>
      <c r="D563" s="1892">
        <v>31620</v>
      </c>
      <c r="E563" s="1892">
        <v>71400</v>
      </c>
    </row>
    <row r="564" spans="1:5" ht="21" thickBot="1" x14ac:dyDescent="0.25">
      <c r="A564" s="1993">
        <v>22020500</v>
      </c>
      <c r="B564" s="2010" t="s">
        <v>68</v>
      </c>
      <c r="C564" s="1994">
        <f>SUM(C565:C566)</f>
        <v>109756063</v>
      </c>
      <c r="D564" s="2011">
        <f>SUM(D565:D566)</f>
        <v>55335347</v>
      </c>
      <c r="E564" s="1994">
        <f>SUM(E565:E566)</f>
        <v>119756063</v>
      </c>
    </row>
    <row r="565" spans="1:5" x14ac:dyDescent="0.2">
      <c r="A565" s="1861">
        <v>22020501</v>
      </c>
      <c r="B565" s="151" t="s">
        <v>3307</v>
      </c>
      <c r="C565" s="1892">
        <v>43725063</v>
      </c>
      <c r="D565" s="1892">
        <v>21023260</v>
      </c>
      <c r="E565" s="1892">
        <v>53725063</v>
      </c>
    </row>
    <row r="566" spans="1:5" ht="21" thickBot="1" x14ac:dyDescent="0.25">
      <c r="A566" s="1861">
        <v>22020502</v>
      </c>
      <c r="B566" s="151" t="s">
        <v>3308</v>
      </c>
      <c r="C566" s="152">
        <v>66031000</v>
      </c>
      <c r="D566" s="152">
        <v>34312087</v>
      </c>
      <c r="E566" s="152">
        <v>66031000</v>
      </c>
    </row>
    <row r="567" spans="1:5" ht="21" thickBot="1" x14ac:dyDescent="0.25">
      <c r="A567" s="1993">
        <v>22021000</v>
      </c>
      <c r="B567" s="2010" t="s">
        <v>73</v>
      </c>
      <c r="C567" s="2106">
        <f>SUM(C568:C571)</f>
        <v>913066</v>
      </c>
      <c r="D567" s="2011">
        <f>SUM(D568:D571)</f>
        <v>114700</v>
      </c>
      <c r="E567" s="2018">
        <f>SUM(E568:E571)</f>
        <v>913066</v>
      </c>
    </row>
    <row r="568" spans="1:5" x14ac:dyDescent="0.2">
      <c r="A568" s="1861">
        <v>22021001</v>
      </c>
      <c r="B568" s="151" t="s">
        <v>41</v>
      </c>
      <c r="C568" s="2075">
        <v>154000</v>
      </c>
      <c r="D568" s="1892">
        <v>68200</v>
      </c>
      <c r="E568" s="152">
        <v>154000</v>
      </c>
    </row>
    <row r="569" spans="1:5" x14ac:dyDescent="0.2">
      <c r="A569" s="1861">
        <v>22021003</v>
      </c>
      <c r="B569" s="151" t="s">
        <v>132</v>
      </c>
      <c r="C569" s="2075">
        <v>105000</v>
      </c>
      <c r="D569" s="152">
        <v>46500</v>
      </c>
      <c r="E569" s="152">
        <v>105000</v>
      </c>
    </row>
    <row r="570" spans="1:5" x14ac:dyDescent="0.2">
      <c r="A570" s="1861">
        <v>22021021</v>
      </c>
      <c r="B570" s="151" t="s">
        <v>1167</v>
      </c>
      <c r="C570" s="2075">
        <v>567000</v>
      </c>
      <c r="D570" s="1990" t="s">
        <v>179</v>
      </c>
      <c r="E570" s="152">
        <v>567000</v>
      </c>
    </row>
    <row r="571" spans="1:5" x14ac:dyDescent="0.2">
      <c r="A571" s="1861">
        <v>22021021</v>
      </c>
      <c r="B571" s="151" t="s">
        <v>1168</v>
      </c>
      <c r="C571" s="2075">
        <v>87066</v>
      </c>
      <c r="D571" s="1990" t="s">
        <v>179</v>
      </c>
      <c r="E571" s="152">
        <v>87066</v>
      </c>
    </row>
    <row r="572" spans="1:5" ht="21" thickBot="1" x14ac:dyDescent="0.25">
      <c r="A572" s="1861"/>
      <c r="B572" s="151"/>
      <c r="C572" s="2057"/>
      <c r="D572" s="2058"/>
      <c r="E572" s="2058"/>
    </row>
    <row r="573" spans="1:5" ht="21" thickBot="1" x14ac:dyDescent="0.25">
      <c r="A573" s="2177"/>
      <c r="B573" s="2105" t="s">
        <v>2501</v>
      </c>
      <c r="C573" s="2163">
        <f>SUM(C554,C557,C560,C564,C567)</f>
        <v>119893379</v>
      </c>
      <c r="D573" s="2001">
        <f>SUM(D554,D557,D560,D564,D567)</f>
        <v>59535072</v>
      </c>
      <c r="E573" s="2018">
        <f>SUM(E554,E557,E560,E564,E567)</f>
        <v>129893379</v>
      </c>
    </row>
    <row r="574" spans="1:5" x14ac:dyDescent="0.2">
      <c r="A574" s="2043"/>
      <c r="B574" s="2044"/>
      <c r="C574" s="2003"/>
      <c r="D574" s="2003"/>
      <c r="E574" s="2003"/>
    </row>
    <row r="575" spans="1:5" x14ac:dyDescent="0.2">
      <c r="A575" s="3477"/>
      <c r="B575" s="3477"/>
      <c r="C575" s="3477"/>
      <c r="D575" s="3477"/>
      <c r="E575" s="3477"/>
    </row>
    <row r="576" spans="1:5" x14ac:dyDescent="0.2">
      <c r="A576" s="3477" t="s">
        <v>1855</v>
      </c>
      <c r="B576" s="3477"/>
      <c r="C576" s="3477"/>
      <c r="D576" s="3477"/>
      <c r="E576" s="3477"/>
    </row>
    <row r="577" spans="1:5" x14ac:dyDescent="0.2">
      <c r="A577" s="3477" t="s">
        <v>703</v>
      </c>
      <c r="B577" s="3477"/>
      <c r="C577" s="3477"/>
      <c r="D577" s="3477"/>
      <c r="E577" s="3477"/>
    </row>
    <row r="578" spans="1:5" ht="21" thickBot="1" x14ac:dyDescent="0.25">
      <c r="A578" s="3476" t="s">
        <v>1164</v>
      </c>
      <c r="B578" s="3476"/>
      <c r="C578" s="3476"/>
      <c r="D578" s="3476"/>
      <c r="E578" s="3476"/>
    </row>
    <row r="579" spans="1:5" ht="81.75" thickBot="1" x14ac:dyDescent="0.35">
      <c r="A579" s="2004" t="s">
        <v>1014</v>
      </c>
      <c r="B579" s="2004" t="s">
        <v>282</v>
      </c>
      <c r="C579" s="173" t="s">
        <v>1174</v>
      </c>
      <c r="D579" s="173" t="s">
        <v>1145</v>
      </c>
      <c r="E579" s="173" t="s">
        <v>3096</v>
      </c>
    </row>
    <row r="580" spans="1:5" ht="21" thickBot="1" x14ac:dyDescent="0.25">
      <c r="A580" s="2005">
        <v>22020100</v>
      </c>
      <c r="B580" s="2061" t="s">
        <v>64</v>
      </c>
      <c r="C580" s="2012">
        <f>SUM(C581:C582)</f>
        <v>2100000</v>
      </c>
      <c r="D580" s="2011">
        <f>SUM(D581:D582)</f>
        <v>1080000</v>
      </c>
      <c r="E580" s="2012">
        <f>SUM(E581:E582)</f>
        <v>5000000</v>
      </c>
    </row>
    <row r="581" spans="1:5" x14ac:dyDescent="0.2">
      <c r="A581" s="1861">
        <v>22020101</v>
      </c>
      <c r="B581" s="151" t="s">
        <v>9</v>
      </c>
      <c r="C581" s="152"/>
      <c r="D581" s="152"/>
      <c r="E581" s="152"/>
    </row>
    <row r="582" spans="1:5" ht="21" thickBot="1" x14ac:dyDescent="0.25">
      <c r="A582" s="1861">
        <v>22020102</v>
      </c>
      <c r="B582" s="151" t="s">
        <v>10</v>
      </c>
      <c r="C582" s="152">
        <v>2100000</v>
      </c>
      <c r="D582" s="152">
        <v>1080000</v>
      </c>
      <c r="E582" s="152">
        <v>5000000</v>
      </c>
    </row>
    <row r="583" spans="1:5" ht="21" thickBot="1" x14ac:dyDescent="0.25">
      <c r="A583" s="1993">
        <v>22020200</v>
      </c>
      <c r="B583" s="2010" t="s">
        <v>65</v>
      </c>
      <c r="C583" s="2012">
        <f>SUM(C584:C585)</f>
        <v>830000</v>
      </c>
      <c r="D583" s="2012">
        <f>SUM(D584:D585)</f>
        <v>0</v>
      </c>
      <c r="E583" s="2012">
        <f>SUM(E584:E585)</f>
        <v>2000000</v>
      </c>
    </row>
    <row r="584" spans="1:5" x14ac:dyDescent="0.2">
      <c r="A584" s="1861">
        <v>22020201</v>
      </c>
      <c r="B584" s="151" t="s">
        <v>13</v>
      </c>
      <c r="C584" s="1892">
        <v>700000</v>
      </c>
      <c r="D584" s="1892"/>
      <c r="E584" s="1892">
        <v>1000000</v>
      </c>
    </row>
    <row r="585" spans="1:5" ht="21" thickBot="1" x14ac:dyDescent="0.25">
      <c r="A585" s="1861">
        <v>22020202</v>
      </c>
      <c r="B585" s="153" t="s">
        <v>1216</v>
      </c>
      <c r="C585" s="2037">
        <f>130000</f>
        <v>130000</v>
      </c>
      <c r="D585" s="1892"/>
      <c r="E585" s="2037">
        <v>1000000</v>
      </c>
    </row>
    <row r="586" spans="1:5" ht="21" thickBot="1" x14ac:dyDescent="0.25">
      <c r="A586" s="1993">
        <v>22020300</v>
      </c>
      <c r="B586" s="2010" t="s">
        <v>66</v>
      </c>
      <c r="C586" s="2012">
        <f>SUM(C587:C587)</f>
        <v>1050000</v>
      </c>
      <c r="D586" s="2011">
        <f>SUM(D587:D587)</f>
        <v>600000</v>
      </c>
      <c r="E586" s="2012">
        <f>SUM(E587:E587)</f>
        <v>3000000</v>
      </c>
    </row>
    <row r="587" spans="1:5" ht="21" thickBot="1" x14ac:dyDescent="0.35">
      <c r="A587" s="1861">
        <v>22020301</v>
      </c>
      <c r="B587" s="151" t="s">
        <v>17</v>
      </c>
      <c r="C587" s="180">
        <v>1050000</v>
      </c>
      <c r="D587" s="2092">
        <v>600000</v>
      </c>
      <c r="E587" s="2160">
        <v>3000000</v>
      </c>
    </row>
    <row r="588" spans="1:5" ht="21" thickBot="1" x14ac:dyDescent="0.25">
      <c r="A588" s="1993">
        <v>22020400</v>
      </c>
      <c r="B588" s="2010" t="s">
        <v>67</v>
      </c>
      <c r="C588" s="2012">
        <f>SUM(C589:C590)</f>
        <v>2460000</v>
      </c>
      <c r="D588" s="2011">
        <f>SUM(D589:D590)</f>
        <v>720000</v>
      </c>
      <c r="E588" s="2012">
        <f>SUM(E589:E590)</f>
        <v>3200000</v>
      </c>
    </row>
    <row r="589" spans="1:5" x14ac:dyDescent="0.3">
      <c r="A589" s="1861">
        <v>22020401</v>
      </c>
      <c r="B589" s="2024" t="s">
        <v>79</v>
      </c>
      <c r="C589" s="179">
        <v>1260000</v>
      </c>
      <c r="D589" s="185">
        <v>720000</v>
      </c>
      <c r="E589" s="2161">
        <v>2000000</v>
      </c>
    </row>
    <row r="590" spans="1:5" ht="21" thickBot="1" x14ac:dyDescent="0.25">
      <c r="A590" s="1861">
        <v>22020406</v>
      </c>
      <c r="B590" s="151" t="s">
        <v>29</v>
      </c>
      <c r="C590" s="1892">
        <v>1200000</v>
      </c>
      <c r="D590" s="1892"/>
      <c r="E590" s="1892">
        <v>1200000</v>
      </c>
    </row>
    <row r="591" spans="1:5" ht="21" thickBot="1" x14ac:dyDescent="0.25">
      <c r="A591" s="1993">
        <v>22021000</v>
      </c>
      <c r="B591" s="2010" t="s">
        <v>73</v>
      </c>
      <c r="C591" s="2163">
        <f>SUM(C592:C593)</f>
        <v>665000</v>
      </c>
      <c r="D591" s="2011">
        <f>SUM(D592:D593)</f>
        <v>294000</v>
      </c>
      <c r="E591" s="2012">
        <f>SUM(E592:E593)</f>
        <v>4000000</v>
      </c>
    </row>
    <row r="592" spans="1:5" x14ac:dyDescent="0.2">
      <c r="A592" s="1861">
        <v>22021001</v>
      </c>
      <c r="B592" s="151" t="s">
        <v>41</v>
      </c>
      <c r="C592" s="152">
        <v>525000</v>
      </c>
      <c r="D592" s="152">
        <v>294000</v>
      </c>
      <c r="E592" s="152">
        <v>2000000</v>
      </c>
    </row>
    <row r="593" spans="1:5" x14ac:dyDescent="0.2">
      <c r="A593" s="1861">
        <v>22021003</v>
      </c>
      <c r="B593" s="151" t="s">
        <v>132</v>
      </c>
      <c r="C593" s="2075">
        <v>140000</v>
      </c>
      <c r="D593" s="152"/>
      <c r="E593" s="152">
        <v>2000000</v>
      </c>
    </row>
    <row r="594" spans="1:5" ht="21" thickBot="1" x14ac:dyDescent="0.25">
      <c r="A594" s="1861"/>
      <c r="B594" s="2010"/>
      <c r="C594" s="2110"/>
      <c r="D594" s="2110"/>
      <c r="E594" s="2078"/>
    </row>
    <row r="595" spans="1:5" ht="21" thickBot="1" x14ac:dyDescent="0.25">
      <c r="A595" s="2104"/>
      <c r="B595" s="2105" t="s">
        <v>1540</v>
      </c>
      <c r="C595" s="2062">
        <f>SUM(C580,C583,C586,C588,C591)</f>
        <v>7105000</v>
      </c>
      <c r="D595" s="2018">
        <f>SUM(D580,D583,D586,D588,D591)</f>
        <v>2694000</v>
      </c>
      <c r="E595" s="2018">
        <f>SUM(E580,E583,E586,E588,E591)</f>
        <v>17200000</v>
      </c>
    </row>
    <row r="596" spans="1:5" x14ac:dyDescent="0.2">
      <c r="A596" s="2111"/>
      <c r="B596" s="2044"/>
      <c r="C596" s="2003"/>
      <c r="D596" s="2003"/>
      <c r="E596" s="2003"/>
    </row>
    <row r="597" spans="1:5" x14ac:dyDescent="0.2">
      <c r="A597" s="2043"/>
      <c r="B597" s="2044"/>
      <c r="C597" s="2003"/>
      <c r="D597" s="2003"/>
      <c r="E597" s="2003"/>
    </row>
    <row r="598" spans="1:5" x14ac:dyDescent="0.2">
      <c r="A598" s="3477" t="s">
        <v>1855</v>
      </c>
      <c r="B598" s="3477"/>
      <c r="C598" s="3477"/>
      <c r="D598" s="3477"/>
      <c r="E598" s="3477"/>
    </row>
    <row r="599" spans="1:5" x14ac:dyDescent="0.2">
      <c r="A599" s="3477" t="s">
        <v>1169</v>
      </c>
      <c r="B599" s="3477"/>
      <c r="C599" s="3477"/>
      <c r="D599" s="3477"/>
      <c r="E599" s="3477"/>
    </row>
    <row r="600" spans="1:5" ht="21" thickBot="1" x14ac:dyDescent="0.25">
      <c r="A600" s="3476" t="s">
        <v>705</v>
      </c>
      <c r="B600" s="3476"/>
      <c r="C600" s="3476"/>
      <c r="D600" s="3476"/>
      <c r="E600" s="3476"/>
    </row>
    <row r="601" spans="1:5" ht="81.75" thickBot="1" x14ac:dyDescent="0.35">
      <c r="A601" s="2004" t="s">
        <v>1014</v>
      </c>
      <c r="B601" s="2004" t="s">
        <v>282</v>
      </c>
      <c r="C601" s="173" t="s">
        <v>1174</v>
      </c>
      <c r="D601" s="173" t="s">
        <v>1145</v>
      </c>
      <c r="E601" s="173" t="s">
        <v>3096</v>
      </c>
    </row>
    <row r="602" spans="1:5" ht="21" thickBot="1" x14ac:dyDescent="0.25">
      <c r="A602" s="2005">
        <v>22020100</v>
      </c>
      <c r="B602" s="2061" t="s">
        <v>64</v>
      </c>
      <c r="C602" s="1994">
        <f>SUM(C603:C605)</f>
        <v>16940000</v>
      </c>
      <c r="D602" s="1994">
        <f>SUM(D603:D605)</f>
        <v>12866663</v>
      </c>
      <c r="E602" s="2337">
        <f>SUM(E603:E605)</f>
        <v>21440000</v>
      </c>
    </row>
    <row r="603" spans="1:5" x14ac:dyDescent="0.2">
      <c r="A603" s="1861">
        <v>22020101</v>
      </c>
      <c r="B603" s="151" t="s">
        <v>9</v>
      </c>
      <c r="C603" s="152">
        <v>1440000</v>
      </c>
      <c r="D603" s="2099">
        <v>1366663</v>
      </c>
      <c r="E603" s="2119">
        <v>1440000</v>
      </c>
    </row>
    <row r="604" spans="1:5" x14ac:dyDescent="0.2">
      <c r="A604" s="1861">
        <v>22020102</v>
      </c>
      <c r="B604" s="151" t="s">
        <v>10</v>
      </c>
      <c r="C604" s="152">
        <v>5000000</v>
      </c>
      <c r="D604" s="2099">
        <v>4000000</v>
      </c>
      <c r="E604" s="2119">
        <v>5000000</v>
      </c>
    </row>
    <row r="605" spans="1:5" ht="21" thickBot="1" x14ac:dyDescent="0.25">
      <c r="A605" s="1861">
        <v>22020103</v>
      </c>
      <c r="B605" s="151" t="s">
        <v>1171</v>
      </c>
      <c r="C605" s="2057">
        <v>10500000</v>
      </c>
      <c r="D605" s="3284">
        <v>7500000</v>
      </c>
      <c r="E605" s="2278">
        <v>15000000</v>
      </c>
    </row>
    <row r="606" spans="1:5" ht="21" thickBot="1" x14ac:dyDescent="0.25">
      <c r="A606" s="1993">
        <v>22020200</v>
      </c>
      <c r="B606" s="2010" t="s">
        <v>65</v>
      </c>
      <c r="C606" s="1994">
        <f>SUM(C607:C607)</f>
        <v>700000</v>
      </c>
      <c r="D606" s="1994">
        <f>SUM(D607:D607)</f>
        <v>583329</v>
      </c>
      <c r="E606" s="2018">
        <f>SUM(E607:E607)</f>
        <v>1000000</v>
      </c>
    </row>
    <row r="607" spans="1:5" ht="21" thickBot="1" x14ac:dyDescent="0.25">
      <c r="A607" s="1861">
        <v>22020202</v>
      </c>
      <c r="B607" s="153" t="s">
        <v>1216</v>
      </c>
      <c r="C607" s="152">
        <v>700000</v>
      </c>
      <c r="D607" s="2099">
        <v>583329</v>
      </c>
      <c r="E607" s="2119">
        <v>1000000</v>
      </c>
    </row>
    <row r="608" spans="1:5" ht="21" thickBot="1" x14ac:dyDescent="0.25">
      <c r="A608" s="1993">
        <v>22020300</v>
      </c>
      <c r="B608" s="2010" t="s">
        <v>66</v>
      </c>
      <c r="C608" s="1994">
        <f>SUM(C609:C610)</f>
        <v>4900000</v>
      </c>
      <c r="D608" s="2011">
        <f>SUM(D609:D610)</f>
        <v>1750000</v>
      </c>
      <c r="E608" s="2337">
        <f>SUM(E609:E610)</f>
        <v>6100000</v>
      </c>
    </row>
    <row r="609" spans="1:5" x14ac:dyDescent="0.2">
      <c r="A609" s="1861">
        <v>22020301</v>
      </c>
      <c r="B609" s="151" t="s">
        <v>17</v>
      </c>
      <c r="C609" s="152">
        <v>2100000</v>
      </c>
      <c r="D609" s="2099">
        <v>1750000</v>
      </c>
      <c r="E609" s="2119">
        <v>2100000</v>
      </c>
    </row>
    <row r="610" spans="1:5" ht="21" thickBot="1" x14ac:dyDescent="0.25">
      <c r="A610" s="1861">
        <v>22020312</v>
      </c>
      <c r="B610" s="2024" t="s">
        <v>1102</v>
      </c>
      <c r="C610" s="1892">
        <v>2800000</v>
      </c>
      <c r="D610" s="1892"/>
      <c r="E610" s="2125">
        <v>4000000</v>
      </c>
    </row>
    <row r="611" spans="1:5" ht="21" thickBot="1" x14ac:dyDescent="0.25">
      <c r="A611" s="1993">
        <v>22020400</v>
      </c>
      <c r="B611" s="2010" t="s">
        <v>67</v>
      </c>
      <c r="C611" s="1994">
        <f>SUM(C612:C613)</f>
        <v>9380000</v>
      </c>
      <c r="D611" s="2011">
        <f>SUM(D612:D613)</f>
        <v>7816670</v>
      </c>
      <c r="E611" s="2337">
        <f>SUM(E612:E613)</f>
        <v>9380000</v>
      </c>
    </row>
    <row r="612" spans="1:5" x14ac:dyDescent="0.2">
      <c r="A612" s="1861">
        <v>22020401</v>
      </c>
      <c r="B612" s="2024" t="s">
        <v>79</v>
      </c>
      <c r="C612" s="152">
        <v>3500000</v>
      </c>
      <c r="D612" s="2099">
        <v>2916670</v>
      </c>
      <c r="E612" s="2119">
        <v>3500000</v>
      </c>
    </row>
    <row r="613" spans="1:5" ht="21" thickBot="1" x14ac:dyDescent="0.25">
      <c r="A613" s="1861">
        <v>22020402</v>
      </c>
      <c r="B613" s="151" t="s">
        <v>1170</v>
      </c>
      <c r="C613" s="1892">
        <v>5880000</v>
      </c>
      <c r="D613" s="2100">
        <v>4900000</v>
      </c>
      <c r="E613" s="2125">
        <v>5880000</v>
      </c>
    </row>
    <row r="614" spans="1:5" ht="21" thickBot="1" x14ac:dyDescent="0.25">
      <c r="A614" s="1993">
        <v>220207</v>
      </c>
      <c r="B614" s="2103" t="s">
        <v>70</v>
      </c>
      <c r="C614" s="2337">
        <f>SUM(C615:C617)</f>
        <v>17635800</v>
      </c>
      <c r="D614" s="2337">
        <f>SUM(D615:D617)</f>
        <v>15310750</v>
      </c>
      <c r="E614" s="2337">
        <f>SUM(E615:E617)</f>
        <v>24635800</v>
      </c>
    </row>
    <row r="615" spans="1:5" x14ac:dyDescent="0.2">
      <c r="A615" s="2510">
        <v>22020701</v>
      </c>
      <c r="B615" s="2511" t="s">
        <v>1728</v>
      </c>
      <c r="C615" s="2100">
        <v>3635800</v>
      </c>
      <c r="D615" s="2100"/>
      <c r="E615" s="2100">
        <v>3635800</v>
      </c>
    </row>
    <row r="616" spans="1:5" x14ac:dyDescent="0.2">
      <c r="A616" s="1861">
        <v>22020709</v>
      </c>
      <c r="B616" s="151" t="s">
        <v>124</v>
      </c>
      <c r="C616" s="1892">
        <v>14000000</v>
      </c>
      <c r="D616" s="2099">
        <v>15310750</v>
      </c>
      <c r="E616" s="2119">
        <v>20000000</v>
      </c>
    </row>
    <row r="617" spans="1:5" ht="21" thickBot="1" x14ac:dyDescent="0.25">
      <c r="A617" s="1861">
        <v>22020709</v>
      </c>
      <c r="B617" s="327" t="s">
        <v>3152</v>
      </c>
      <c r="C617" s="1892"/>
      <c r="D617" s="2100"/>
      <c r="E617" s="2125">
        <v>1000000</v>
      </c>
    </row>
    <row r="618" spans="1:5" ht="21" thickBot="1" x14ac:dyDescent="0.25">
      <c r="A618" s="1993">
        <v>22021000</v>
      </c>
      <c r="B618" s="2010" t="s">
        <v>73</v>
      </c>
      <c r="C618" s="1994">
        <f>SUM(C619:C621)</f>
        <v>4270000</v>
      </c>
      <c r="D618" s="2011">
        <f>SUM(D619:D621)</f>
        <v>3558342</v>
      </c>
      <c r="E618" s="2337">
        <f>SUM(E619:E621)</f>
        <v>5270000</v>
      </c>
    </row>
    <row r="619" spans="1:5" x14ac:dyDescent="0.2">
      <c r="A619" s="1861">
        <v>22021001</v>
      </c>
      <c r="B619" s="151" t="s">
        <v>41</v>
      </c>
      <c r="C619" s="152">
        <v>770000</v>
      </c>
      <c r="D619" s="2099">
        <v>641671</v>
      </c>
      <c r="E619" s="2119">
        <v>1770000</v>
      </c>
    </row>
    <row r="620" spans="1:5" x14ac:dyDescent="0.2">
      <c r="A620" s="1861">
        <v>22021002</v>
      </c>
      <c r="B620" s="151" t="s">
        <v>1568</v>
      </c>
      <c r="C620" s="1892">
        <v>2100000</v>
      </c>
      <c r="D620" s="2099">
        <v>1750000</v>
      </c>
      <c r="E620" s="2119">
        <v>2100000</v>
      </c>
    </row>
    <row r="621" spans="1:5" ht="21" thickBot="1" x14ac:dyDescent="0.25">
      <c r="A621" s="1861">
        <v>22021021</v>
      </c>
      <c r="B621" s="151" t="s">
        <v>1101</v>
      </c>
      <c r="C621" s="2075">
        <v>1400000</v>
      </c>
      <c r="D621" s="2099">
        <v>1166671</v>
      </c>
      <c r="E621" s="2119">
        <v>1400000</v>
      </c>
    </row>
    <row r="622" spans="1:5" ht="21" thickBot="1" x14ac:dyDescent="0.25">
      <c r="A622" s="3285">
        <v>22040100</v>
      </c>
      <c r="B622" s="3286" t="s">
        <v>75</v>
      </c>
      <c r="C622" s="3287">
        <f>SUM(C623)</f>
        <v>0</v>
      </c>
      <c r="D622" s="2127">
        <f>SUM(D623)</f>
        <v>0</v>
      </c>
      <c r="E622" s="2127">
        <f>SUM(E623)</f>
        <v>6000000</v>
      </c>
    </row>
    <row r="623" spans="1:5" x14ac:dyDescent="0.2">
      <c r="A623" s="2510">
        <v>22040105</v>
      </c>
      <c r="B623" s="2326" t="s">
        <v>1721</v>
      </c>
      <c r="C623" s="3288"/>
      <c r="D623" s="2408"/>
      <c r="E623" s="2123">
        <v>6000000</v>
      </c>
    </row>
    <row r="624" spans="1:5" ht="21.75" thickBot="1" x14ac:dyDescent="0.4">
      <c r="A624" s="2510"/>
      <c r="B624" s="3286"/>
      <c r="C624" s="3289"/>
      <c r="D624" s="3290"/>
      <c r="E624" s="3199"/>
    </row>
    <row r="625" spans="1:5" ht="21" thickBot="1" x14ac:dyDescent="0.25">
      <c r="A625" s="2177"/>
      <c r="B625" s="2105" t="s">
        <v>1332</v>
      </c>
      <c r="C625" s="2062">
        <f>SUM(C602,C606,C608,C611,C614,C618)</f>
        <v>53825800</v>
      </c>
      <c r="D625" s="2018">
        <f>SUM(D602,D606,D608,D611,,D614,D618)</f>
        <v>41885754</v>
      </c>
      <c r="E625" s="2127">
        <f>SUM(E602,E606,E608,E611,E614,E618,E622)</f>
        <v>73825800</v>
      </c>
    </row>
    <row r="626" spans="1:5" x14ac:dyDescent="0.2">
      <c r="A626" s="3477"/>
      <c r="B626" s="3477"/>
      <c r="C626" s="3479"/>
      <c r="D626" s="3479"/>
      <c r="E626" s="3479"/>
    </row>
    <row r="627" spans="1:5" x14ac:dyDescent="0.2">
      <c r="A627" s="3477" t="s">
        <v>1856</v>
      </c>
      <c r="B627" s="3477"/>
      <c r="C627" s="3477"/>
      <c r="D627" s="3477"/>
      <c r="E627" s="3477"/>
    </row>
    <row r="628" spans="1:5" x14ac:dyDescent="0.2">
      <c r="A628" s="3477" t="s">
        <v>641</v>
      </c>
      <c r="B628" s="3477"/>
      <c r="C628" s="3477"/>
      <c r="D628" s="3477"/>
      <c r="E628" s="3477"/>
    </row>
    <row r="629" spans="1:5" ht="21" thickBot="1" x14ac:dyDescent="0.25">
      <c r="A629" s="3476" t="s">
        <v>149</v>
      </c>
      <c r="B629" s="3476"/>
      <c r="C629" s="3476"/>
      <c r="D629" s="3476"/>
      <c r="E629" s="3476"/>
    </row>
    <row r="630" spans="1:5" ht="81.75" thickBot="1" x14ac:dyDescent="0.35">
      <c r="A630" s="2004" t="s">
        <v>1014</v>
      </c>
      <c r="B630" s="2004" t="s">
        <v>282</v>
      </c>
      <c r="C630" s="173" t="s">
        <v>1174</v>
      </c>
      <c r="D630" s="173" t="s">
        <v>1145</v>
      </c>
      <c r="E630" s="173" t="s">
        <v>3096</v>
      </c>
    </row>
    <row r="631" spans="1:5" ht="21" thickBot="1" x14ac:dyDescent="0.25">
      <c r="A631" s="2005">
        <v>22020100</v>
      </c>
      <c r="B631" s="2061" t="s">
        <v>64</v>
      </c>
      <c r="C631" s="1994">
        <f>SUM(C632:C633)</f>
        <v>2221184</v>
      </c>
      <c r="D631" s="2011">
        <f>SUM(D632:D633)</f>
        <v>1147613</v>
      </c>
      <c r="E631" s="1994">
        <f>SUM(E632:E633)</f>
        <v>2421184</v>
      </c>
    </row>
    <row r="632" spans="1:5" x14ac:dyDescent="0.2">
      <c r="A632" s="1861">
        <v>22020101</v>
      </c>
      <c r="B632" s="2024" t="s">
        <v>9</v>
      </c>
      <c r="C632" s="152">
        <v>721184</v>
      </c>
      <c r="D632" s="152"/>
      <c r="E632" s="152">
        <v>921184</v>
      </c>
    </row>
    <row r="633" spans="1:5" ht="21" thickBot="1" x14ac:dyDescent="0.25">
      <c r="A633" s="1861">
        <v>22020102</v>
      </c>
      <c r="B633" s="2024" t="s">
        <v>10</v>
      </c>
      <c r="C633" s="152">
        <v>1500000</v>
      </c>
      <c r="D633" s="1892">
        <v>1147613</v>
      </c>
      <c r="E633" s="152">
        <v>1500000</v>
      </c>
    </row>
    <row r="634" spans="1:5" ht="21" thickBot="1" x14ac:dyDescent="0.25">
      <c r="A634" s="1993">
        <v>22020200</v>
      </c>
      <c r="B634" s="2103" t="s">
        <v>65</v>
      </c>
      <c r="C634" s="1994">
        <f>SUM(C635:C635)</f>
        <v>175000</v>
      </c>
      <c r="D634" s="2011">
        <f>SUM(D635:D635)</f>
        <v>31100</v>
      </c>
      <c r="E634" s="1994">
        <f>SUM(E635:E635)</f>
        <v>575000</v>
      </c>
    </row>
    <row r="635" spans="1:5" ht="21" thickBot="1" x14ac:dyDescent="0.25">
      <c r="A635" s="1861">
        <v>22020201</v>
      </c>
      <c r="B635" s="2024" t="s">
        <v>13</v>
      </c>
      <c r="C635" s="1892">
        <v>175000</v>
      </c>
      <c r="D635" s="1892">
        <v>31100</v>
      </c>
      <c r="E635" s="1892">
        <v>575000</v>
      </c>
    </row>
    <row r="636" spans="1:5" ht="21" thickBot="1" x14ac:dyDescent="0.25">
      <c r="A636" s="1993">
        <v>22020300</v>
      </c>
      <c r="B636" s="2103" t="s">
        <v>66</v>
      </c>
      <c r="C636" s="1994">
        <f>SUM(C637:C638)</f>
        <v>2605695</v>
      </c>
      <c r="D636" s="2011">
        <f>SUM(D637:D638)</f>
        <v>1346275</v>
      </c>
      <c r="E636" s="1994">
        <f>SUM(E637:E638)</f>
        <v>3084998</v>
      </c>
    </row>
    <row r="637" spans="1:5" x14ac:dyDescent="0.2">
      <c r="A637" s="1861">
        <v>22020301</v>
      </c>
      <c r="B637" s="2024" t="s">
        <v>17</v>
      </c>
      <c r="C637" s="152">
        <v>753414</v>
      </c>
      <c r="D637" s="152">
        <v>389260</v>
      </c>
      <c r="E637" s="152">
        <v>1053414</v>
      </c>
    </row>
    <row r="638" spans="1:5" ht="21" thickBot="1" x14ac:dyDescent="0.25">
      <c r="A638" s="1861">
        <v>22020305</v>
      </c>
      <c r="B638" s="2024" t="s">
        <v>20</v>
      </c>
      <c r="C638" s="1892">
        <v>1852281</v>
      </c>
      <c r="D638" s="1892">
        <v>957015</v>
      </c>
      <c r="E638" s="1892">
        <v>2031584</v>
      </c>
    </row>
    <row r="639" spans="1:5" ht="21" thickBot="1" x14ac:dyDescent="0.25">
      <c r="A639" s="1993">
        <v>22020400</v>
      </c>
      <c r="B639" s="2103" t="s">
        <v>67</v>
      </c>
      <c r="C639" s="1994">
        <f>SUM(C640:C641)</f>
        <v>24920622</v>
      </c>
      <c r="D639" s="2011">
        <f>SUM(D640:D641)</f>
        <v>11858375</v>
      </c>
      <c r="E639" s="1994">
        <f>SUM(E640:E641)</f>
        <v>24920622</v>
      </c>
    </row>
    <row r="640" spans="1:5" x14ac:dyDescent="0.2">
      <c r="A640" s="1861">
        <v>22020401</v>
      </c>
      <c r="B640" s="2024" t="s">
        <v>79</v>
      </c>
      <c r="C640" s="152">
        <v>1968930</v>
      </c>
      <c r="D640" s="152"/>
      <c r="E640" s="152">
        <v>1968930</v>
      </c>
    </row>
    <row r="641" spans="1:5" ht="21" thickBot="1" x14ac:dyDescent="0.25">
      <c r="A641" s="1861">
        <v>22020403</v>
      </c>
      <c r="B641" s="2024" t="s">
        <v>131</v>
      </c>
      <c r="C641" s="1892">
        <v>22951692</v>
      </c>
      <c r="D641" s="1892">
        <v>11858375</v>
      </c>
      <c r="E641" s="1892">
        <v>22951692</v>
      </c>
    </row>
    <row r="642" spans="1:5" ht="21" thickBot="1" x14ac:dyDescent="0.25">
      <c r="A642" s="1993">
        <v>22020500</v>
      </c>
      <c r="B642" s="2010" t="s">
        <v>68</v>
      </c>
      <c r="C642" s="1994">
        <f>SUM(C643:C643)</f>
        <v>2100000</v>
      </c>
      <c r="D642" s="2011">
        <f>SUM(D643:D643)</f>
        <v>1411000</v>
      </c>
      <c r="E642" s="1994">
        <f>SUM(E643:E643)</f>
        <v>2100000</v>
      </c>
    </row>
    <row r="643" spans="1:5" ht="21" thickBot="1" x14ac:dyDescent="0.25">
      <c r="A643" s="1861">
        <v>22020501</v>
      </c>
      <c r="B643" s="151" t="s">
        <v>30</v>
      </c>
      <c r="C643" s="152">
        <v>2100000</v>
      </c>
      <c r="D643" s="152">
        <v>1411000</v>
      </c>
      <c r="E643" s="152">
        <v>2100000</v>
      </c>
    </row>
    <row r="644" spans="1:5" ht="21" thickBot="1" x14ac:dyDescent="0.25">
      <c r="A644" s="1993">
        <v>22021000</v>
      </c>
      <c r="B644" s="2010" t="s">
        <v>73</v>
      </c>
      <c r="C644" s="1994">
        <f>SUM(C645:C645)</f>
        <v>161406</v>
      </c>
      <c r="D644" s="2011">
        <f>SUM(D645:D645)</f>
        <v>83390</v>
      </c>
      <c r="E644" s="1994">
        <f>SUM(E645:E645)</f>
        <v>361406</v>
      </c>
    </row>
    <row r="645" spans="1:5" x14ac:dyDescent="0.2">
      <c r="A645" s="1861">
        <v>22021001</v>
      </c>
      <c r="B645" s="151" t="s">
        <v>41</v>
      </c>
      <c r="C645" s="1892">
        <v>161406</v>
      </c>
      <c r="D645" s="1892">
        <v>83390</v>
      </c>
      <c r="E645" s="1892">
        <v>361406</v>
      </c>
    </row>
    <row r="646" spans="1:5" ht="21" thickBot="1" x14ac:dyDescent="0.25">
      <c r="A646" s="1861"/>
      <c r="B646" s="1989"/>
      <c r="C646" s="2097"/>
      <c r="D646" s="2097"/>
      <c r="E646" s="2097"/>
    </row>
    <row r="647" spans="1:5" ht="21" thickBot="1" x14ac:dyDescent="0.25">
      <c r="A647" s="2177"/>
      <c r="B647" s="2187" t="s">
        <v>1333</v>
      </c>
      <c r="C647" s="2018">
        <f>SUM(C631,C634,C636,C639,C642,C644)</f>
        <v>32183907</v>
      </c>
      <c r="D647" s="2018">
        <f>SUM(D631,D634,D636,D639,D642,D644)</f>
        <v>15877753</v>
      </c>
      <c r="E647" s="2018">
        <f>SUM(E631,E634,E636,E639,E642,E644)</f>
        <v>33463210</v>
      </c>
    </row>
    <row r="648" spans="1:5" x14ac:dyDescent="0.2">
      <c r="A648" s="2043"/>
      <c r="B648" s="2044"/>
      <c r="C648" s="2003"/>
      <c r="D648" s="2003"/>
      <c r="E648" s="2003"/>
    </row>
    <row r="649" spans="1:5" x14ac:dyDescent="0.2">
      <c r="A649" s="2043"/>
      <c r="B649" s="2044"/>
      <c r="C649" s="2003"/>
      <c r="D649" s="2003"/>
      <c r="E649" s="2003"/>
    </row>
    <row r="650" spans="1:5" x14ac:dyDescent="0.2">
      <c r="A650" s="3477" t="s">
        <v>1856</v>
      </c>
      <c r="B650" s="3477"/>
      <c r="C650" s="3477"/>
      <c r="D650" s="3477"/>
      <c r="E650" s="3477"/>
    </row>
    <row r="651" spans="1:5" x14ac:dyDescent="0.2">
      <c r="A651" s="3477" t="s">
        <v>641</v>
      </c>
      <c r="B651" s="3477"/>
      <c r="C651" s="3477"/>
      <c r="D651" s="3477"/>
      <c r="E651" s="3477"/>
    </row>
    <row r="652" spans="1:5" ht="21" thickBot="1" x14ac:dyDescent="0.25">
      <c r="A652" s="3476" t="s">
        <v>150</v>
      </c>
      <c r="B652" s="3476"/>
      <c r="C652" s="3476"/>
      <c r="D652" s="3476"/>
      <c r="E652" s="3476"/>
    </row>
    <row r="653" spans="1:5" ht="81.75" thickBot="1" x14ac:dyDescent="0.35">
      <c r="A653" s="2004" t="s">
        <v>1014</v>
      </c>
      <c r="B653" s="2004" t="s">
        <v>282</v>
      </c>
      <c r="C653" s="173" t="s">
        <v>1174</v>
      </c>
      <c r="D653" s="173" t="s">
        <v>1145</v>
      </c>
      <c r="E653" s="173" t="s">
        <v>3096</v>
      </c>
    </row>
    <row r="654" spans="1:5" ht="21" thickBot="1" x14ac:dyDescent="0.25">
      <c r="A654" s="2005">
        <v>22020100</v>
      </c>
      <c r="B654" s="2059" t="s">
        <v>64</v>
      </c>
      <c r="C654" s="2183">
        <f>SUM(C655:C655)</f>
        <v>909367</v>
      </c>
      <c r="D654" s="2184">
        <f>SUM(D655:D655)</f>
        <v>671198</v>
      </c>
      <c r="E654" s="2185">
        <f>SUM(E655:E655)</f>
        <v>1500000</v>
      </c>
    </row>
    <row r="655" spans="1:5" ht="21" thickBot="1" x14ac:dyDescent="0.35">
      <c r="A655" s="2178">
        <v>22020102</v>
      </c>
      <c r="B655" s="151" t="s">
        <v>10</v>
      </c>
      <c r="C655" s="2180">
        <v>909367</v>
      </c>
      <c r="D655" s="2181">
        <v>671198</v>
      </c>
      <c r="E655" s="2180">
        <v>1500000</v>
      </c>
    </row>
    <row r="656" spans="1:5" ht="21" thickBot="1" x14ac:dyDescent="0.25">
      <c r="A656" s="2182">
        <v>22020200</v>
      </c>
      <c r="B656" s="2010" t="s">
        <v>65</v>
      </c>
      <c r="C656" s="2183">
        <f>SUM(C657:C657)</f>
        <v>433164</v>
      </c>
      <c r="D656" s="2183">
        <f>SUM(D657:D657)</f>
        <v>6000</v>
      </c>
      <c r="E656" s="2185">
        <f>SUM(E657:E657)</f>
        <v>433164</v>
      </c>
    </row>
    <row r="657" spans="1:5" ht="21" thickBot="1" x14ac:dyDescent="0.25">
      <c r="A657" s="2178">
        <v>22020203</v>
      </c>
      <c r="B657" s="151" t="s">
        <v>15</v>
      </c>
      <c r="C657" s="2180">
        <v>433164</v>
      </c>
      <c r="D657" s="172">
        <v>6000</v>
      </c>
      <c r="E657" s="2180">
        <v>433164</v>
      </c>
    </row>
    <row r="658" spans="1:5" ht="21" thickBot="1" x14ac:dyDescent="0.25">
      <c r="A658" s="2182">
        <v>22020300</v>
      </c>
      <c r="B658" s="2010" t="s">
        <v>66</v>
      </c>
      <c r="C658" s="2183">
        <f>SUM(C659:C660)</f>
        <v>4917567</v>
      </c>
      <c r="D658" s="2184">
        <f>SUM(D659:D660)</f>
        <v>3529635</v>
      </c>
      <c r="E658" s="2185">
        <f>SUM(E659:E660)</f>
        <v>4917567</v>
      </c>
    </row>
    <row r="659" spans="1:5" x14ac:dyDescent="0.2">
      <c r="A659" s="2178">
        <v>22020301</v>
      </c>
      <c r="B659" s="151" t="s">
        <v>17</v>
      </c>
      <c r="C659" s="2179">
        <v>717567</v>
      </c>
      <c r="D659" s="2179">
        <v>529635</v>
      </c>
      <c r="E659" s="2179">
        <v>717567</v>
      </c>
    </row>
    <row r="660" spans="1:5" ht="21" thickBot="1" x14ac:dyDescent="0.25">
      <c r="A660" s="2178">
        <v>22020305</v>
      </c>
      <c r="B660" s="151" t="s">
        <v>20</v>
      </c>
      <c r="C660" s="2180">
        <v>4200000</v>
      </c>
      <c r="D660" s="2180">
        <v>3000000</v>
      </c>
      <c r="E660" s="2180">
        <v>4200000</v>
      </c>
    </row>
    <row r="661" spans="1:5" ht="21" thickBot="1" x14ac:dyDescent="0.25">
      <c r="A661" s="2182">
        <v>22020400</v>
      </c>
      <c r="B661" s="2010" t="s">
        <v>67</v>
      </c>
      <c r="C661" s="2183">
        <f>SUM(C662:C664)</f>
        <v>3042321</v>
      </c>
      <c r="D661" s="2184">
        <f>SUM(D662:D664)</f>
        <v>2245519</v>
      </c>
      <c r="E661" s="2185">
        <f>SUM(E662:E664)</f>
        <v>3042321</v>
      </c>
    </row>
    <row r="662" spans="1:5" x14ac:dyDescent="0.2">
      <c r="A662" s="2178">
        <v>22020401</v>
      </c>
      <c r="B662" s="151" t="s">
        <v>79</v>
      </c>
      <c r="C662" s="2179">
        <v>1203538</v>
      </c>
      <c r="D662" s="2179">
        <v>888322</v>
      </c>
      <c r="E662" s="2179">
        <v>1203538</v>
      </c>
    </row>
    <row r="663" spans="1:5" x14ac:dyDescent="0.2">
      <c r="A663" s="2178">
        <v>22020403</v>
      </c>
      <c r="B663" s="2024" t="s">
        <v>131</v>
      </c>
      <c r="C663" s="2179">
        <v>556565</v>
      </c>
      <c r="D663" s="2179">
        <v>410798</v>
      </c>
      <c r="E663" s="2179">
        <v>556565</v>
      </c>
    </row>
    <row r="664" spans="1:5" ht="21" thickBot="1" x14ac:dyDescent="0.25">
      <c r="A664" s="2178">
        <v>22020404</v>
      </c>
      <c r="B664" s="151" t="s">
        <v>182</v>
      </c>
      <c r="C664" s="2180">
        <v>1282218</v>
      </c>
      <c r="D664" s="2180">
        <v>946399</v>
      </c>
      <c r="E664" s="2180">
        <v>1282218</v>
      </c>
    </row>
    <row r="665" spans="1:5" ht="21" thickBot="1" x14ac:dyDescent="0.25">
      <c r="A665" s="2182">
        <v>22020500</v>
      </c>
      <c r="B665" s="2010" t="s">
        <v>68</v>
      </c>
      <c r="C665" s="2183">
        <f>SUM(C666:C666)</f>
        <v>5950000</v>
      </c>
      <c r="D665" s="2184">
        <f>SUM(D666:D666)</f>
        <v>0</v>
      </c>
      <c r="E665" s="2185">
        <f>SUM(E666:E666)</f>
        <v>5950000</v>
      </c>
    </row>
    <row r="666" spans="1:5" ht="21" thickBot="1" x14ac:dyDescent="0.25">
      <c r="A666" s="2178">
        <v>22020501</v>
      </c>
      <c r="B666" s="151" t="s">
        <v>30</v>
      </c>
      <c r="C666" s="2179">
        <v>5950000</v>
      </c>
      <c r="D666" s="2179">
        <v>0</v>
      </c>
      <c r="E666" s="2179">
        <v>5950000</v>
      </c>
    </row>
    <row r="667" spans="1:5" ht="21" thickBot="1" x14ac:dyDescent="0.25">
      <c r="A667" s="2182">
        <v>22021000</v>
      </c>
      <c r="B667" s="2010" t="s">
        <v>73</v>
      </c>
      <c r="C667" s="2183">
        <f>SUM(C668:C669)</f>
        <v>804664</v>
      </c>
      <c r="D667" s="2184">
        <f>SUM(D668:D669)</f>
        <v>593915</v>
      </c>
      <c r="E667" s="2185">
        <f>SUM(E668:E669)</f>
        <v>804664</v>
      </c>
    </row>
    <row r="668" spans="1:5" x14ac:dyDescent="0.2">
      <c r="A668" s="2178">
        <v>22021001</v>
      </c>
      <c r="B668" s="151" t="s">
        <v>41</v>
      </c>
      <c r="C668" s="2179">
        <v>407232</v>
      </c>
      <c r="D668" s="2179">
        <v>300576</v>
      </c>
      <c r="E668" s="2179">
        <v>407232</v>
      </c>
    </row>
    <row r="669" spans="1:5" x14ac:dyDescent="0.2">
      <c r="A669" s="2178">
        <v>22021003</v>
      </c>
      <c r="B669" s="151" t="s">
        <v>42</v>
      </c>
      <c r="C669" s="2180">
        <v>397432</v>
      </c>
      <c r="D669" s="2180">
        <v>293339</v>
      </c>
      <c r="E669" s="2180">
        <v>397432</v>
      </c>
    </row>
    <row r="670" spans="1:5" ht="21" thickBot="1" x14ac:dyDescent="0.25">
      <c r="A670" s="2178"/>
      <c r="B670" s="1989"/>
      <c r="C670" s="3163"/>
      <c r="D670" s="3163"/>
      <c r="E670" s="3163"/>
    </row>
    <row r="671" spans="1:5" ht="21" thickBot="1" x14ac:dyDescent="0.25">
      <c r="A671" s="2186"/>
      <c r="B671" s="2187" t="s">
        <v>1334</v>
      </c>
      <c r="C671" s="2188">
        <f>SUM(C654,C656,C658,C661,C665,C667)</f>
        <v>16057083</v>
      </c>
      <c r="D671" s="2189">
        <f>SUM(D654,D656,D658,D661,D665,D667)</f>
        <v>7046267</v>
      </c>
      <c r="E671" s="2189">
        <f>SUM(E654,E656,E658,E661,E665,E667)</f>
        <v>16647716</v>
      </c>
    </row>
    <row r="672" spans="1:5" x14ac:dyDescent="0.2">
      <c r="A672" s="3477"/>
      <c r="B672" s="3477"/>
      <c r="C672" s="3477"/>
      <c r="D672" s="3477"/>
      <c r="E672" s="3477"/>
    </row>
    <row r="673" spans="1:5" x14ac:dyDescent="0.2">
      <c r="A673" s="3477" t="s">
        <v>1856</v>
      </c>
      <c r="B673" s="3477"/>
      <c r="C673" s="3477"/>
      <c r="D673" s="3477"/>
      <c r="E673" s="3477"/>
    </row>
    <row r="674" spans="1:5" x14ac:dyDescent="0.2">
      <c r="A674" s="3477" t="s">
        <v>641</v>
      </c>
      <c r="B674" s="3477"/>
      <c r="C674" s="3477"/>
      <c r="D674" s="3477"/>
      <c r="E674" s="3477"/>
    </row>
    <row r="675" spans="1:5" ht="21" thickBot="1" x14ac:dyDescent="0.25">
      <c r="A675" s="3476" t="s">
        <v>540</v>
      </c>
      <c r="B675" s="3476"/>
      <c r="C675" s="3476"/>
      <c r="D675" s="3476"/>
      <c r="E675" s="3476"/>
    </row>
    <row r="676" spans="1:5" ht="81.75" thickBot="1" x14ac:dyDescent="0.35">
      <c r="A676" s="2004" t="s">
        <v>1014</v>
      </c>
      <c r="B676" s="2004" t="s">
        <v>282</v>
      </c>
      <c r="C676" s="173" t="s">
        <v>1174</v>
      </c>
      <c r="D676" s="173" t="s">
        <v>1145</v>
      </c>
      <c r="E676" s="173" t="s">
        <v>3096</v>
      </c>
    </row>
    <row r="677" spans="1:5" ht="21" thickBot="1" x14ac:dyDescent="0.25">
      <c r="A677" s="2019"/>
      <c r="B677" s="2020"/>
      <c r="C677" s="2021"/>
      <c r="D677" s="2022"/>
      <c r="E677" s="2023"/>
    </row>
    <row r="678" spans="1:5" ht="21" thickBot="1" x14ac:dyDescent="0.25">
      <c r="A678" s="1993">
        <v>22020100</v>
      </c>
      <c r="B678" s="2010" t="s">
        <v>64</v>
      </c>
      <c r="C678" s="1994">
        <f>SUM(C679:C680)</f>
        <v>945000</v>
      </c>
      <c r="D678" s="2011">
        <f>SUM(D679:D680)</f>
        <v>630000.04</v>
      </c>
      <c r="E678" s="1994">
        <f>SUM(E679:E680)</f>
        <v>945000</v>
      </c>
    </row>
    <row r="679" spans="1:5" x14ac:dyDescent="0.2">
      <c r="A679" s="1861">
        <v>22020101</v>
      </c>
      <c r="B679" s="151" t="s">
        <v>9</v>
      </c>
      <c r="C679" s="152">
        <v>500000</v>
      </c>
      <c r="D679" s="152">
        <v>333333.36</v>
      </c>
      <c r="E679" s="152">
        <v>500000</v>
      </c>
    </row>
    <row r="680" spans="1:5" ht="21" thickBot="1" x14ac:dyDescent="0.25">
      <c r="A680" s="1861">
        <v>22020102</v>
      </c>
      <c r="B680" s="151" t="s">
        <v>10</v>
      </c>
      <c r="C680" s="1892">
        <v>445000</v>
      </c>
      <c r="D680" s="1892">
        <v>296666.68</v>
      </c>
      <c r="E680" s="1892">
        <v>445000</v>
      </c>
    </row>
    <row r="681" spans="1:5" ht="21" thickBot="1" x14ac:dyDescent="0.25">
      <c r="A681" s="1993">
        <v>22020300</v>
      </c>
      <c r="B681" s="2010" t="s">
        <v>66</v>
      </c>
      <c r="C681" s="1994">
        <f>SUM(C682:C683)</f>
        <v>478615</v>
      </c>
      <c r="D681" s="2011">
        <f>SUM(D682:D683)</f>
        <v>319079.67999999999</v>
      </c>
      <c r="E681" s="1994">
        <f>SUM(E682:E683)</f>
        <v>478615</v>
      </c>
    </row>
    <row r="682" spans="1:5" x14ac:dyDescent="0.2">
      <c r="A682" s="1861">
        <v>22020301</v>
      </c>
      <c r="B682" s="151" t="s">
        <v>17</v>
      </c>
      <c r="C682" s="152">
        <v>373615</v>
      </c>
      <c r="D682" s="152">
        <v>249079.67999999999</v>
      </c>
      <c r="E682" s="152">
        <v>373615</v>
      </c>
    </row>
    <row r="683" spans="1:5" ht="21" thickBot="1" x14ac:dyDescent="0.25">
      <c r="A683" s="1861">
        <v>22020305</v>
      </c>
      <c r="B683" s="151" t="s">
        <v>20</v>
      </c>
      <c r="C683" s="1892">
        <v>105000</v>
      </c>
      <c r="D683" s="1892">
        <v>70000</v>
      </c>
      <c r="E683" s="1892">
        <v>105000</v>
      </c>
    </row>
    <row r="684" spans="1:5" ht="21" thickBot="1" x14ac:dyDescent="0.25">
      <c r="A684" s="1993">
        <v>22020400</v>
      </c>
      <c r="B684" s="2010" t="s">
        <v>67</v>
      </c>
      <c r="C684" s="1994">
        <f>SUM(C685:C687)</f>
        <v>1985767</v>
      </c>
      <c r="D684" s="2011">
        <f>SUM(D685:D687)</f>
        <v>1323844.6900000002</v>
      </c>
      <c r="E684" s="1994">
        <f>SUM(E685:E687)</f>
        <v>1985767</v>
      </c>
    </row>
    <row r="685" spans="1:5" x14ac:dyDescent="0.2">
      <c r="A685" s="1861">
        <v>22020401</v>
      </c>
      <c r="B685" s="2024" t="s">
        <v>79</v>
      </c>
      <c r="C685" s="152">
        <v>1145767</v>
      </c>
      <c r="D685" s="152">
        <v>763844.68</v>
      </c>
      <c r="E685" s="152">
        <v>1145767</v>
      </c>
    </row>
    <row r="686" spans="1:5" x14ac:dyDescent="0.2">
      <c r="A686" s="1861">
        <v>22020403</v>
      </c>
      <c r="B686" s="2024" t="s">
        <v>131</v>
      </c>
      <c r="C686" s="152">
        <v>700000</v>
      </c>
      <c r="D686" s="152">
        <v>466666.68</v>
      </c>
      <c r="E686" s="152">
        <v>700000</v>
      </c>
    </row>
    <row r="687" spans="1:5" ht="21" thickBot="1" x14ac:dyDescent="0.25">
      <c r="A687" s="1861">
        <v>22020404</v>
      </c>
      <c r="B687" s="151" t="s">
        <v>182</v>
      </c>
      <c r="C687" s="1892">
        <v>140000</v>
      </c>
      <c r="D687" s="1892">
        <v>93333.33</v>
      </c>
      <c r="E687" s="1892">
        <v>140000</v>
      </c>
    </row>
    <row r="688" spans="1:5" ht="21" thickBot="1" x14ac:dyDescent="0.25">
      <c r="A688" s="1993">
        <v>22021000</v>
      </c>
      <c r="B688" s="2010" t="s">
        <v>73</v>
      </c>
      <c r="C688" s="2106">
        <f>SUM(C689:C689)</f>
        <v>140000</v>
      </c>
      <c r="D688" s="2011">
        <f>SUM(D689:D689)</f>
        <v>93333.36</v>
      </c>
      <c r="E688" s="2018">
        <f>SUM(E689:E689)</f>
        <v>140000</v>
      </c>
    </row>
    <row r="689" spans="1:5" x14ac:dyDescent="0.2">
      <c r="A689" s="1861">
        <v>22021001</v>
      </c>
      <c r="B689" s="151" t="s">
        <v>41</v>
      </c>
      <c r="C689" s="2076">
        <v>140000</v>
      </c>
      <c r="D689" s="1892">
        <v>93333.36</v>
      </c>
      <c r="E689" s="1892">
        <v>140000</v>
      </c>
    </row>
    <row r="690" spans="1:5" ht="21" thickBot="1" x14ac:dyDescent="0.25">
      <c r="A690" s="1861"/>
      <c r="B690" s="2010"/>
      <c r="C690" s="3147"/>
      <c r="D690" s="2097"/>
      <c r="E690" s="2097"/>
    </row>
    <row r="691" spans="1:5" ht="21" thickBot="1" x14ac:dyDescent="0.25">
      <c r="A691" s="2177"/>
      <c r="B691" s="2105" t="s">
        <v>1335</v>
      </c>
      <c r="C691" s="2062">
        <f>SUM(C678,C681,C684,C688)</f>
        <v>3549382</v>
      </c>
      <c r="D691" s="2018">
        <f>SUM(D678,D681,D684,D688)</f>
        <v>2366257.77</v>
      </c>
      <c r="E691" s="2018">
        <f>SUM(E678,E681,E684,E688)</f>
        <v>3549382</v>
      </c>
    </row>
    <row r="692" spans="1:5" x14ac:dyDescent="0.2">
      <c r="A692" s="3477"/>
      <c r="B692" s="3477"/>
      <c r="C692" s="3479"/>
      <c r="D692" s="3479"/>
      <c r="E692" s="3479"/>
    </row>
    <row r="693" spans="1:5" x14ac:dyDescent="0.2">
      <c r="A693" s="2073"/>
      <c r="B693" s="2073"/>
      <c r="C693" s="2190"/>
      <c r="D693" s="2073"/>
      <c r="E693" s="2190"/>
    </row>
    <row r="694" spans="1:5" x14ac:dyDescent="0.2">
      <c r="A694" s="2073"/>
      <c r="B694" s="2073"/>
      <c r="C694" s="2190"/>
      <c r="D694" s="2073"/>
      <c r="E694" s="2190"/>
    </row>
    <row r="695" spans="1:5" x14ac:dyDescent="0.2">
      <c r="A695" s="3477" t="s">
        <v>1856</v>
      </c>
      <c r="B695" s="3477"/>
      <c r="C695" s="3477"/>
      <c r="D695" s="3477"/>
      <c r="E695" s="3477"/>
    </row>
    <row r="696" spans="1:5" x14ac:dyDescent="0.2">
      <c r="A696" s="3477" t="s">
        <v>641</v>
      </c>
      <c r="B696" s="3477"/>
      <c r="C696" s="3477"/>
      <c r="D696" s="3477"/>
      <c r="E696" s="3477"/>
    </row>
    <row r="697" spans="1:5" ht="21" thickBot="1" x14ac:dyDescent="0.25">
      <c r="A697" s="3476" t="s">
        <v>1546</v>
      </c>
      <c r="B697" s="3476"/>
      <c r="C697" s="3476"/>
      <c r="D697" s="3476"/>
      <c r="E697" s="3476"/>
    </row>
    <row r="698" spans="1:5" ht="81.75" thickBot="1" x14ac:dyDescent="0.35">
      <c r="A698" s="2004" t="s">
        <v>1014</v>
      </c>
      <c r="B698" s="2004" t="s">
        <v>282</v>
      </c>
      <c r="C698" s="173" t="s">
        <v>1174</v>
      </c>
      <c r="D698" s="173" t="s">
        <v>1145</v>
      </c>
      <c r="E698" s="173" t="s">
        <v>3096</v>
      </c>
    </row>
    <row r="699" spans="1:5" ht="21" thickBot="1" x14ac:dyDescent="0.25">
      <c r="A699" s="2019"/>
      <c r="B699" s="2020"/>
      <c r="C699" s="2021"/>
      <c r="D699" s="2022"/>
      <c r="E699" s="2023"/>
    </row>
    <row r="700" spans="1:5" s="2083" customFormat="1" ht="21" thickBot="1" x14ac:dyDescent="0.35">
      <c r="A700" s="1993">
        <v>22020100</v>
      </c>
      <c r="B700" s="2010" t="s">
        <v>64</v>
      </c>
      <c r="C700" s="3291">
        <f>SUM(C701:C701)</f>
        <v>300000</v>
      </c>
      <c r="D700" s="3292">
        <f>SUM(D701:D701)</f>
        <v>225000</v>
      </c>
      <c r="E700" s="1994">
        <f>SUM(E701:E701)</f>
        <v>800000</v>
      </c>
    </row>
    <row r="701" spans="1:5" s="2083" customFormat="1" ht="21" thickBot="1" x14ac:dyDescent="0.35">
      <c r="A701" s="1861">
        <v>22020101</v>
      </c>
      <c r="B701" s="151" t="s">
        <v>1796</v>
      </c>
      <c r="C701" s="2100">
        <v>300000</v>
      </c>
      <c r="D701" s="2100">
        <v>225000</v>
      </c>
      <c r="E701" s="1892">
        <v>800000</v>
      </c>
    </row>
    <row r="702" spans="1:5" s="2083" customFormat="1" ht="21" thickBot="1" x14ac:dyDescent="0.35">
      <c r="A702" s="1993">
        <v>220202</v>
      </c>
      <c r="B702" s="2010" t="s">
        <v>1797</v>
      </c>
      <c r="C702" s="3293">
        <v>200000</v>
      </c>
      <c r="D702" s="2407">
        <v>150000</v>
      </c>
      <c r="E702" s="2066">
        <v>200000</v>
      </c>
    </row>
    <row r="703" spans="1:5" s="2083" customFormat="1" ht="21" thickBot="1" x14ac:dyDescent="0.35">
      <c r="A703" s="1861">
        <v>22020202</v>
      </c>
      <c r="B703" s="151" t="s">
        <v>1216</v>
      </c>
      <c r="C703" s="2100">
        <v>200000</v>
      </c>
      <c r="D703" s="2100">
        <v>150000</v>
      </c>
      <c r="E703" s="1892">
        <v>200000</v>
      </c>
    </row>
    <row r="704" spans="1:5" s="2083" customFormat="1" ht="21" thickBot="1" x14ac:dyDescent="0.35">
      <c r="A704" s="1993">
        <v>22020300</v>
      </c>
      <c r="B704" s="2010" t="s">
        <v>66</v>
      </c>
      <c r="C704" s="3291">
        <f>SUM(C705:C705)</f>
        <v>250000</v>
      </c>
      <c r="D704" s="3292">
        <f>SUM(D705:D705)</f>
        <v>187500</v>
      </c>
      <c r="E704" s="1994">
        <f>SUM(E705:E705)</f>
        <v>400000</v>
      </c>
    </row>
    <row r="705" spans="1:5" s="2083" customFormat="1" ht="21" thickBot="1" x14ac:dyDescent="0.35">
      <c r="A705" s="1861">
        <v>22020301</v>
      </c>
      <c r="B705" s="151" t="s">
        <v>1798</v>
      </c>
      <c r="C705" s="2100">
        <v>250000</v>
      </c>
      <c r="D705" s="2100">
        <v>187500</v>
      </c>
      <c r="E705" s="1892">
        <v>400000</v>
      </c>
    </row>
    <row r="706" spans="1:5" s="2083" customFormat="1" ht="21" thickBot="1" x14ac:dyDescent="0.35">
      <c r="A706" s="1993">
        <v>22020400</v>
      </c>
      <c r="B706" s="2010" t="s">
        <v>67</v>
      </c>
      <c r="C706" s="3291">
        <f>SUM(C707:C708)</f>
        <v>1108363</v>
      </c>
      <c r="D706" s="3292">
        <f>SUM(D707:D708)</f>
        <v>681272.25</v>
      </c>
      <c r="E706" s="1994">
        <f>SUM(E707:E708)</f>
        <v>1108363</v>
      </c>
    </row>
    <row r="707" spans="1:5" s="2083" customFormat="1" x14ac:dyDescent="0.3">
      <c r="A707" s="1861">
        <v>22020401</v>
      </c>
      <c r="B707" s="151" t="s">
        <v>1737</v>
      </c>
      <c r="C707" s="2099">
        <v>450000</v>
      </c>
      <c r="D707" s="3294">
        <f>337500</f>
        <v>337500</v>
      </c>
      <c r="E707" s="152">
        <v>450000</v>
      </c>
    </row>
    <row r="708" spans="1:5" s="2083" customFormat="1" ht="21" thickBot="1" x14ac:dyDescent="0.35">
      <c r="A708" s="1861">
        <v>22020406</v>
      </c>
      <c r="B708" s="151" t="s">
        <v>1799</v>
      </c>
      <c r="C708" s="2100">
        <v>658363</v>
      </c>
      <c r="D708" s="2100">
        <v>343772.25</v>
      </c>
      <c r="E708" s="1892">
        <v>658363</v>
      </c>
    </row>
    <row r="709" spans="1:5" s="2083" customFormat="1" ht="21" thickBot="1" x14ac:dyDescent="0.35">
      <c r="A709" s="1993">
        <v>22021000</v>
      </c>
      <c r="B709" s="2010" t="s">
        <v>73</v>
      </c>
      <c r="C709" s="3291">
        <f>SUM(C710:C711)</f>
        <v>150000</v>
      </c>
      <c r="D709" s="3291">
        <f t="shared" ref="D709:E709" si="7">SUM(D710:D711)</f>
        <v>112500</v>
      </c>
      <c r="E709" s="3291">
        <f t="shared" si="7"/>
        <v>360727</v>
      </c>
    </row>
    <row r="710" spans="1:5" s="2083" customFormat="1" x14ac:dyDescent="0.3">
      <c r="A710" s="1861">
        <v>22021009</v>
      </c>
      <c r="B710" s="151" t="s">
        <v>1755</v>
      </c>
      <c r="C710" s="3295">
        <v>50000</v>
      </c>
      <c r="D710" s="2099">
        <v>37500</v>
      </c>
      <c r="E710" s="152">
        <v>50000</v>
      </c>
    </row>
    <row r="711" spans="1:5" s="2083" customFormat="1" x14ac:dyDescent="0.3">
      <c r="A711" s="1861">
        <v>22021010</v>
      </c>
      <c r="B711" s="151" t="s">
        <v>41</v>
      </c>
      <c r="C711" s="2099">
        <v>100000</v>
      </c>
      <c r="D711" s="2099">
        <v>75000</v>
      </c>
      <c r="E711" s="152">
        <v>310727</v>
      </c>
    </row>
    <row r="712" spans="1:5" ht="21" thickBot="1" x14ac:dyDescent="0.25">
      <c r="A712" s="1861"/>
      <c r="B712" s="2010"/>
      <c r="C712" s="2110"/>
      <c r="D712" s="3164"/>
      <c r="E712" s="2095"/>
    </row>
    <row r="713" spans="1:5" ht="21" thickBot="1" x14ac:dyDescent="0.25">
      <c r="A713" s="2177"/>
      <c r="B713" s="2105" t="s">
        <v>1547</v>
      </c>
      <c r="C713" s="2062">
        <f>SUM(C700,C702,C704,C706,C709)</f>
        <v>2008363</v>
      </c>
      <c r="D713" s="2018">
        <f>SUM(D700,D702,D704,D706,D709)</f>
        <v>1356272.25</v>
      </c>
      <c r="E713" s="2018">
        <f>E700+E702+E704+E706+E709</f>
        <v>2869090</v>
      </c>
    </row>
    <row r="714" spans="1:5" x14ac:dyDescent="0.2">
      <c r="A714" s="2043"/>
      <c r="B714" s="2044"/>
      <c r="C714" s="2045"/>
      <c r="D714" s="2200"/>
      <c r="E714" s="2045"/>
    </row>
    <row r="715" spans="1:5" x14ac:dyDescent="0.2">
      <c r="A715" s="2043"/>
      <c r="B715" s="2044"/>
      <c r="C715" s="2045"/>
      <c r="D715" s="2200"/>
      <c r="E715" s="2045"/>
    </row>
    <row r="716" spans="1:5" x14ac:dyDescent="0.2">
      <c r="A716" s="2043"/>
      <c r="B716" s="2044"/>
      <c r="C716" s="2045"/>
      <c r="D716" s="2200"/>
      <c r="E716" s="2045"/>
    </row>
    <row r="717" spans="1:5" x14ac:dyDescent="0.2">
      <c r="A717" s="3477" t="s">
        <v>1855</v>
      </c>
      <c r="B717" s="3477"/>
      <c r="C717" s="3477"/>
      <c r="D717" s="3477"/>
      <c r="E717" s="3477"/>
    </row>
    <row r="718" spans="1:5" ht="21" thickBot="1" x14ac:dyDescent="0.25">
      <c r="A718" s="3476" t="s">
        <v>1779</v>
      </c>
      <c r="B718" s="3476"/>
      <c r="C718" s="3476"/>
      <c r="D718" s="3476"/>
      <c r="E718" s="3476"/>
    </row>
    <row r="719" spans="1:5" ht="81.75" thickBot="1" x14ac:dyDescent="0.35">
      <c r="A719" s="2004" t="s">
        <v>1014</v>
      </c>
      <c r="B719" s="2004" t="s">
        <v>282</v>
      </c>
      <c r="C719" s="173" t="s">
        <v>1174</v>
      </c>
      <c r="D719" s="173" t="s">
        <v>1145</v>
      </c>
      <c r="E719" s="173" t="s">
        <v>3096</v>
      </c>
    </row>
    <row r="720" spans="1:5" ht="21" thickBot="1" x14ac:dyDescent="0.25">
      <c r="A720" s="2005">
        <v>22020100</v>
      </c>
      <c r="B720" s="2061" t="s">
        <v>64</v>
      </c>
      <c r="C720" s="1994">
        <f>SUM(C721:C722)</f>
        <v>2886380</v>
      </c>
      <c r="D720" s="1994">
        <f>SUM(D721:D722)</f>
        <v>1278254</v>
      </c>
      <c r="E720" s="1994">
        <f>SUM(E721:E722)</f>
        <v>2886380</v>
      </c>
    </row>
    <row r="721" spans="1:5" x14ac:dyDescent="0.2">
      <c r="A721" s="1861">
        <v>22020101</v>
      </c>
      <c r="B721" s="151" t="s">
        <v>9</v>
      </c>
      <c r="C721" s="152">
        <v>1886380</v>
      </c>
      <c r="D721" s="152">
        <v>639127</v>
      </c>
      <c r="E721" s="152">
        <v>1886380</v>
      </c>
    </row>
    <row r="722" spans="1:5" ht="21" thickBot="1" x14ac:dyDescent="0.25">
      <c r="A722" s="1861">
        <v>22020102</v>
      </c>
      <c r="B722" s="151" t="s">
        <v>10</v>
      </c>
      <c r="C722" s="1892">
        <v>1000000</v>
      </c>
      <c r="D722" s="152">
        <v>639127</v>
      </c>
      <c r="E722" s="1892">
        <v>1000000</v>
      </c>
    </row>
    <row r="723" spans="1:5" ht="21" thickBot="1" x14ac:dyDescent="0.25">
      <c r="A723" s="1993">
        <v>22020200</v>
      </c>
      <c r="B723" s="2010" t="s">
        <v>65</v>
      </c>
      <c r="C723" s="1994">
        <f>SUM(C724:C724)</f>
        <v>158200</v>
      </c>
      <c r="D723" s="2011">
        <f>SUM(D724:D724)</f>
        <v>70060</v>
      </c>
      <c r="E723" s="1994">
        <f>SUM(E724:E724)</f>
        <v>158200</v>
      </c>
    </row>
    <row r="724" spans="1:5" ht="21" thickBot="1" x14ac:dyDescent="0.25">
      <c r="A724" s="1861">
        <v>22020201</v>
      </c>
      <c r="B724" s="151" t="s">
        <v>13</v>
      </c>
      <c r="C724" s="1892">
        <v>158200</v>
      </c>
      <c r="D724" s="1892">
        <v>70060</v>
      </c>
      <c r="E724" s="1892">
        <v>158200</v>
      </c>
    </row>
    <row r="725" spans="1:5" ht="21" thickBot="1" x14ac:dyDescent="0.25">
      <c r="A725" s="1993">
        <v>22020300</v>
      </c>
      <c r="B725" s="2010" t="s">
        <v>66</v>
      </c>
      <c r="C725" s="1994">
        <f>SUM(C726:C726)</f>
        <v>1274000</v>
      </c>
      <c r="D725" s="2011">
        <f>SUM(D726:D726)</f>
        <v>724700</v>
      </c>
      <c r="E725" s="1994">
        <f>SUM(E726:E726)</f>
        <v>1274000</v>
      </c>
    </row>
    <row r="726" spans="1:5" ht="21" thickBot="1" x14ac:dyDescent="0.25">
      <c r="A726" s="1861">
        <v>22020301</v>
      </c>
      <c r="B726" s="151" t="s">
        <v>17</v>
      </c>
      <c r="C726" s="1892">
        <v>1274000</v>
      </c>
      <c r="D726" s="1892">
        <v>724700</v>
      </c>
      <c r="E726" s="1892">
        <v>1274000</v>
      </c>
    </row>
    <row r="727" spans="1:5" ht="21" thickBot="1" x14ac:dyDescent="0.25">
      <c r="A727" s="1993">
        <v>22020400</v>
      </c>
      <c r="B727" s="2010" t="s">
        <v>67</v>
      </c>
      <c r="C727" s="1994">
        <f>SUM(C728:C729)</f>
        <v>2509500</v>
      </c>
      <c r="D727" s="1994">
        <f>SUM(D728:D729)</f>
        <v>1111350</v>
      </c>
      <c r="E727" s="1994">
        <f>SUM(E728:E729)</f>
        <v>2509500</v>
      </c>
    </row>
    <row r="728" spans="1:5" x14ac:dyDescent="0.2">
      <c r="A728" s="1861">
        <v>22020401</v>
      </c>
      <c r="B728" s="2024" t="s">
        <v>79</v>
      </c>
      <c r="C728" s="152">
        <v>1890000</v>
      </c>
      <c r="D728" s="152">
        <v>837000</v>
      </c>
      <c r="E728" s="152">
        <v>1890000</v>
      </c>
    </row>
    <row r="729" spans="1:5" ht="21" thickBot="1" x14ac:dyDescent="0.25">
      <c r="A729" s="1861">
        <v>22020406</v>
      </c>
      <c r="B729" s="2024" t="s">
        <v>1172</v>
      </c>
      <c r="C729" s="2057">
        <v>619500</v>
      </c>
      <c r="D729" s="2058">
        <v>274350</v>
      </c>
      <c r="E729" s="2057">
        <v>619500</v>
      </c>
    </row>
    <row r="730" spans="1:5" ht="21" thickBot="1" x14ac:dyDescent="0.25">
      <c r="A730" s="1993">
        <v>22020500</v>
      </c>
      <c r="B730" s="2010" t="s">
        <v>68</v>
      </c>
      <c r="C730" s="1994">
        <f>SUM(C731:C731)</f>
        <v>1049300</v>
      </c>
      <c r="D730" s="2011">
        <f>SUM(D731:D731)</f>
        <v>0</v>
      </c>
      <c r="E730" s="1994">
        <f>SUM(E731:E731)</f>
        <v>1049300</v>
      </c>
    </row>
    <row r="731" spans="1:5" ht="21" thickBot="1" x14ac:dyDescent="0.25">
      <c r="A731" s="1861">
        <v>22020501</v>
      </c>
      <c r="B731" s="151" t="s">
        <v>30</v>
      </c>
      <c r="C731" s="2000">
        <f>42000+1007300</f>
        <v>1049300</v>
      </c>
      <c r="D731" s="152"/>
      <c r="E731" s="2000">
        <f>42000+1007300</f>
        <v>1049300</v>
      </c>
    </row>
    <row r="732" spans="1:5" ht="21" thickBot="1" x14ac:dyDescent="0.25">
      <c r="A732" s="1993">
        <v>22021000</v>
      </c>
      <c r="B732" s="2010" t="s">
        <v>73</v>
      </c>
      <c r="C732" s="2018">
        <f>SUM(C733:C735)</f>
        <v>36169000</v>
      </c>
      <c r="D732" s="2018">
        <f>SUM(D733:D735)</f>
        <v>5022700</v>
      </c>
      <c r="E732" s="2018">
        <f>SUM(E733:E735)</f>
        <v>16169000</v>
      </c>
    </row>
    <row r="733" spans="1:5" x14ac:dyDescent="0.2">
      <c r="A733" s="1861">
        <v>22021001</v>
      </c>
      <c r="B733" s="151" t="s">
        <v>41</v>
      </c>
      <c r="C733" s="2075">
        <v>805000</v>
      </c>
      <c r="D733" s="152">
        <v>344500</v>
      </c>
      <c r="E733" s="152">
        <v>805000</v>
      </c>
    </row>
    <row r="734" spans="1:5" x14ac:dyDescent="0.2">
      <c r="A734" s="1861">
        <v>22021003</v>
      </c>
      <c r="B734" s="151" t="s">
        <v>42</v>
      </c>
      <c r="C734" s="2075">
        <v>364000</v>
      </c>
      <c r="D734" s="152">
        <v>161200</v>
      </c>
      <c r="E734" s="152">
        <v>364000</v>
      </c>
    </row>
    <row r="735" spans="1:5" x14ac:dyDescent="0.2">
      <c r="A735" s="1861">
        <v>22021020</v>
      </c>
      <c r="B735" s="151" t="s">
        <v>1543</v>
      </c>
      <c r="C735" s="2076">
        <v>35000000</v>
      </c>
      <c r="D735" s="1892">
        <v>4517000</v>
      </c>
      <c r="E735" s="1892">
        <v>15000000</v>
      </c>
    </row>
    <row r="736" spans="1:5" ht="21" thickBot="1" x14ac:dyDescent="0.25">
      <c r="A736" s="1861"/>
      <c r="B736" s="2010"/>
      <c r="C736" s="3165"/>
      <c r="D736" s="2406"/>
      <c r="E736" s="2406"/>
    </row>
    <row r="737" spans="1:5" ht="21" thickBot="1" x14ac:dyDescent="0.25">
      <c r="A737" s="2177"/>
      <c r="B737" s="2105" t="s">
        <v>1336</v>
      </c>
      <c r="C737" s="2062">
        <f>SUM(C720,C723,C725,C727,C730,C732)</f>
        <v>44046380</v>
      </c>
      <c r="D737" s="2018">
        <f>SUM(D720,D723,D725,D727,D730,D732)</f>
        <v>8207064</v>
      </c>
      <c r="E737" s="2018">
        <f>SUM(E720,E723,E725,E727,E730,E732)</f>
        <v>24046380</v>
      </c>
    </row>
    <row r="738" spans="1:5" x14ac:dyDescent="0.2">
      <c r="A738" s="2043"/>
      <c r="B738" s="2044"/>
      <c r="C738" s="2003"/>
      <c r="D738" s="2003"/>
      <c r="E738" s="2003"/>
    </row>
    <row r="739" spans="1:5" x14ac:dyDescent="0.2">
      <c r="A739" s="2111"/>
      <c r="B739" s="2044"/>
      <c r="C739" s="2003"/>
      <c r="D739" s="2003"/>
      <c r="E739" s="2003"/>
    </row>
    <row r="740" spans="1:5" x14ac:dyDescent="0.2">
      <c r="A740" s="2111"/>
      <c r="B740" s="2044"/>
      <c r="C740" s="2003"/>
      <c r="D740" s="2003"/>
      <c r="E740" s="2003"/>
    </row>
    <row r="741" spans="1:5" x14ac:dyDescent="0.2">
      <c r="A741" s="3477" t="s">
        <v>1855</v>
      </c>
      <c r="B741" s="3477"/>
      <c r="C741" s="3477"/>
      <c r="D741" s="3477"/>
      <c r="E741" s="3477"/>
    </row>
    <row r="742" spans="1:5" ht="21" thickBot="1" x14ac:dyDescent="0.25">
      <c r="A742" s="3476" t="s">
        <v>1104</v>
      </c>
      <c r="B742" s="3476"/>
      <c r="C742" s="3476"/>
      <c r="D742" s="3476"/>
      <c r="E742" s="3476"/>
    </row>
    <row r="743" spans="1:5" s="2203" customFormat="1" ht="59.25" thickBot="1" x14ac:dyDescent="0.35">
      <c r="A743" s="2201" t="s">
        <v>1014</v>
      </c>
      <c r="B743" s="2201" t="s">
        <v>282</v>
      </c>
      <c r="C743" s="2202" t="s">
        <v>1174</v>
      </c>
      <c r="D743" s="2202" t="s">
        <v>1145</v>
      </c>
      <c r="E743" s="2202" t="s">
        <v>3096</v>
      </c>
    </row>
    <row r="744" spans="1:5" s="2203" customFormat="1" thickBot="1" x14ac:dyDescent="0.25">
      <c r="A744" s="2204">
        <v>22020100</v>
      </c>
      <c r="B744" s="2205" t="s">
        <v>64</v>
      </c>
      <c r="C744" s="2214">
        <f>SUM(C745:C747)</f>
        <v>7770000</v>
      </c>
      <c r="D744" s="2214">
        <f>SUM(D745:D747)</f>
        <v>6092600</v>
      </c>
      <c r="E744" s="2214">
        <f>SUM(E745:E747)</f>
        <v>8150000</v>
      </c>
    </row>
    <row r="745" spans="1:5" s="2203" customFormat="1" ht="19.5" x14ac:dyDescent="0.2">
      <c r="A745" s="2207">
        <v>22020101</v>
      </c>
      <c r="B745" s="2208" t="s">
        <v>9</v>
      </c>
      <c r="C745" s="2206">
        <v>1150000</v>
      </c>
      <c r="D745" s="2209">
        <v>886000</v>
      </c>
      <c r="E745" s="2206">
        <v>1150000</v>
      </c>
    </row>
    <row r="746" spans="1:5" s="2203" customFormat="1" ht="19.5" x14ac:dyDescent="0.2">
      <c r="A746" s="2207">
        <v>22020102</v>
      </c>
      <c r="B746" s="2210" t="s">
        <v>10</v>
      </c>
      <c r="C746" s="2206">
        <v>2000000</v>
      </c>
      <c r="D746" s="2209">
        <v>1866000</v>
      </c>
      <c r="E746" s="2206">
        <v>2000000</v>
      </c>
    </row>
    <row r="747" spans="1:5" s="2203" customFormat="1" ht="19.5" x14ac:dyDescent="0.2">
      <c r="A747" s="2207">
        <v>22020103</v>
      </c>
      <c r="B747" s="2210" t="s">
        <v>1171</v>
      </c>
      <c r="C747" s="2211">
        <f>420000+3500000+700000</f>
        <v>4620000</v>
      </c>
      <c r="D747" s="2212">
        <v>3340600</v>
      </c>
      <c r="E747" s="2211">
        <v>5000000</v>
      </c>
    </row>
    <row r="748" spans="1:5" s="2203" customFormat="1" thickBot="1" x14ac:dyDescent="0.25">
      <c r="A748" s="2204">
        <v>22020300</v>
      </c>
      <c r="B748" s="2205" t="s">
        <v>66</v>
      </c>
      <c r="C748" s="2216">
        <f>SUM(C749:C749)</f>
        <v>1260000</v>
      </c>
      <c r="D748" s="2217">
        <f>SUM(D749:D749)</f>
        <v>944000</v>
      </c>
      <c r="E748" s="2216">
        <f>SUM(E749:E749)</f>
        <v>1260000</v>
      </c>
    </row>
    <row r="749" spans="1:5" s="2203" customFormat="1" thickBot="1" x14ac:dyDescent="0.25">
      <c r="A749" s="2207">
        <v>22020301</v>
      </c>
      <c r="B749" s="2210" t="s">
        <v>17</v>
      </c>
      <c r="C749" s="2206">
        <v>1260000</v>
      </c>
      <c r="D749" s="2209">
        <v>944000</v>
      </c>
      <c r="E749" s="2206">
        <v>1260000</v>
      </c>
    </row>
    <row r="750" spans="1:5" s="2218" customFormat="1" thickBot="1" x14ac:dyDescent="0.25">
      <c r="A750" s="2204">
        <v>22020400</v>
      </c>
      <c r="B750" s="2205" t="s">
        <v>67</v>
      </c>
      <c r="C750" s="2214">
        <f>SUM(C751:C753)</f>
        <v>6895980</v>
      </c>
      <c r="D750" s="2222">
        <f>SUM(D751:D753)</f>
        <v>6497814</v>
      </c>
      <c r="E750" s="2214">
        <f>SUM(E751:E753)</f>
        <v>6895980</v>
      </c>
    </row>
    <row r="751" spans="1:5" s="2203" customFormat="1" ht="19.5" x14ac:dyDescent="0.2">
      <c r="A751" s="2207">
        <v>22020401</v>
      </c>
      <c r="B751" s="2219" t="s">
        <v>79</v>
      </c>
      <c r="C751" s="2220">
        <f>2240000+865980</f>
        <v>3105980</v>
      </c>
      <c r="D751" s="2209">
        <v>2878488</v>
      </c>
      <c r="E751" s="2220">
        <f>2240000+865980</f>
        <v>3105980</v>
      </c>
    </row>
    <row r="752" spans="1:5" s="2203" customFormat="1" ht="19.5" x14ac:dyDescent="0.2">
      <c r="A752" s="2207">
        <v>22020413</v>
      </c>
      <c r="B752" s="2208" t="s">
        <v>3309</v>
      </c>
      <c r="C752" s="2221">
        <v>2590000</v>
      </c>
      <c r="D752" s="2212">
        <v>1839326</v>
      </c>
      <c r="E752" s="2221">
        <v>2590000</v>
      </c>
    </row>
    <row r="753" spans="1:5" s="2203" customFormat="1" thickBot="1" x14ac:dyDescent="0.25">
      <c r="A753" s="2207">
        <v>22020406</v>
      </c>
      <c r="B753" s="2208" t="s">
        <v>29</v>
      </c>
      <c r="C753" s="2221">
        <v>1200000</v>
      </c>
      <c r="D753" s="2212">
        <v>1780000</v>
      </c>
      <c r="E753" s="2221">
        <v>1200000</v>
      </c>
    </row>
    <row r="754" spans="1:5" s="2203" customFormat="1" thickBot="1" x14ac:dyDescent="0.25">
      <c r="A754" s="2204">
        <v>22020600</v>
      </c>
      <c r="B754" s="2205" t="s">
        <v>69</v>
      </c>
      <c r="C754" s="2214">
        <f>SUM(C755)</f>
        <v>2125578</v>
      </c>
      <c r="D754" s="2222">
        <f>SUM(D755)</f>
        <v>1798000</v>
      </c>
      <c r="E754" s="2214">
        <f>SUM(E755)</f>
        <v>2125578</v>
      </c>
    </row>
    <row r="755" spans="1:5" s="2203" customFormat="1" thickBot="1" x14ac:dyDescent="0.25">
      <c r="A755" s="2207">
        <v>22020605</v>
      </c>
      <c r="B755" s="2208" t="s">
        <v>33</v>
      </c>
      <c r="C755" s="2211">
        <v>2125578</v>
      </c>
      <c r="D755" s="2212">
        <v>1798000</v>
      </c>
      <c r="E755" s="2211">
        <v>2125578</v>
      </c>
    </row>
    <row r="756" spans="1:5" s="2203" customFormat="1" thickBot="1" x14ac:dyDescent="0.25">
      <c r="A756" s="2204">
        <v>22020700</v>
      </c>
      <c r="B756" s="2205" t="s">
        <v>69</v>
      </c>
      <c r="C756" s="2214">
        <f>SUM(C757)</f>
        <v>709422</v>
      </c>
      <c r="D756" s="2222">
        <f>SUM(D757)</f>
        <v>562100</v>
      </c>
      <c r="E756" s="2214">
        <f>SUM(E757)</f>
        <v>709422</v>
      </c>
    </row>
    <row r="757" spans="1:5" s="2203" customFormat="1" thickBot="1" x14ac:dyDescent="0.25">
      <c r="A757" s="2207">
        <v>22020707</v>
      </c>
      <c r="B757" s="2208" t="s">
        <v>37</v>
      </c>
      <c r="C757" s="2211">
        <f>210000+499422</f>
        <v>709422</v>
      </c>
      <c r="D757" s="2212">
        <v>562100</v>
      </c>
      <c r="E757" s="2211">
        <f>210000+499422</f>
        <v>709422</v>
      </c>
    </row>
    <row r="758" spans="1:5" s="2203" customFormat="1" ht="19.5" x14ac:dyDescent="0.2">
      <c r="A758" s="2204">
        <v>22021000</v>
      </c>
      <c r="B758" s="2205" t="s">
        <v>73</v>
      </c>
      <c r="C758" s="2223">
        <f>SUM(C759:C760)</f>
        <v>4638000</v>
      </c>
      <c r="D758" s="2224">
        <f>SUM(D759:D760)</f>
        <v>3949973</v>
      </c>
      <c r="E758" s="2223">
        <f>SUM(E759:E760)</f>
        <v>4638000</v>
      </c>
    </row>
    <row r="759" spans="1:5" s="2203" customFormat="1" ht="19.5" x14ac:dyDescent="0.2">
      <c r="A759" s="2207">
        <v>22021001</v>
      </c>
      <c r="B759" s="2208" t="s">
        <v>41</v>
      </c>
      <c r="C759" s="2206">
        <v>448000</v>
      </c>
      <c r="D759" s="2209">
        <v>341339</v>
      </c>
      <c r="E759" s="2206">
        <v>448000</v>
      </c>
    </row>
    <row r="760" spans="1:5" s="2203" customFormat="1" thickBot="1" x14ac:dyDescent="0.25">
      <c r="A760" s="2207">
        <v>22021021</v>
      </c>
      <c r="B760" s="2208" t="s">
        <v>126</v>
      </c>
      <c r="C760" s="2220">
        <f>3150000+1040000</f>
        <v>4190000</v>
      </c>
      <c r="D760" s="2209">
        <v>3608634</v>
      </c>
      <c r="E760" s="2220">
        <f>3150000+1040000</f>
        <v>4190000</v>
      </c>
    </row>
    <row r="761" spans="1:5" s="2203" customFormat="1" thickBot="1" x14ac:dyDescent="0.25">
      <c r="A761" s="2204">
        <v>22040100</v>
      </c>
      <c r="B761" s="2213" t="s">
        <v>75</v>
      </c>
      <c r="C761" s="2230">
        <f>SUM(C762:C764)</f>
        <v>33060291</v>
      </c>
      <c r="D761" s="2222">
        <f>SUM(D762:D764)</f>
        <v>12472563</v>
      </c>
      <c r="E761" s="2230">
        <f>SUM(E762:E764)</f>
        <v>86580291</v>
      </c>
    </row>
    <row r="762" spans="1:5" s="2203" customFormat="1" ht="19.5" x14ac:dyDescent="0.3">
      <c r="A762" s="2225">
        <v>22040103</v>
      </c>
      <c r="B762" s="2226" t="s">
        <v>1103</v>
      </c>
      <c r="C762" s="2215">
        <v>15523948</v>
      </c>
      <c r="D762" s="2227">
        <v>7277685</v>
      </c>
      <c r="E762" s="2215">
        <v>15523948</v>
      </c>
    </row>
    <row r="763" spans="1:5" s="2203" customFormat="1" ht="19.5" x14ac:dyDescent="0.3">
      <c r="A763" s="2225">
        <v>22040103</v>
      </c>
      <c r="B763" s="2226" t="s">
        <v>2503</v>
      </c>
      <c r="C763" s="2220">
        <f>3039305+8500000+1000000</f>
        <v>12539305</v>
      </c>
      <c r="D763" s="2209">
        <v>2243664</v>
      </c>
      <c r="E763" s="2206">
        <v>66059305</v>
      </c>
    </row>
    <row r="764" spans="1:5" s="2203" customFormat="1" ht="19.5" x14ac:dyDescent="0.3">
      <c r="A764" s="2228">
        <v>22040103</v>
      </c>
      <c r="B764" s="2229" t="s">
        <v>1723</v>
      </c>
      <c r="C764" s="2209">
        <v>4997038</v>
      </c>
      <c r="D764" s="2209">
        <v>2951214</v>
      </c>
      <c r="E764" s="2209">
        <v>4997038</v>
      </c>
    </row>
    <row r="765" spans="1:5" s="2203" customFormat="1" thickBot="1" x14ac:dyDescent="0.35">
      <c r="A765" s="3166"/>
      <c r="B765" s="3167"/>
      <c r="C765" s="2323"/>
      <c r="D765" s="2323"/>
      <c r="E765" s="2323"/>
    </row>
    <row r="766" spans="1:5" ht="21" thickBot="1" x14ac:dyDescent="0.25">
      <c r="A766" s="2033"/>
      <c r="B766" s="2079" t="s">
        <v>1340</v>
      </c>
      <c r="C766" s="2018">
        <f>SUM(C744,C748,C750,C754,C756,C758,C761)</f>
        <v>56459271</v>
      </c>
      <c r="D766" s="2018">
        <f>SUM(D744,D748,D750,D754,D756,D758,D761)</f>
        <v>32317050</v>
      </c>
      <c r="E766" s="2018">
        <f>SUM(E744,E748,E750,E754,E756,E758,E761)</f>
        <v>110359271</v>
      </c>
    </row>
    <row r="767" spans="1:5" x14ac:dyDescent="0.2">
      <c r="A767" s="3477" t="s">
        <v>1856</v>
      </c>
      <c r="B767" s="3477"/>
      <c r="C767" s="3477"/>
      <c r="D767" s="3477"/>
      <c r="E767" s="3477"/>
    </row>
    <row r="768" spans="1:5" x14ac:dyDescent="0.2">
      <c r="A768" s="3477" t="s">
        <v>648</v>
      </c>
      <c r="B768" s="3477"/>
      <c r="C768" s="3477"/>
      <c r="D768" s="3477"/>
      <c r="E768" s="3477"/>
    </row>
    <row r="769" spans="1:5" ht="21" thickBot="1" x14ac:dyDescent="0.25">
      <c r="A769" s="3476" t="s">
        <v>1451</v>
      </c>
      <c r="B769" s="3476"/>
      <c r="C769" s="3476"/>
      <c r="D769" s="3476"/>
      <c r="E769" s="3476"/>
    </row>
    <row r="770" spans="1:5" ht="81.75" thickBot="1" x14ac:dyDescent="0.35">
      <c r="A770" s="2004" t="s">
        <v>1014</v>
      </c>
      <c r="B770" s="2004" t="s">
        <v>282</v>
      </c>
      <c r="C770" s="173" t="s">
        <v>1174</v>
      </c>
      <c r="D770" s="173" t="s">
        <v>1145</v>
      </c>
      <c r="E770" s="173" t="s">
        <v>3096</v>
      </c>
    </row>
    <row r="771" spans="1:5" ht="21" thickBot="1" x14ac:dyDescent="0.25">
      <c r="A771" s="2005">
        <v>22020100</v>
      </c>
      <c r="B771" s="2059" t="s">
        <v>64</v>
      </c>
      <c r="C771" s="2012">
        <f>SUM(C772:C774)</f>
        <v>3500000</v>
      </c>
      <c r="D771" s="1994">
        <f>SUM(D772:D774)</f>
        <v>1550000</v>
      </c>
      <c r="E771" s="2012">
        <f>SUM(E772:E774)</f>
        <v>3500000</v>
      </c>
    </row>
    <row r="772" spans="1:5" x14ac:dyDescent="0.2">
      <c r="A772" s="1861">
        <v>22020101</v>
      </c>
      <c r="B772" s="151" t="s">
        <v>9</v>
      </c>
      <c r="C772" s="152">
        <v>1000000</v>
      </c>
      <c r="D772" s="2099">
        <v>450000</v>
      </c>
      <c r="E772" s="152">
        <v>1000000</v>
      </c>
    </row>
    <row r="773" spans="1:5" x14ac:dyDescent="0.2">
      <c r="A773" s="1861">
        <v>22020102</v>
      </c>
      <c r="B773" s="151" t="s">
        <v>10</v>
      </c>
      <c r="C773" s="152">
        <v>1100000</v>
      </c>
      <c r="D773" s="2099">
        <v>480000</v>
      </c>
      <c r="E773" s="152">
        <v>1100000</v>
      </c>
    </row>
    <row r="774" spans="1:5" ht="21" thickBot="1" x14ac:dyDescent="0.25">
      <c r="A774" s="1861">
        <v>22020103</v>
      </c>
      <c r="B774" s="151" t="s">
        <v>1171</v>
      </c>
      <c r="C774" s="152">
        <v>1400000</v>
      </c>
      <c r="D774" s="2099">
        <v>620000</v>
      </c>
      <c r="E774" s="152">
        <v>1400000</v>
      </c>
    </row>
    <row r="775" spans="1:5" ht="21" thickBot="1" x14ac:dyDescent="0.25">
      <c r="A775" s="1993">
        <v>22020300</v>
      </c>
      <c r="B775" s="2010" t="s">
        <v>66</v>
      </c>
      <c r="C775" s="2012">
        <f>SUM(C776:C776)</f>
        <v>1050000</v>
      </c>
      <c r="D775" s="1994">
        <f>SUM(D776:D776)</f>
        <v>465000</v>
      </c>
      <c r="E775" s="2012">
        <f>SUM(E776:E776)</f>
        <v>1050000</v>
      </c>
    </row>
    <row r="776" spans="1:5" ht="21" thickBot="1" x14ac:dyDescent="0.25">
      <c r="A776" s="1861">
        <v>22020301</v>
      </c>
      <c r="B776" s="151" t="s">
        <v>17</v>
      </c>
      <c r="C776" s="1892">
        <v>1050000</v>
      </c>
      <c r="D776" s="2100">
        <v>465000</v>
      </c>
      <c r="E776" s="1892">
        <v>1050000</v>
      </c>
    </row>
    <row r="777" spans="1:5" ht="21" thickBot="1" x14ac:dyDescent="0.25">
      <c r="A777" s="1993">
        <v>22020400</v>
      </c>
      <c r="B777" s="2010" t="s">
        <v>67</v>
      </c>
      <c r="C777" s="2012">
        <f>SUM(C778:C781)</f>
        <v>6030000</v>
      </c>
      <c r="D777" s="2012">
        <f>SUM(D778:D781)</f>
        <v>2839000</v>
      </c>
      <c r="E777" s="2012">
        <f>SUM(E778:E781)</f>
        <v>18460000</v>
      </c>
    </row>
    <row r="778" spans="1:5" x14ac:dyDescent="0.2">
      <c r="A778" s="1861">
        <v>22020401</v>
      </c>
      <c r="B778" s="151" t="s">
        <v>79</v>
      </c>
      <c r="C778" s="152">
        <v>1260000</v>
      </c>
      <c r="D778" s="2099">
        <v>558000</v>
      </c>
      <c r="E778" s="152">
        <v>1260000</v>
      </c>
    </row>
    <row r="779" spans="1:5" x14ac:dyDescent="0.2">
      <c r="A779" s="1861">
        <v>22020406</v>
      </c>
      <c r="B779" s="151" t="s">
        <v>29</v>
      </c>
      <c r="C779" s="152">
        <v>1200000</v>
      </c>
      <c r="D779" s="2099">
        <v>700000</v>
      </c>
      <c r="E779" s="152">
        <v>1200000</v>
      </c>
    </row>
    <row r="780" spans="1:5" ht="40.5" x14ac:dyDescent="0.2">
      <c r="A780" s="1861">
        <v>22020414</v>
      </c>
      <c r="B780" s="151" t="s">
        <v>3310</v>
      </c>
      <c r="C780" s="152">
        <v>2170000</v>
      </c>
      <c r="D780" s="2099">
        <v>961000</v>
      </c>
      <c r="E780" s="152">
        <v>6000000</v>
      </c>
    </row>
    <row r="781" spans="1:5" ht="21" thickBot="1" x14ac:dyDescent="0.25">
      <c r="A781" s="1861">
        <v>22020415</v>
      </c>
      <c r="B781" s="151" t="s">
        <v>706</v>
      </c>
      <c r="C781" s="1892">
        <v>1400000</v>
      </c>
      <c r="D781" s="2099">
        <v>620000</v>
      </c>
      <c r="E781" s="1892">
        <v>10000000</v>
      </c>
    </row>
    <row r="782" spans="1:5" ht="21" thickBot="1" x14ac:dyDescent="0.25">
      <c r="A782" s="1993">
        <v>22020500</v>
      </c>
      <c r="B782" s="2010" t="s">
        <v>68</v>
      </c>
      <c r="C782" s="2012">
        <f>SUM(C783:C783)</f>
        <v>130000</v>
      </c>
      <c r="D782" s="2011">
        <f>SUM(D783:D783)</f>
        <v>0</v>
      </c>
      <c r="E782" s="2012">
        <f>SUM(E783:E783)</f>
        <v>130000</v>
      </c>
    </row>
    <row r="783" spans="1:5" ht="21" thickBot="1" x14ac:dyDescent="0.25">
      <c r="A783" s="1861">
        <v>22020501</v>
      </c>
      <c r="B783" s="151" t="s">
        <v>30</v>
      </c>
      <c r="C783" s="1892">
        <v>130000</v>
      </c>
      <c r="D783" s="1892"/>
      <c r="E783" s="1892">
        <v>130000</v>
      </c>
    </row>
    <row r="784" spans="1:5" ht="21" thickBot="1" x14ac:dyDescent="0.25">
      <c r="A784" s="1993">
        <v>22020700</v>
      </c>
      <c r="B784" s="2010" t="s">
        <v>707</v>
      </c>
      <c r="C784" s="2012">
        <f>SUM(C785:C785)</f>
        <v>210000</v>
      </c>
      <c r="D784" s="2012">
        <f t="shared" ref="D784:E784" si="8">SUM(D785:D785)</f>
        <v>0</v>
      </c>
      <c r="E784" s="2012">
        <f t="shared" si="8"/>
        <v>210000</v>
      </c>
    </row>
    <row r="785" spans="1:5" ht="21" thickBot="1" x14ac:dyDescent="0.25">
      <c r="A785" s="1861">
        <v>22020707</v>
      </c>
      <c r="B785" s="151" t="s">
        <v>708</v>
      </c>
      <c r="C785" s="1892">
        <v>210000</v>
      </c>
      <c r="D785" s="1892"/>
      <c r="E785" s="1892">
        <v>210000</v>
      </c>
    </row>
    <row r="786" spans="1:5" ht="21" thickBot="1" x14ac:dyDescent="0.25">
      <c r="A786" s="1993">
        <v>22021000</v>
      </c>
      <c r="B786" s="2010" t="s">
        <v>73</v>
      </c>
      <c r="C786" s="2012">
        <f>SUM(C787:C789)</f>
        <v>1225000</v>
      </c>
      <c r="D786" s="2012">
        <f>SUM(D787:D789)</f>
        <v>232500</v>
      </c>
      <c r="E786" s="2012">
        <f>SUM(E787:E789)</f>
        <v>4225000</v>
      </c>
    </row>
    <row r="787" spans="1:5" x14ac:dyDescent="0.2">
      <c r="A787" s="1861">
        <v>22021001</v>
      </c>
      <c r="B787" s="151" t="s">
        <v>41</v>
      </c>
      <c r="C787" s="152">
        <v>525000</v>
      </c>
      <c r="D787" s="2099">
        <v>232500</v>
      </c>
      <c r="E787" s="152">
        <v>525000</v>
      </c>
    </row>
    <row r="788" spans="1:5" x14ac:dyDescent="0.2">
      <c r="A788" s="1861">
        <v>22021004</v>
      </c>
      <c r="B788" s="151" t="s">
        <v>221</v>
      </c>
      <c r="C788" s="1892">
        <v>700000</v>
      </c>
      <c r="D788" s="1892"/>
      <c r="E788" s="1892">
        <v>700000</v>
      </c>
    </row>
    <row r="789" spans="1:5" x14ac:dyDescent="0.2">
      <c r="A789" s="1861">
        <v>22021005</v>
      </c>
      <c r="B789" s="153" t="s">
        <v>3030</v>
      </c>
      <c r="C789" s="152"/>
      <c r="D789" s="152"/>
      <c r="E789" s="152">
        <v>3000000</v>
      </c>
    </row>
    <row r="790" spans="1:5" ht="21" thickBot="1" x14ac:dyDescent="0.25">
      <c r="A790" s="1861"/>
      <c r="B790" s="2040"/>
      <c r="C790" s="2058"/>
      <c r="D790" s="2058"/>
      <c r="E790" s="2058"/>
    </row>
    <row r="791" spans="1:5" ht="21" thickBot="1" x14ac:dyDescent="0.25">
      <c r="A791" s="2162"/>
      <c r="B791" s="2187" t="s">
        <v>3054</v>
      </c>
      <c r="C791" s="2018">
        <f>SUM(C771,C775,C777,C782,C784,C786)</f>
        <v>12145000</v>
      </c>
      <c r="D791" s="2012">
        <f>SUM(D771,D775,D777,D782,D784,D786)</f>
        <v>5086500</v>
      </c>
      <c r="E791" s="2062">
        <f>SUM(E771,E775,E777,E782,E784,E786)</f>
        <v>27575000</v>
      </c>
    </row>
    <row r="792" spans="1:5" x14ac:dyDescent="0.2">
      <c r="A792" s="2043"/>
      <c r="B792" s="2044"/>
      <c r="C792" s="2045"/>
      <c r="D792" s="2045"/>
      <c r="E792" s="2045"/>
    </row>
    <row r="793" spans="1:5" x14ac:dyDescent="0.2">
      <c r="A793" s="3477" t="s">
        <v>1901</v>
      </c>
      <c r="B793" s="3477"/>
      <c r="C793" s="3477"/>
      <c r="D793" s="3477"/>
      <c r="E793" s="3477"/>
    </row>
    <row r="794" spans="1:5" x14ac:dyDescent="0.2">
      <c r="A794" s="3477" t="s">
        <v>80</v>
      </c>
      <c r="B794" s="3477"/>
      <c r="C794" s="3477"/>
      <c r="D794" s="3477"/>
      <c r="E794" s="3477"/>
    </row>
    <row r="795" spans="1:5" ht="21" thickBot="1" x14ac:dyDescent="0.25">
      <c r="A795" s="3476" t="s">
        <v>145</v>
      </c>
      <c r="B795" s="3476"/>
      <c r="C795" s="3476"/>
      <c r="D795" s="3476"/>
      <c r="E795" s="3476"/>
    </row>
    <row r="796" spans="1:5" ht="81.75" thickBot="1" x14ac:dyDescent="0.35">
      <c r="A796" s="2004" t="s">
        <v>1014</v>
      </c>
      <c r="B796" s="2004" t="s">
        <v>282</v>
      </c>
      <c r="C796" s="173" t="s">
        <v>1174</v>
      </c>
      <c r="D796" s="173" t="s">
        <v>1145</v>
      </c>
      <c r="E796" s="2064" t="s">
        <v>3096</v>
      </c>
    </row>
    <row r="797" spans="1:5" ht="21" thickBot="1" x14ac:dyDescent="0.25">
      <c r="A797" s="2019"/>
      <c r="B797" s="2020"/>
      <c r="C797" s="2021"/>
      <c r="D797" s="2022"/>
      <c r="E797" s="2023"/>
    </row>
    <row r="798" spans="1:5" ht="21" thickBot="1" x14ac:dyDescent="0.25">
      <c r="A798" s="1993">
        <v>22020100</v>
      </c>
      <c r="B798" s="2010" t="s">
        <v>64</v>
      </c>
      <c r="C798" s="2012">
        <f>SUM(C799:C800)</f>
        <v>2251351</v>
      </c>
      <c r="D798" s="2012">
        <f>SUM(D799:D800)</f>
        <v>1125678</v>
      </c>
      <c r="E798" s="2012">
        <f t="shared" ref="E798" si="9">SUM(E799:E800)</f>
        <v>102251351</v>
      </c>
    </row>
    <row r="799" spans="1:5" ht="40.5" x14ac:dyDescent="0.2">
      <c r="A799" s="1861">
        <v>22020101</v>
      </c>
      <c r="B799" s="151" t="s">
        <v>3311</v>
      </c>
      <c r="C799" s="152"/>
      <c r="D799" s="152"/>
      <c r="E799" s="152">
        <v>100000000</v>
      </c>
    </row>
    <row r="800" spans="1:5" ht="21" thickBot="1" x14ac:dyDescent="0.25">
      <c r="A800" s="1861">
        <v>22020102</v>
      </c>
      <c r="B800" s="151" t="s">
        <v>10</v>
      </c>
      <c r="C800" s="152">
        <v>2251351</v>
      </c>
      <c r="D800" s="2231">
        <v>1125678</v>
      </c>
      <c r="E800" s="1892">
        <v>2251351</v>
      </c>
    </row>
    <row r="801" spans="1:5" ht="21" thickBot="1" x14ac:dyDescent="0.25">
      <c r="A801" s="1993">
        <v>22020300</v>
      </c>
      <c r="B801" s="2010" t="s">
        <v>66</v>
      </c>
      <c r="C801" s="2012">
        <f>SUM(C802:C802)</f>
        <v>1461915</v>
      </c>
      <c r="D801" s="2011">
        <v>1080959</v>
      </c>
      <c r="E801" s="2012">
        <f>SUM(E802:E802)</f>
        <v>1461915</v>
      </c>
    </row>
    <row r="802" spans="1:5" ht="21" thickBot="1" x14ac:dyDescent="0.25">
      <c r="A802" s="1861">
        <v>22020301</v>
      </c>
      <c r="B802" s="151" t="s">
        <v>17</v>
      </c>
      <c r="C802" s="1892">
        <v>1461915</v>
      </c>
      <c r="D802" s="2232">
        <v>1080959</v>
      </c>
      <c r="E802" s="1892">
        <v>1461915</v>
      </c>
    </row>
    <row r="803" spans="1:5" ht="21" thickBot="1" x14ac:dyDescent="0.25">
      <c r="A803" s="1993">
        <v>22020400</v>
      </c>
      <c r="B803" s="2010" t="s">
        <v>67</v>
      </c>
      <c r="C803" s="2012">
        <f>SUM(C804:C807)</f>
        <v>8828440</v>
      </c>
      <c r="D803" s="2012">
        <f>SUM(D804:D807)</f>
        <v>4964222</v>
      </c>
      <c r="E803" s="2018">
        <f>SUM(E804:E807)</f>
        <v>8828440</v>
      </c>
    </row>
    <row r="804" spans="1:5" x14ac:dyDescent="0.2">
      <c r="A804" s="1861">
        <v>22020401</v>
      </c>
      <c r="B804" s="2024" t="s">
        <v>79</v>
      </c>
      <c r="C804" s="152">
        <v>2861450</v>
      </c>
      <c r="D804" s="152">
        <v>1780722</v>
      </c>
      <c r="E804" s="152">
        <v>2861450</v>
      </c>
    </row>
    <row r="805" spans="1:5" x14ac:dyDescent="0.2">
      <c r="A805" s="1861">
        <v>22020402</v>
      </c>
      <c r="B805" s="2024" t="s">
        <v>2014</v>
      </c>
      <c r="C805" s="152">
        <v>1266990</v>
      </c>
      <c r="D805" s="152">
        <v>633500</v>
      </c>
      <c r="E805" s="152">
        <v>1266990</v>
      </c>
    </row>
    <row r="806" spans="1:5" x14ac:dyDescent="0.2">
      <c r="A806" s="1861">
        <v>22020406</v>
      </c>
      <c r="B806" s="151" t="s">
        <v>29</v>
      </c>
      <c r="C806" s="152">
        <v>1200000</v>
      </c>
      <c r="D806" s="152">
        <v>800000</v>
      </c>
      <c r="E806" s="152">
        <v>1200000</v>
      </c>
    </row>
    <row r="807" spans="1:5" ht="21" thickBot="1" x14ac:dyDescent="0.35">
      <c r="A807" s="1861">
        <v>22020407</v>
      </c>
      <c r="B807" s="174" t="s">
        <v>2015</v>
      </c>
      <c r="C807" s="2031">
        <v>3500000</v>
      </c>
      <c r="D807" s="2031">
        <v>1750000</v>
      </c>
      <c r="E807" s="1892">
        <v>3500000</v>
      </c>
    </row>
    <row r="808" spans="1:5" ht="21" thickBot="1" x14ac:dyDescent="0.25">
      <c r="A808" s="1993">
        <v>22020500</v>
      </c>
      <c r="B808" s="2010" t="s">
        <v>68</v>
      </c>
      <c r="C808" s="2062">
        <f>SUM(C809:C809)</f>
        <v>2100000</v>
      </c>
      <c r="D808" s="2234">
        <f>SUM(D809:D809)</f>
        <v>0</v>
      </c>
      <c r="E808" s="2018">
        <f>SUM(E809:E809)</f>
        <v>2100000</v>
      </c>
    </row>
    <row r="809" spans="1:5" ht="21" thickBot="1" x14ac:dyDescent="0.25">
      <c r="A809" s="1861">
        <v>22020501</v>
      </c>
      <c r="B809" s="151" t="s">
        <v>30</v>
      </c>
      <c r="C809" s="2075">
        <v>2100000</v>
      </c>
      <c r="D809" s="152"/>
      <c r="E809" s="152">
        <v>2100000</v>
      </c>
    </row>
    <row r="810" spans="1:5" ht="21" thickBot="1" x14ac:dyDescent="0.25">
      <c r="A810" s="1993">
        <v>22021000</v>
      </c>
      <c r="B810" s="2010" t="s">
        <v>73</v>
      </c>
      <c r="C810" s="2062">
        <f>SUM(C811:C812)</f>
        <v>77563470</v>
      </c>
      <c r="D810" s="2018">
        <f>SUM(D811:D812)</f>
        <v>54881186</v>
      </c>
      <c r="E810" s="2233">
        <f>SUM(E811:E812)</f>
        <v>77563470</v>
      </c>
    </row>
    <row r="811" spans="1:5" x14ac:dyDescent="0.2">
      <c r="A811" s="1861">
        <v>22021001</v>
      </c>
      <c r="B811" s="151" t="s">
        <v>41</v>
      </c>
      <c r="C811" s="2075">
        <v>730958</v>
      </c>
      <c r="D811" s="152">
        <v>365478</v>
      </c>
      <c r="E811" s="152">
        <v>730958</v>
      </c>
    </row>
    <row r="812" spans="1:5" x14ac:dyDescent="0.2">
      <c r="A812" s="1861">
        <v>22021041</v>
      </c>
      <c r="B812" s="151" t="s">
        <v>2016</v>
      </c>
      <c r="C812" s="2075">
        <v>76832512</v>
      </c>
      <c r="D812" s="152">
        <v>54515708</v>
      </c>
      <c r="E812" s="152">
        <v>76832512</v>
      </c>
    </row>
    <row r="813" spans="1:5" ht="21" thickBot="1" x14ac:dyDescent="0.25">
      <c r="A813" s="1861"/>
      <c r="B813" s="2010"/>
      <c r="C813" s="2003"/>
      <c r="D813" s="2094"/>
      <c r="E813" s="2097"/>
    </row>
    <row r="814" spans="1:5" ht="21" thickBot="1" x14ac:dyDescent="0.25">
      <c r="A814" s="2177"/>
      <c r="B814" s="2105" t="s">
        <v>2017</v>
      </c>
      <c r="C814" s="2106">
        <f>SUM(C798,C801,C803,C808,C810)</f>
        <v>92205176</v>
      </c>
      <c r="D814" s="2234">
        <f>SUM(D798,D801,D803,D808,D810)</f>
        <v>62052045</v>
      </c>
      <c r="E814" s="2018">
        <f>SUM(E798,E801,E803,E808,E810)</f>
        <v>192205176</v>
      </c>
    </row>
    <row r="815" spans="1:5" x14ac:dyDescent="0.2">
      <c r="A815" s="2043"/>
      <c r="B815" s="2044"/>
      <c r="C815" s="2045"/>
      <c r="D815" s="2045"/>
      <c r="E815" s="2045"/>
    </row>
    <row r="816" spans="1:5" x14ac:dyDescent="0.2">
      <c r="A816" s="3477" t="s">
        <v>1855</v>
      </c>
      <c r="B816" s="3477"/>
      <c r="C816" s="3477"/>
      <c r="D816" s="3477"/>
      <c r="E816" s="3477"/>
    </row>
    <row r="817" spans="1:5" ht="21" thickBot="1" x14ac:dyDescent="0.25">
      <c r="A817" s="3476" t="s">
        <v>1106</v>
      </c>
      <c r="B817" s="3476"/>
      <c r="C817" s="3476"/>
      <c r="D817" s="3476"/>
      <c r="E817" s="3476"/>
    </row>
    <row r="818" spans="1:5" ht="81.75" thickBot="1" x14ac:dyDescent="0.35">
      <c r="A818" s="2004" t="s">
        <v>1014</v>
      </c>
      <c r="B818" s="2004" t="s">
        <v>282</v>
      </c>
      <c r="C818" s="173" t="s">
        <v>1174</v>
      </c>
      <c r="D818" s="173" t="s">
        <v>1551</v>
      </c>
      <c r="E818" s="173" t="s">
        <v>3096</v>
      </c>
    </row>
    <row r="819" spans="1:5" ht="21" thickBot="1" x14ac:dyDescent="0.25">
      <c r="A819" s="2005">
        <v>220201</v>
      </c>
      <c r="B819" s="2061" t="s">
        <v>64</v>
      </c>
      <c r="C819" s="2018">
        <f>SUM(C820:C821)</f>
        <v>42000000</v>
      </c>
      <c r="D819" s="2018">
        <f>SUM(D820:D821)</f>
        <v>3510000</v>
      </c>
      <c r="E819" s="2018">
        <f>SUM(E820:E821)</f>
        <v>50000000</v>
      </c>
    </row>
    <row r="820" spans="1:5" ht="17.25" customHeight="1" x14ac:dyDescent="0.3">
      <c r="A820" s="1861">
        <v>22020101</v>
      </c>
      <c r="B820" s="151" t="s">
        <v>3312</v>
      </c>
      <c r="C820" s="183">
        <v>30000000</v>
      </c>
      <c r="D820" s="3296">
        <v>0</v>
      </c>
      <c r="E820" s="418">
        <v>35000000</v>
      </c>
    </row>
    <row r="821" spans="1:5" ht="21" thickBot="1" x14ac:dyDescent="0.25">
      <c r="A821" s="1861">
        <v>22020102</v>
      </c>
      <c r="B821" s="151" t="s">
        <v>10</v>
      </c>
      <c r="C821" s="2108">
        <f>2000000+10000000</f>
        <v>12000000</v>
      </c>
      <c r="D821" s="1892">
        <v>3510000</v>
      </c>
      <c r="E821" s="2037">
        <f>2000000+10000000+3000000</f>
        <v>15000000</v>
      </c>
    </row>
    <row r="822" spans="1:5" ht="21" thickBot="1" x14ac:dyDescent="0.25">
      <c r="A822" s="1993">
        <v>220202</v>
      </c>
      <c r="B822" s="2010" t="s">
        <v>65</v>
      </c>
      <c r="C822" s="1994">
        <f>SUM(C823)</f>
        <v>0</v>
      </c>
      <c r="D822" s="1994">
        <f>SUM(D823)</f>
        <v>0</v>
      </c>
      <c r="E822" s="1994">
        <f>SUM(E823)</f>
        <v>1000000</v>
      </c>
    </row>
    <row r="823" spans="1:5" ht="21" thickBot="1" x14ac:dyDescent="0.25">
      <c r="A823" s="1861">
        <v>22020203</v>
      </c>
      <c r="B823" s="151" t="s">
        <v>15</v>
      </c>
      <c r="C823" s="152"/>
      <c r="D823" s="152"/>
      <c r="E823" s="152">
        <v>1000000</v>
      </c>
    </row>
    <row r="824" spans="1:5" ht="21" thickBot="1" x14ac:dyDescent="0.25">
      <c r="A824" s="1993">
        <v>220203</v>
      </c>
      <c r="B824" s="2010" t="s">
        <v>66</v>
      </c>
      <c r="C824" s="1994">
        <f>SUM(C825:C826)</f>
        <v>15863792</v>
      </c>
      <c r="D824" s="2011">
        <f>SUM(D825:D826)</f>
        <v>10812439</v>
      </c>
      <c r="E824" s="1994">
        <f>SUM(E825:E826)</f>
        <v>26600000</v>
      </c>
    </row>
    <row r="825" spans="1:5" x14ac:dyDescent="0.2">
      <c r="A825" s="1861">
        <v>22020301</v>
      </c>
      <c r="B825" s="151" t="s">
        <v>17</v>
      </c>
      <c r="C825" s="2000">
        <f>1263792+4600000</f>
        <v>5863792</v>
      </c>
      <c r="D825" s="152">
        <v>812439</v>
      </c>
      <c r="E825" s="2000">
        <f>2000000+4600000</f>
        <v>6600000</v>
      </c>
    </row>
    <row r="826" spans="1:5" ht="21" thickBot="1" x14ac:dyDescent="0.25">
      <c r="A826" s="1861">
        <v>22020306</v>
      </c>
      <c r="B826" s="151" t="s">
        <v>1718</v>
      </c>
      <c r="C826" s="1892">
        <v>10000000</v>
      </c>
      <c r="D826" s="1892">
        <v>10000000</v>
      </c>
      <c r="E826" s="1892">
        <v>20000000</v>
      </c>
    </row>
    <row r="827" spans="1:5" ht="21" thickBot="1" x14ac:dyDescent="0.25">
      <c r="A827" s="1993">
        <v>220204</v>
      </c>
      <c r="B827" s="2010" t="s">
        <v>67</v>
      </c>
      <c r="C827" s="1994">
        <f>SUM(C828:C830)</f>
        <v>4000000</v>
      </c>
      <c r="D827" s="1994">
        <f>SUM(D828:D830)</f>
        <v>2700000</v>
      </c>
      <c r="E827" s="1994">
        <f>SUM(E828:E830)</f>
        <v>4000000</v>
      </c>
    </row>
    <row r="828" spans="1:5" x14ac:dyDescent="0.2">
      <c r="A828" s="1861">
        <v>22020401</v>
      </c>
      <c r="B828" s="2024" t="s">
        <v>79</v>
      </c>
      <c r="C828" s="152">
        <v>1400000</v>
      </c>
      <c r="D828" s="152">
        <v>900000</v>
      </c>
      <c r="E828" s="152">
        <v>1400000</v>
      </c>
    </row>
    <row r="829" spans="1:5" x14ac:dyDescent="0.2">
      <c r="A829" s="1861">
        <v>22020404</v>
      </c>
      <c r="B829" s="151" t="s">
        <v>1717</v>
      </c>
      <c r="C829" s="1892">
        <v>1400000</v>
      </c>
      <c r="D829" s="1892">
        <v>900000</v>
      </c>
      <c r="E829" s="1892">
        <v>1400000</v>
      </c>
    </row>
    <row r="830" spans="1:5" ht="21" thickBot="1" x14ac:dyDescent="0.25">
      <c r="A830" s="1861">
        <v>22020406</v>
      </c>
      <c r="B830" s="151" t="s">
        <v>29</v>
      </c>
      <c r="C830" s="1892">
        <v>1200000</v>
      </c>
      <c r="D830" s="1892">
        <v>900000</v>
      </c>
      <c r="E830" s="1892">
        <v>1200000</v>
      </c>
    </row>
    <row r="831" spans="1:5" ht="21" thickBot="1" x14ac:dyDescent="0.25">
      <c r="A831" s="1993">
        <v>220207</v>
      </c>
      <c r="B831" s="2103" t="s">
        <v>70</v>
      </c>
      <c r="C831" s="1994">
        <f>SUM(C832)</f>
        <v>4000000</v>
      </c>
      <c r="D831" s="1994">
        <f t="shared" ref="D831:E831" si="10">SUM(D832)</f>
        <v>0</v>
      </c>
      <c r="E831" s="1994">
        <f t="shared" si="10"/>
        <v>4000000</v>
      </c>
    </row>
    <row r="832" spans="1:5" ht="21" thickBot="1" x14ac:dyDescent="0.25">
      <c r="A832" s="1861">
        <v>22020715</v>
      </c>
      <c r="B832" s="151" t="s">
        <v>1149</v>
      </c>
      <c r="C832" s="1892">
        <v>4000000</v>
      </c>
      <c r="D832" s="1892">
        <v>0</v>
      </c>
      <c r="E832" s="1892">
        <v>4000000</v>
      </c>
    </row>
    <row r="833" spans="1:5" ht="21" thickBot="1" x14ac:dyDescent="0.25">
      <c r="A833" s="1993">
        <v>220208</v>
      </c>
      <c r="B833" s="2010" t="s">
        <v>71</v>
      </c>
      <c r="C833" s="1994">
        <f>SUM(C834:C834)</f>
        <v>8400000</v>
      </c>
      <c r="D833" s="2011">
        <f>SUM(D834:D834)</f>
        <v>6180000</v>
      </c>
      <c r="E833" s="1994">
        <f>SUM(E834:E834)</f>
        <v>10000000</v>
      </c>
    </row>
    <row r="834" spans="1:5" ht="21" thickBot="1" x14ac:dyDescent="0.25">
      <c r="A834" s="1861">
        <v>22020803</v>
      </c>
      <c r="B834" s="151" t="s">
        <v>115</v>
      </c>
      <c r="C834" s="1892">
        <v>8400000</v>
      </c>
      <c r="D834" s="1892">
        <v>6180000</v>
      </c>
      <c r="E834" s="1892">
        <v>10000000</v>
      </c>
    </row>
    <row r="835" spans="1:5" ht="21" thickBot="1" x14ac:dyDescent="0.25">
      <c r="A835" s="1993">
        <v>220210</v>
      </c>
      <c r="B835" s="2103" t="s">
        <v>73</v>
      </c>
      <c r="C835" s="1994">
        <f>SUM(C836:C840)</f>
        <v>55390000</v>
      </c>
      <c r="D835" s="1994">
        <f>SUM(D836:D840)</f>
        <v>225000</v>
      </c>
      <c r="E835" s="1994">
        <f>SUM(E836:E840)</f>
        <v>281500000</v>
      </c>
    </row>
    <row r="836" spans="1:5" x14ac:dyDescent="0.2">
      <c r="A836" s="1861">
        <v>22021001</v>
      </c>
      <c r="B836" s="151" t="s">
        <v>41</v>
      </c>
      <c r="C836" s="152">
        <v>390000</v>
      </c>
      <c r="D836" s="152">
        <v>225000</v>
      </c>
      <c r="E836" s="1990">
        <v>1500000</v>
      </c>
    </row>
    <row r="837" spans="1:5" x14ac:dyDescent="0.3">
      <c r="A837" s="1861">
        <v>22021002</v>
      </c>
      <c r="B837" s="174" t="s">
        <v>2513</v>
      </c>
      <c r="C837" s="1992">
        <v>5000000</v>
      </c>
      <c r="D837" s="1892">
        <v>0</v>
      </c>
      <c r="E837" s="1892">
        <v>30000000</v>
      </c>
    </row>
    <row r="838" spans="1:5" x14ac:dyDescent="0.2">
      <c r="A838" s="1861">
        <v>22021014</v>
      </c>
      <c r="B838" s="151" t="s">
        <v>47</v>
      </c>
      <c r="C838" s="152">
        <v>50000000</v>
      </c>
      <c r="D838" s="152"/>
      <c r="E838" s="1990">
        <v>50000000</v>
      </c>
    </row>
    <row r="839" spans="1:5" x14ac:dyDescent="0.2">
      <c r="A839" s="1861">
        <v>22021003</v>
      </c>
      <c r="B839" s="2024" t="s">
        <v>2723</v>
      </c>
      <c r="C839" s="2057"/>
      <c r="D839" s="2057"/>
      <c r="E839" s="3297">
        <v>150000000</v>
      </c>
    </row>
    <row r="840" spans="1:5" s="198" customFormat="1" ht="21" thickBot="1" x14ac:dyDescent="0.35">
      <c r="A840" s="1861">
        <v>22021041</v>
      </c>
      <c r="B840" s="197" t="s">
        <v>2724</v>
      </c>
      <c r="C840" s="3298"/>
      <c r="D840" s="3299"/>
      <c r="E840" s="418">
        <v>50000000</v>
      </c>
    </row>
    <row r="841" spans="1:5" ht="21" thickBot="1" x14ac:dyDescent="0.25">
      <c r="A841" s="1993">
        <v>220401</v>
      </c>
      <c r="B841" s="2010" t="s">
        <v>75</v>
      </c>
      <c r="C841" s="2062">
        <f>SUM(C842:C843)</f>
        <v>8000000</v>
      </c>
      <c r="D841" s="2018">
        <f>SUM(D842:D843)</f>
        <v>0</v>
      </c>
      <c r="E841" s="2259">
        <f>SUM(E842:E843)</f>
        <v>15000000</v>
      </c>
    </row>
    <row r="842" spans="1:5" x14ac:dyDescent="0.2">
      <c r="A842" s="1861">
        <v>22040102</v>
      </c>
      <c r="B842" s="188" t="s">
        <v>2514</v>
      </c>
      <c r="C842" s="2075">
        <v>4000000</v>
      </c>
      <c r="D842" s="152"/>
      <c r="E842" s="1990">
        <v>15000000</v>
      </c>
    </row>
    <row r="843" spans="1:5" x14ac:dyDescent="0.2">
      <c r="A843" s="1861">
        <v>22040103</v>
      </c>
      <c r="B843" s="188" t="s">
        <v>1105</v>
      </c>
      <c r="C843" s="2075">
        <v>4000000</v>
      </c>
      <c r="D843" s="152"/>
      <c r="E843" s="1990" t="s">
        <v>179</v>
      </c>
    </row>
    <row r="844" spans="1:5" ht="21" thickBot="1" x14ac:dyDescent="0.25">
      <c r="A844" s="1861"/>
      <c r="B844" s="2010"/>
      <c r="C844" s="3147"/>
      <c r="D844" s="2097"/>
      <c r="E844" s="3300"/>
    </row>
    <row r="845" spans="1:5" ht="21" thickBot="1" x14ac:dyDescent="0.25">
      <c r="A845" s="2177"/>
      <c r="B845" s="2105" t="s">
        <v>1341</v>
      </c>
      <c r="C845" s="2062">
        <f>SUM(C819,C822,C824,C827,C831,C833,C835,C841,)</f>
        <v>137653792</v>
      </c>
      <c r="D845" s="2018">
        <f>SUM(D819,D822,D824,D827,D831,D833,D835,D841,)</f>
        <v>23427439</v>
      </c>
      <c r="E845" s="2259">
        <f>SUM(E819,E822,E824,E827,E831,E833,E835,E841,)</f>
        <v>392100000</v>
      </c>
    </row>
    <row r="846" spans="1:5" s="2112" customFormat="1" ht="12.75" x14ac:dyDescent="0.2"/>
    <row r="847" spans="1:5" s="2260" customFormat="1" x14ac:dyDescent="0.2">
      <c r="A847" s="3489" t="s">
        <v>1855</v>
      </c>
      <c r="B847" s="3489"/>
      <c r="C847" s="3489"/>
      <c r="D847" s="3489"/>
      <c r="E847" s="3489"/>
    </row>
    <row r="848" spans="1:5" x14ac:dyDescent="0.2">
      <c r="A848" s="3489" t="s">
        <v>641</v>
      </c>
      <c r="B848" s="3489"/>
      <c r="C848" s="3489"/>
      <c r="D848" s="3489"/>
      <c r="E848" s="3489"/>
    </row>
    <row r="849" spans="1:5" ht="21" thickBot="1" x14ac:dyDescent="0.25">
      <c r="A849" s="3483" t="s">
        <v>2996</v>
      </c>
      <c r="B849" s="3483"/>
      <c r="C849" s="3483"/>
      <c r="D849" s="3483"/>
      <c r="E849" s="3483"/>
    </row>
    <row r="850" spans="1:5" ht="81.75" thickBot="1" x14ac:dyDescent="0.35">
      <c r="A850" s="2004" t="s">
        <v>1014</v>
      </c>
      <c r="B850" s="2004" t="s">
        <v>282</v>
      </c>
      <c r="C850" s="173" t="s">
        <v>1174</v>
      </c>
      <c r="D850" s="173" t="s">
        <v>1145</v>
      </c>
      <c r="E850" s="173" t="s">
        <v>3096</v>
      </c>
    </row>
    <row r="851" spans="1:5" ht="21" thickBot="1" x14ac:dyDescent="0.25">
      <c r="A851" s="3302"/>
      <c r="B851" s="3302"/>
      <c r="C851" s="2405"/>
      <c r="D851" s="1893"/>
      <c r="E851" s="1893"/>
    </row>
    <row r="852" spans="1:5" ht="21" thickBot="1" x14ac:dyDescent="0.25">
      <c r="A852" s="1993">
        <v>22020100</v>
      </c>
      <c r="B852" s="2010" t="s">
        <v>64</v>
      </c>
      <c r="C852" s="2106">
        <f>SUM(C853)</f>
        <v>0</v>
      </c>
      <c r="D852" s="2106">
        <f t="shared" ref="D852:E852" si="11">SUM(D853)</f>
        <v>0</v>
      </c>
      <c r="E852" s="2106">
        <f t="shared" si="11"/>
        <v>2500000</v>
      </c>
    </row>
    <row r="853" spans="1:5" ht="21" thickBot="1" x14ac:dyDescent="0.25">
      <c r="A853" s="1861">
        <v>22020102</v>
      </c>
      <c r="B853" s="151" t="s">
        <v>10</v>
      </c>
      <c r="C853" s="1892"/>
      <c r="D853" s="1892"/>
      <c r="E853" s="1892">
        <v>2500000</v>
      </c>
    </row>
    <row r="854" spans="1:5" ht="21" thickBot="1" x14ac:dyDescent="0.25">
      <c r="A854" s="1993">
        <v>22020200</v>
      </c>
      <c r="B854" s="2010" t="s">
        <v>65</v>
      </c>
      <c r="C854" s="1994">
        <f>SUM(C855:C855)</f>
        <v>0</v>
      </c>
      <c r="D854" s="1994">
        <f>SUM(D855:D855)</f>
        <v>0</v>
      </c>
      <c r="E854" s="2018">
        <f>SUM(E855:E855)</f>
        <v>500000</v>
      </c>
    </row>
    <row r="855" spans="1:5" ht="21" thickBot="1" x14ac:dyDescent="0.25">
      <c r="A855" s="1861">
        <v>22020201</v>
      </c>
      <c r="B855" s="153" t="s">
        <v>13</v>
      </c>
      <c r="C855" s="1892"/>
      <c r="D855" s="2100"/>
      <c r="E855" s="2125">
        <v>500000</v>
      </c>
    </row>
    <row r="856" spans="1:5" ht="21" thickBot="1" x14ac:dyDescent="0.25">
      <c r="A856" s="1993">
        <v>22020300</v>
      </c>
      <c r="B856" s="2010" t="s">
        <v>66</v>
      </c>
      <c r="C856" s="1994">
        <f>SUM(C857:C858)</f>
        <v>0</v>
      </c>
      <c r="D856" s="1994">
        <f>SUM(D857:D858)</f>
        <v>0</v>
      </c>
      <c r="E856" s="1994">
        <f>SUM(E857:E858)</f>
        <v>4500000</v>
      </c>
    </row>
    <row r="857" spans="1:5" x14ac:dyDescent="0.2">
      <c r="A857" s="1861">
        <v>22020301</v>
      </c>
      <c r="B857" s="153" t="s">
        <v>17</v>
      </c>
      <c r="C857" s="152"/>
      <c r="D857" s="152"/>
      <c r="E857" s="152">
        <v>1500000</v>
      </c>
    </row>
    <row r="858" spans="1:5" ht="21" thickBot="1" x14ac:dyDescent="0.25">
      <c r="A858" s="1861">
        <v>22020305</v>
      </c>
      <c r="B858" s="153" t="s">
        <v>20</v>
      </c>
      <c r="C858" s="1892"/>
      <c r="D858" s="1892"/>
      <c r="E858" s="1892">
        <v>3000000</v>
      </c>
    </row>
    <row r="859" spans="1:5" ht="21" thickBot="1" x14ac:dyDescent="0.25">
      <c r="A859" s="1993">
        <v>22020400</v>
      </c>
      <c r="B859" s="2010" t="s">
        <v>67</v>
      </c>
      <c r="C859" s="1994">
        <f>SUM(C860:C860)</f>
        <v>0</v>
      </c>
      <c r="D859" s="2011">
        <f>SUM(D860:D860)</f>
        <v>0</v>
      </c>
      <c r="E859" s="1994">
        <f>SUM(E860:E860)</f>
        <v>2000000</v>
      </c>
    </row>
    <row r="860" spans="1:5" ht="21" thickBot="1" x14ac:dyDescent="0.25">
      <c r="A860" s="1861">
        <v>22020401</v>
      </c>
      <c r="B860" s="2024" t="s">
        <v>79</v>
      </c>
      <c r="C860" s="152"/>
      <c r="D860" s="152"/>
      <c r="E860" s="152">
        <v>2000000</v>
      </c>
    </row>
    <row r="861" spans="1:5" ht="21" thickBot="1" x14ac:dyDescent="0.25">
      <c r="A861" s="1993">
        <v>22020500</v>
      </c>
      <c r="B861" s="2010" t="s">
        <v>68</v>
      </c>
      <c r="C861" s="1994">
        <f>SUM(C862:C862)</f>
        <v>0</v>
      </c>
      <c r="D861" s="2011">
        <f>SUM(D862:D862)</f>
        <v>0</v>
      </c>
      <c r="E861" s="1994">
        <f>SUM(E862:E862)</f>
        <v>1500000</v>
      </c>
    </row>
    <row r="862" spans="1:5" ht="21" thickBot="1" x14ac:dyDescent="0.25">
      <c r="A862" s="1861">
        <v>22020502</v>
      </c>
      <c r="B862" s="151" t="s">
        <v>595</v>
      </c>
      <c r="C862" s="2075"/>
      <c r="D862" s="152"/>
      <c r="E862" s="152">
        <v>1500000</v>
      </c>
    </row>
    <row r="863" spans="1:5" ht="21" thickBot="1" x14ac:dyDescent="0.25">
      <c r="A863" s="1993">
        <v>22021000</v>
      </c>
      <c r="B863" s="2010" t="s">
        <v>73</v>
      </c>
      <c r="C863" s="2106">
        <f>SUM(C864:C866)</f>
        <v>0</v>
      </c>
      <c r="D863" s="2011">
        <f>SUM(D864:D866)</f>
        <v>0</v>
      </c>
      <c r="E863" s="2018">
        <f>SUM(E864:E866)</f>
        <v>4000000</v>
      </c>
    </row>
    <row r="864" spans="1:5" x14ac:dyDescent="0.2">
      <c r="A864" s="1861">
        <v>22021001</v>
      </c>
      <c r="B864" s="151" t="s">
        <v>41</v>
      </c>
      <c r="C864" s="2075"/>
      <c r="D864" s="1892"/>
      <c r="E864" s="152">
        <v>500000</v>
      </c>
    </row>
    <row r="865" spans="1:5" ht="40.5" x14ac:dyDescent="0.2">
      <c r="A865" s="1861">
        <v>22021021</v>
      </c>
      <c r="B865" s="151" t="s">
        <v>2997</v>
      </c>
      <c r="C865" s="2075"/>
      <c r="D865" s="1990"/>
      <c r="E865" s="152">
        <v>2000000</v>
      </c>
    </row>
    <row r="866" spans="1:5" ht="22.5" customHeight="1" x14ac:dyDescent="0.2">
      <c r="A866" s="1861">
        <v>22021041</v>
      </c>
      <c r="B866" s="151" t="s">
        <v>2998</v>
      </c>
      <c r="C866" s="2075"/>
      <c r="D866" s="1990"/>
      <c r="E866" s="152">
        <v>1500000</v>
      </c>
    </row>
    <row r="867" spans="1:5" ht="21" thickBot="1" x14ac:dyDescent="0.25">
      <c r="A867" s="1861"/>
      <c r="B867" s="151"/>
      <c r="C867" s="2057"/>
      <c r="D867" s="2058"/>
      <c r="E867" s="2058"/>
    </row>
    <row r="868" spans="1:5" ht="21" thickBot="1" x14ac:dyDescent="0.25">
      <c r="A868" s="2177"/>
      <c r="B868" s="2105" t="s">
        <v>2999</v>
      </c>
      <c r="C868" s="2163">
        <f>SUM(C852,C856,C859,C861,C863)</f>
        <v>0</v>
      </c>
      <c r="D868" s="2001">
        <f>SUM(D852,D856,D859,D861,D863)</f>
        <v>0</v>
      </c>
      <c r="E868" s="2018">
        <f>SUM(E852,E854,E856,E859,E861,E863)</f>
        <v>15000000</v>
      </c>
    </row>
    <row r="869" spans="1:5" s="2048" customFormat="1" ht="18.75" x14ac:dyDescent="0.2">
      <c r="A869" s="3492" t="s">
        <v>1855</v>
      </c>
      <c r="B869" s="3492"/>
      <c r="C869" s="3492"/>
      <c r="D869" s="3492"/>
      <c r="E869" s="3492"/>
    </row>
    <row r="870" spans="1:5" s="2048" customFormat="1" ht="18.75" x14ac:dyDescent="0.2">
      <c r="A870" s="3492" t="s">
        <v>80</v>
      </c>
      <c r="B870" s="3492"/>
      <c r="C870" s="3492"/>
      <c r="D870" s="3492"/>
      <c r="E870" s="3492"/>
    </row>
    <row r="871" spans="1:5" s="2048" customFormat="1" ht="19.5" thickBot="1" x14ac:dyDescent="0.25">
      <c r="A871" s="3499" t="s">
        <v>2515</v>
      </c>
      <c r="B871" s="3499"/>
      <c r="C871" s="3499"/>
      <c r="D871" s="3499"/>
      <c r="E871" s="3499"/>
    </row>
    <row r="872" spans="1:5" s="2048" customFormat="1" ht="39.75" customHeight="1" thickBot="1" x14ac:dyDescent="0.35">
      <c r="A872" s="2290" t="s">
        <v>1014</v>
      </c>
      <c r="B872" s="2290" t="s">
        <v>282</v>
      </c>
      <c r="C872" s="2291" t="s">
        <v>1174</v>
      </c>
      <c r="D872" s="2291" t="s">
        <v>1145</v>
      </c>
      <c r="E872" s="2291" t="s">
        <v>3096</v>
      </c>
    </row>
    <row r="873" spans="1:5" s="2235" customFormat="1" ht="18" thickBot="1" x14ac:dyDescent="0.25">
      <c r="A873" s="2247">
        <v>2202010</v>
      </c>
      <c r="B873" s="2248" t="s">
        <v>64</v>
      </c>
      <c r="C873" s="2251">
        <f>SUM(C874:C878)</f>
        <v>197960000</v>
      </c>
      <c r="D873" s="2253">
        <f>SUM(D874:D878)</f>
        <v>24087759</v>
      </c>
      <c r="E873" s="2251">
        <f>SUM(E874:E878)</f>
        <v>199960000</v>
      </c>
    </row>
    <row r="874" spans="1:5" s="2235" customFormat="1" ht="17.25" x14ac:dyDescent="0.2">
      <c r="A874" s="2241">
        <v>22020101</v>
      </c>
      <c r="B874" s="2242" t="s">
        <v>9</v>
      </c>
      <c r="C874" s="2250">
        <v>1000000</v>
      </c>
      <c r="D874" s="3303">
        <v>880000</v>
      </c>
      <c r="E874" s="3303">
        <v>1000000</v>
      </c>
    </row>
    <row r="875" spans="1:5" s="2235" customFormat="1" ht="17.25" x14ac:dyDescent="0.2">
      <c r="A875" s="2241">
        <v>22020102</v>
      </c>
      <c r="B875" s="2242" t="s">
        <v>10</v>
      </c>
      <c r="C875" s="2250">
        <v>960000</v>
      </c>
      <c r="D875" s="3303">
        <v>100000</v>
      </c>
      <c r="E875" s="3303">
        <v>2960000</v>
      </c>
    </row>
    <row r="876" spans="1:5" s="2235" customFormat="1" ht="17.25" x14ac:dyDescent="0.2">
      <c r="A876" s="2241">
        <v>22020103</v>
      </c>
      <c r="B876" s="2242" t="s">
        <v>11</v>
      </c>
      <c r="C876" s="2243">
        <v>140000000</v>
      </c>
      <c r="D876" s="3304">
        <v>13695000</v>
      </c>
      <c r="E876" s="3304">
        <v>140000000</v>
      </c>
    </row>
    <row r="877" spans="1:5" s="2235" customFormat="1" ht="17.25" x14ac:dyDescent="0.2">
      <c r="A877" s="2241">
        <v>22020104</v>
      </c>
      <c r="B877" s="2242" t="s">
        <v>1205</v>
      </c>
      <c r="C877" s="2243">
        <v>35000000</v>
      </c>
      <c r="D877" s="3304">
        <v>9097519</v>
      </c>
      <c r="E877" s="3304">
        <v>35000000</v>
      </c>
    </row>
    <row r="878" spans="1:5" s="2235" customFormat="1" ht="18" thickBot="1" x14ac:dyDescent="0.25">
      <c r="A878" s="2241">
        <v>22020105</v>
      </c>
      <c r="B878" s="2242" t="s">
        <v>1206</v>
      </c>
      <c r="C878" s="2243">
        <v>21000000</v>
      </c>
      <c r="D878" s="3304">
        <v>315240</v>
      </c>
      <c r="E878" s="3304">
        <v>21000000</v>
      </c>
    </row>
    <row r="879" spans="1:5" s="2235" customFormat="1" ht="18" thickBot="1" x14ac:dyDescent="0.25">
      <c r="A879" s="2247">
        <v>2202020</v>
      </c>
      <c r="B879" s="2248" t="s">
        <v>65</v>
      </c>
      <c r="C879" s="2251">
        <f>SUM(C880:C882)</f>
        <v>353500000</v>
      </c>
      <c r="D879" s="2253">
        <f>SUM(D880:D882)</f>
        <v>349000114.25999999</v>
      </c>
      <c r="E879" s="2251">
        <f>SUM(E880:E882)</f>
        <v>553500000</v>
      </c>
    </row>
    <row r="880" spans="1:5" s="2235" customFormat="1" ht="17.25" x14ac:dyDescent="0.2">
      <c r="A880" s="2241">
        <v>22020201</v>
      </c>
      <c r="B880" s="2242" t="s">
        <v>2551</v>
      </c>
      <c r="C880" s="2250">
        <v>1000000</v>
      </c>
      <c r="D880" s="3303"/>
      <c r="E880" s="3303">
        <v>1000000</v>
      </c>
    </row>
    <row r="881" spans="1:5" s="2235" customFormat="1" ht="17.25" x14ac:dyDescent="0.2">
      <c r="A881" s="2241">
        <v>22020202</v>
      </c>
      <c r="B881" s="2242" t="s">
        <v>1207</v>
      </c>
      <c r="C881" s="2250">
        <v>350000000</v>
      </c>
      <c r="D881" s="3303">
        <v>348500114.25999999</v>
      </c>
      <c r="E881" s="3303">
        <v>550000000</v>
      </c>
    </row>
    <row r="882" spans="1:5" s="2235" customFormat="1" ht="18" thickBot="1" x14ac:dyDescent="0.25">
      <c r="A882" s="2241">
        <v>22020203</v>
      </c>
      <c r="B882" s="2242" t="s">
        <v>15</v>
      </c>
      <c r="C882" s="2243">
        <v>2500000</v>
      </c>
      <c r="D882" s="3304">
        <v>500000</v>
      </c>
      <c r="E882" s="3304">
        <v>2500000</v>
      </c>
    </row>
    <row r="883" spans="1:5" s="2235" customFormat="1" ht="18" thickBot="1" x14ac:dyDescent="0.25">
      <c r="A883" s="2247">
        <v>2202030</v>
      </c>
      <c r="B883" s="2248" t="s">
        <v>66</v>
      </c>
      <c r="C883" s="2251">
        <f>SUM(C884:C886)</f>
        <v>19000000</v>
      </c>
      <c r="D883" s="2253">
        <f>SUM(D884:D886)</f>
        <v>6700000</v>
      </c>
      <c r="E883" s="2251">
        <f>SUM(E884:E886)</f>
        <v>20500000</v>
      </c>
    </row>
    <row r="884" spans="1:5" s="2235" customFormat="1" ht="17.25" x14ac:dyDescent="0.2">
      <c r="A884" s="2241">
        <v>22020301</v>
      </c>
      <c r="B884" s="2242" t="s">
        <v>17</v>
      </c>
      <c r="C884" s="2250">
        <v>3500000</v>
      </c>
      <c r="D884" s="3303">
        <v>1700000</v>
      </c>
      <c r="E884" s="3303">
        <v>5000000</v>
      </c>
    </row>
    <row r="885" spans="1:5" s="2235" customFormat="1" ht="17.25" x14ac:dyDescent="0.2">
      <c r="A885" s="2241">
        <v>22020306</v>
      </c>
      <c r="B885" s="2242" t="s">
        <v>21</v>
      </c>
      <c r="C885" s="2250">
        <v>10500000</v>
      </c>
      <c r="D885" s="3303">
        <v>0</v>
      </c>
      <c r="E885" s="3303">
        <v>10500000</v>
      </c>
    </row>
    <row r="886" spans="1:5" s="2235" customFormat="1" ht="18" thickBot="1" x14ac:dyDescent="0.25">
      <c r="A886" s="2241">
        <v>22020312</v>
      </c>
      <c r="B886" s="2242" t="s">
        <v>1202</v>
      </c>
      <c r="C886" s="2250">
        <v>5000000</v>
      </c>
      <c r="D886" s="3304">
        <v>5000000</v>
      </c>
      <c r="E886" s="3303">
        <v>5000000</v>
      </c>
    </row>
    <row r="887" spans="1:5" s="2235" customFormat="1" ht="18" thickBot="1" x14ac:dyDescent="0.25">
      <c r="A887" s="2247">
        <v>2202040</v>
      </c>
      <c r="B887" s="2248" t="s">
        <v>67</v>
      </c>
      <c r="C887" s="2251">
        <f>SUM(C888:C892)</f>
        <v>339771320</v>
      </c>
      <c r="D887" s="2251">
        <f>SUM(D888:D892)</f>
        <v>305249420</v>
      </c>
      <c r="E887" s="2246">
        <f>SUM(E888:E892)</f>
        <v>576700000</v>
      </c>
    </row>
    <row r="888" spans="1:5" s="2235" customFormat="1" ht="17.25" x14ac:dyDescent="0.2">
      <c r="A888" s="2241">
        <v>22020401</v>
      </c>
      <c r="B888" s="2254" t="s">
        <v>79</v>
      </c>
      <c r="C888" s="2250">
        <v>1470000</v>
      </c>
      <c r="D888" s="3303">
        <v>735000</v>
      </c>
      <c r="E888" s="3303">
        <v>3470000</v>
      </c>
    </row>
    <row r="889" spans="1:5" s="2235" customFormat="1" ht="21.75" customHeight="1" x14ac:dyDescent="0.2">
      <c r="A889" s="2241">
        <v>22020403</v>
      </c>
      <c r="B889" s="2242" t="s">
        <v>2552</v>
      </c>
      <c r="C889" s="2252">
        <f>2100000+1050000+2100000+1680000</f>
        <v>6930000</v>
      </c>
      <c r="D889" s="3305">
        <f>3180000+485000+1050000+840000</f>
        <v>5555000</v>
      </c>
      <c r="E889" s="3305">
        <f>2100000+1050000+2100000+1680000</f>
        <v>6930000</v>
      </c>
    </row>
    <row r="890" spans="1:5" s="2235" customFormat="1" ht="17.25" x14ac:dyDescent="0.2">
      <c r="A890" s="2241">
        <v>22020404</v>
      </c>
      <c r="B890" s="2242" t="s">
        <v>2553</v>
      </c>
      <c r="C890" s="2252">
        <f>26040000</f>
        <v>26040000</v>
      </c>
      <c r="D890" s="3303">
        <v>11759420</v>
      </c>
      <c r="E890" s="3305">
        <v>37200000</v>
      </c>
    </row>
    <row r="891" spans="1:5" s="2235" customFormat="1" ht="17.25" x14ac:dyDescent="0.2">
      <c r="A891" s="2241">
        <v>22020406</v>
      </c>
      <c r="B891" s="2293" t="s">
        <v>29</v>
      </c>
      <c r="C891" s="2250">
        <v>3500000</v>
      </c>
      <c r="D891" s="3303">
        <v>0</v>
      </c>
      <c r="E891" s="3303">
        <v>3500000</v>
      </c>
    </row>
    <row r="892" spans="1:5" s="2235" customFormat="1" ht="18" thickBot="1" x14ac:dyDescent="0.25">
      <c r="A892" s="2241">
        <v>22020414</v>
      </c>
      <c r="B892" s="2293" t="s">
        <v>1208</v>
      </c>
      <c r="C892" s="2250">
        <v>301831320</v>
      </c>
      <c r="D892" s="3303">
        <v>287200000</v>
      </c>
      <c r="E892" s="3303">
        <v>525600000</v>
      </c>
    </row>
    <row r="893" spans="1:5" s="2235" customFormat="1" ht="18" thickBot="1" x14ac:dyDescent="0.25">
      <c r="A893" s="2247">
        <v>22020500</v>
      </c>
      <c r="B893" s="2248" t="s">
        <v>68</v>
      </c>
      <c r="C893" s="2246">
        <f>SUM(C894:C895)</f>
        <v>84810000</v>
      </c>
      <c r="D893" s="2295">
        <f>SUM(D894:D895)</f>
        <v>0</v>
      </c>
      <c r="E893" s="2251">
        <f>SUM(E894:E895)</f>
        <v>84810000</v>
      </c>
    </row>
    <row r="894" spans="1:5" s="2235" customFormat="1" ht="17.25" x14ac:dyDescent="0.2">
      <c r="A894" s="2241">
        <v>22020501</v>
      </c>
      <c r="B894" s="2242" t="s">
        <v>30</v>
      </c>
      <c r="C894" s="2252">
        <f>16000000+1400000+47410000</f>
        <v>64810000</v>
      </c>
      <c r="D894" s="3303"/>
      <c r="E894" s="3305">
        <f>16000000+1400000+47410000</f>
        <v>64810000</v>
      </c>
    </row>
    <row r="895" spans="1:5" s="2235" customFormat="1" ht="18" thickBot="1" x14ac:dyDescent="0.25">
      <c r="A895" s="2241">
        <v>22020502</v>
      </c>
      <c r="B895" s="2242" t="s">
        <v>114</v>
      </c>
      <c r="C895" s="2243">
        <v>20000000</v>
      </c>
      <c r="D895" s="3304"/>
      <c r="E895" s="3304">
        <v>20000000</v>
      </c>
    </row>
    <row r="896" spans="1:5" s="3306" customFormat="1" ht="18" thickBot="1" x14ac:dyDescent="0.25">
      <c r="A896" s="2517">
        <v>22021000</v>
      </c>
      <c r="B896" s="2518" t="s">
        <v>73</v>
      </c>
      <c r="C896" s="2251">
        <f>SUM(C897:C901)</f>
        <v>1115516370</v>
      </c>
      <c r="D896" s="2251">
        <f>SUM(D897:D901)</f>
        <v>159293000</v>
      </c>
      <c r="E896" s="2246">
        <f>SUM(E897:E901)</f>
        <v>1445250000</v>
      </c>
    </row>
    <row r="897" spans="1:5" s="3306" customFormat="1" ht="17.25" x14ac:dyDescent="0.2">
      <c r="A897" s="2241">
        <v>22021001</v>
      </c>
      <c r="B897" s="2242" t="s">
        <v>41</v>
      </c>
      <c r="C897" s="2250">
        <v>70000</v>
      </c>
      <c r="D897" s="3303">
        <v>43000</v>
      </c>
      <c r="E897" s="3303">
        <v>1000000</v>
      </c>
    </row>
    <row r="898" spans="1:5" s="2235" customFormat="1" ht="17.25" x14ac:dyDescent="0.2">
      <c r="A898" s="2241">
        <v>22021002</v>
      </c>
      <c r="B898" s="2242" t="s">
        <v>1203</v>
      </c>
      <c r="C898" s="2243">
        <v>49000000</v>
      </c>
      <c r="D898" s="3304">
        <v>24840000</v>
      </c>
      <c r="E898" s="3304">
        <v>120000000</v>
      </c>
    </row>
    <row r="899" spans="1:5" s="2235" customFormat="1" ht="17.25" x14ac:dyDescent="0.2">
      <c r="A899" s="2241">
        <v>22021008</v>
      </c>
      <c r="B899" s="2242" t="s">
        <v>45</v>
      </c>
      <c r="C899" s="2250">
        <v>17500000</v>
      </c>
      <c r="D899" s="3303">
        <v>11660000</v>
      </c>
      <c r="E899" s="3303">
        <v>17500000</v>
      </c>
    </row>
    <row r="900" spans="1:5" s="2235" customFormat="1" ht="17.25" x14ac:dyDescent="0.2">
      <c r="A900" s="2241">
        <v>22021041</v>
      </c>
      <c r="B900" s="2242" t="s">
        <v>133</v>
      </c>
      <c r="C900" s="2250">
        <v>1048946370</v>
      </c>
      <c r="D900" s="3303">
        <v>122750000</v>
      </c>
      <c r="E900" s="3307">
        <v>0</v>
      </c>
    </row>
    <row r="901" spans="1:5" s="2235" customFormat="1" ht="18" thickBot="1" x14ac:dyDescent="0.25">
      <c r="A901" s="2241">
        <v>22021041</v>
      </c>
      <c r="B901" s="2242" t="s">
        <v>2642</v>
      </c>
      <c r="C901" s="2256"/>
      <c r="D901" s="3308"/>
      <c r="E901" s="3303">
        <v>1306750000</v>
      </c>
    </row>
    <row r="902" spans="1:5" s="2235" customFormat="1" ht="18" thickBot="1" x14ac:dyDescent="0.25">
      <c r="A902" s="2247">
        <v>22040100</v>
      </c>
      <c r="B902" s="2245" t="s">
        <v>3291</v>
      </c>
      <c r="C902" s="2251">
        <f>SUM(C903:C905)</f>
        <v>587000000</v>
      </c>
      <c r="D902" s="3309">
        <f>SUM(D903:D905)</f>
        <v>201655000</v>
      </c>
      <c r="E902" s="3310">
        <f>SUM(E903:E905)</f>
        <v>709000000</v>
      </c>
    </row>
    <row r="903" spans="1:5" s="2235" customFormat="1" ht="17.25" x14ac:dyDescent="0.2">
      <c r="A903" s="2241">
        <v>22040109</v>
      </c>
      <c r="B903" s="2242" t="s">
        <v>1204</v>
      </c>
      <c r="C903" s="2250">
        <v>280000000</v>
      </c>
      <c r="D903" s="3303">
        <v>126071000</v>
      </c>
      <c r="E903" s="3303">
        <v>400000000</v>
      </c>
    </row>
    <row r="904" spans="1:5" s="2235" customFormat="1" ht="17.25" x14ac:dyDescent="0.2">
      <c r="A904" s="2241">
        <v>22040105</v>
      </c>
      <c r="B904" s="2242" t="s">
        <v>1537</v>
      </c>
      <c r="C904" s="2252">
        <v>231000000</v>
      </c>
      <c r="D904" s="3305">
        <v>11584000</v>
      </c>
      <c r="E904" s="3305">
        <v>231000000</v>
      </c>
    </row>
    <row r="905" spans="1:5" s="2235" customFormat="1" ht="17.25" x14ac:dyDescent="0.2">
      <c r="A905" s="3311">
        <v>22040105</v>
      </c>
      <c r="B905" s="3312" t="s">
        <v>1538</v>
      </c>
      <c r="C905" s="2250">
        <v>76000000</v>
      </c>
      <c r="D905" s="3303">
        <v>64000000</v>
      </c>
      <c r="E905" s="3303">
        <v>78000000</v>
      </c>
    </row>
    <row r="906" spans="1:5" s="2235" customFormat="1" ht="18" thickBot="1" x14ac:dyDescent="0.25">
      <c r="A906" s="2241"/>
      <c r="B906" s="2245"/>
      <c r="C906" s="3169"/>
      <c r="D906" s="3313"/>
      <c r="E906" s="3313"/>
    </row>
    <row r="907" spans="1:5" s="2235" customFormat="1" ht="18" thickBot="1" x14ac:dyDescent="0.25">
      <c r="A907" s="3181"/>
      <c r="B907" s="3182" t="s">
        <v>1342</v>
      </c>
      <c r="C907" s="2251">
        <f>SUM(C873,C879,C883,C887,C893,C896,C902)</f>
        <v>2697557690</v>
      </c>
      <c r="D907" s="2251">
        <f>SUM(D873,D879,D883,D887,D893,D896,D902)</f>
        <v>1045985293.26</v>
      </c>
      <c r="E907" s="2246">
        <f>SUM(E873,E879,E883,E887,E893,E896,E902)</f>
        <v>3589720000</v>
      </c>
    </row>
    <row r="908" spans="1:5" s="2063" customFormat="1" x14ac:dyDescent="0.2">
      <c r="A908" s="2002"/>
      <c r="B908" s="2059"/>
      <c r="C908" s="2003"/>
      <c r="D908" s="2280"/>
      <c r="E908" s="2280"/>
    </row>
    <row r="909" spans="1:5" s="2063" customFormat="1" x14ac:dyDescent="0.2">
      <c r="A909" s="3477" t="s">
        <v>1855</v>
      </c>
      <c r="B909" s="3477"/>
      <c r="C909" s="3477"/>
      <c r="D909" s="3477"/>
      <c r="E909" s="3477"/>
    </row>
    <row r="910" spans="1:5" s="2063" customFormat="1" ht="21" thickBot="1" x14ac:dyDescent="0.25">
      <c r="A910" s="3477" t="s">
        <v>3333</v>
      </c>
      <c r="B910" s="3477"/>
      <c r="C910" s="3477"/>
      <c r="D910" s="3477"/>
      <c r="E910" s="3477"/>
    </row>
    <row r="911" spans="1:5" ht="81.75" thickBot="1" x14ac:dyDescent="0.35">
      <c r="A911" s="2004" t="s">
        <v>1014</v>
      </c>
      <c r="B911" s="2004" t="s">
        <v>282</v>
      </c>
      <c r="C911" s="173" t="s">
        <v>1174</v>
      </c>
      <c r="D911" s="173" t="s">
        <v>3069</v>
      </c>
      <c r="E911" s="173" t="s">
        <v>3096</v>
      </c>
    </row>
    <row r="912" spans="1:5" s="1997" customFormat="1" ht="21" thickBot="1" x14ac:dyDescent="0.25">
      <c r="A912" s="2035">
        <v>22060200</v>
      </c>
      <c r="B912" s="2281" t="s">
        <v>1276</v>
      </c>
      <c r="C912" s="2001">
        <f>SUM(C913:C918)</f>
        <v>6045000000</v>
      </c>
      <c r="D912" s="2001">
        <f t="shared" ref="D912:E912" si="12">SUM(D913:D918)</f>
        <v>3801556417.6199999</v>
      </c>
      <c r="E912" s="2001">
        <f t="shared" si="12"/>
        <v>13245000000</v>
      </c>
    </row>
    <row r="913" spans="1:5" s="1997" customFormat="1" ht="21" customHeight="1" x14ac:dyDescent="0.2">
      <c r="A913" s="1861">
        <v>22060201</v>
      </c>
      <c r="B913" s="189" t="s">
        <v>2645</v>
      </c>
      <c r="C913" s="382">
        <v>545000000</v>
      </c>
      <c r="D913" s="2282">
        <v>364659256.80000001</v>
      </c>
      <c r="E913" s="382">
        <v>545000000</v>
      </c>
    </row>
    <row r="914" spans="1:5" s="1997" customFormat="1" ht="34.5" customHeight="1" x14ac:dyDescent="0.2">
      <c r="A914" s="1861">
        <v>22060201</v>
      </c>
      <c r="B914" s="189" t="s">
        <v>2465</v>
      </c>
      <c r="C914" s="382">
        <v>1000000000</v>
      </c>
      <c r="D914" s="2282">
        <v>509676833.35000002</v>
      </c>
      <c r="E914" s="382">
        <v>1000000000</v>
      </c>
    </row>
    <row r="915" spans="1:5" s="1997" customFormat="1" x14ac:dyDescent="0.2">
      <c r="A915" s="1861">
        <v>22060201</v>
      </c>
      <c r="B915" s="189" t="s">
        <v>2466</v>
      </c>
      <c r="C915" s="382">
        <v>500000000</v>
      </c>
      <c r="D915" s="2282">
        <v>1221417457.0599999</v>
      </c>
      <c r="E915" s="382">
        <v>500000000</v>
      </c>
    </row>
    <row r="916" spans="1:5" s="1997" customFormat="1" x14ac:dyDescent="0.2">
      <c r="A916" s="1861">
        <v>22060201</v>
      </c>
      <c r="B916" s="189" t="s">
        <v>2467</v>
      </c>
      <c r="C916" s="382">
        <v>3500000000</v>
      </c>
      <c r="D916" s="2282">
        <v>1151082832.2</v>
      </c>
      <c r="E916" s="382">
        <v>3500000000</v>
      </c>
    </row>
    <row r="917" spans="1:5" s="1997" customFormat="1" x14ac:dyDescent="0.2">
      <c r="A917" s="1861">
        <v>22060201</v>
      </c>
      <c r="B917" s="189" t="s">
        <v>2468</v>
      </c>
      <c r="C917" s="382">
        <v>500000000</v>
      </c>
      <c r="D917" s="2282">
        <v>554720038.21000004</v>
      </c>
      <c r="E917" s="382">
        <v>500000000</v>
      </c>
    </row>
    <row r="918" spans="1:5" s="1997" customFormat="1" ht="21" thickBot="1" x14ac:dyDescent="0.25">
      <c r="A918" s="1861">
        <v>22060201</v>
      </c>
      <c r="B918" s="305" t="s">
        <v>2554</v>
      </c>
      <c r="C918" s="2283"/>
      <c r="D918" s="2284"/>
      <c r="E918" s="2283">
        <v>7200000000</v>
      </c>
    </row>
    <row r="919" spans="1:5" s="1997" customFormat="1" ht="21" thickBot="1" x14ac:dyDescent="0.25">
      <c r="A919" s="1861"/>
      <c r="B919" s="2030" t="s">
        <v>3335</v>
      </c>
      <c r="C919" s="2062">
        <f>SUM(C913:C918)</f>
        <v>6045000000</v>
      </c>
      <c r="D919" s="2062">
        <f>SUM(D913:D918)</f>
        <v>3801556417.6199999</v>
      </c>
      <c r="E919" s="2062">
        <f>SUM(E913:E918)</f>
        <v>13245000000</v>
      </c>
    </row>
    <row r="920" spans="1:5" s="2285" customFormat="1" x14ac:dyDescent="0.2">
      <c r="A920" s="2002"/>
      <c r="B920" s="2059"/>
      <c r="C920" s="2045"/>
      <c r="D920" s="2045"/>
      <c r="E920" s="2045"/>
    </row>
    <row r="921" spans="1:5" s="2063" customFormat="1" x14ac:dyDescent="0.2">
      <c r="A921" s="3477" t="s">
        <v>1855</v>
      </c>
      <c r="B921" s="3477"/>
      <c r="C921" s="3477"/>
      <c r="D921" s="3477"/>
      <c r="E921" s="3477"/>
    </row>
    <row r="922" spans="1:5" s="2063" customFormat="1" ht="21" thickBot="1" x14ac:dyDescent="0.25">
      <c r="A922" s="3477" t="s">
        <v>3409</v>
      </c>
      <c r="B922" s="3477"/>
      <c r="C922" s="3477"/>
      <c r="D922" s="3477"/>
      <c r="E922" s="3477"/>
    </row>
    <row r="923" spans="1:5" ht="81.75" thickBot="1" x14ac:dyDescent="0.35">
      <c r="A923" s="2004" t="s">
        <v>1014</v>
      </c>
      <c r="B923" s="2004" t="s">
        <v>282</v>
      </c>
      <c r="C923" s="173" t="s">
        <v>1174</v>
      </c>
      <c r="D923" s="173" t="s">
        <v>3069</v>
      </c>
      <c r="E923" s="173" t="s">
        <v>3096</v>
      </c>
    </row>
    <row r="924" spans="1:5" s="1997" customFormat="1" ht="21" thickBot="1" x14ac:dyDescent="0.25">
      <c r="A924" s="2035">
        <v>22070100</v>
      </c>
      <c r="B924" s="369" t="s">
        <v>4299</v>
      </c>
      <c r="C924" s="1994">
        <f>SUM(C925:C930)</f>
        <v>5362935145</v>
      </c>
      <c r="D924" s="1994">
        <f>SUM(D925:D930)</f>
        <v>765231521.10000002</v>
      </c>
      <c r="E924" s="1994">
        <f>SUM(E925:E930)</f>
        <v>7233805769</v>
      </c>
    </row>
    <row r="925" spans="1:5" ht="35.25" customHeight="1" x14ac:dyDescent="0.2">
      <c r="A925" s="1861">
        <v>22070102</v>
      </c>
      <c r="B925" s="151" t="s">
        <v>2516</v>
      </c>
      <c r="C925" s="152">
        <v>416313570</v>
      </c>
      <c r="D925" s="2119">
        <v>346927980</v>
      </c>
      <c r="E925" s="152">
        <v>416313570</v>
      </c>
    </row>
    <row r="926" spans="1:5" x14ac:dyDescent="0.2">
      <c r="A926" s="1861">
        <v>22070102</v>
      </c>
      <c r="B926" s="151" t="s">
        <v>3055</v>
      </c>
      <c r="C926" s="152">
        <v>1972719920</v>
      </c>
      <c r="D926" s="2119"/>
      <c r="E926" s="2119">
        <v>1972719920</v>
      </c>
    </row>
    <row r="927" spans="1:5" ht="40.5" x14ac:dyDescent="0.2">
      <c r="A927" s="1861">
        <v>22070102</v>
      </c>
      <c r="B927" s="191" t="s">
        <v>1539</v>
      </c>
      <c r="C927" s="152">
        <v>626529655</v>
      </c>
      <c r="D927" s="2119"/>
      <c r="E927" s="2119">
        <v>1722352279</v>
      </c>
    </row>
    <row r="928" spans="1:5" x14ac:dyDescent="0.2">
      <c r="A928" s="1861">
        <v>22070104</v>
      </c>
      <c r="B928" s="191" t="s">
        <v>3008</v>
      </c>
      <c r="C928" s="152"/>
      <c r="D928" s="2119"/>
      <c r="E928" s="2286">
        <v>0</v>
      </c>
    </row>
    <row r="929" spans="1:5" ht="40.5" x14ac:dyDescent="0.2">
      <c r="A929" s="1861">
        <v>22070102</v>
      </c>
      <c r="B929" s="151" t="s">
        <v>2517</v>
      </c>
      <c r="C929" s="152">
        <v>1173686000</v>
      </c>
      <c r="D929" s="2277">
        <f>72856268.8+73283289.6+57741757.9+63897165.4+18000000+56291825.3+76233234.1</f>
        <v>418303541.10000002</v>
      </c>
      <c r="E929" s="2119">
        <v>1561210000</v>
      </c>
    </row>
    <row r="930" spans="1:5" ht="21" thickBot="1" x14ac:dyDescent="0.25">
      <c r="A930" s="1861">
        <v>22070103</v>
      </c>
      <c r="B930" s="151" t="s">
        <v>393</v>
      </c>
      <c r="C930" s="1892">
        <v>1173686000</v>
      </c>
      <c r="D930" s="2119"/>
      <c r="E930" s="2119">
        <v>1561210000</v>
      </c>
    </row>
    <row r="931" spans="1:5" ht="21" thickBot="1" x14ac:dyDescent="0.25">
      <c r="A931" s="1861"/>
      <c r="B931" s="2030" t="s">
        <v>3334</v>
      </c>
      <c r="C931" s="1994">
        <f>SUM(C925:C930)</f>
        <v>5362935145</v>
      </c>
      <c r="D931" s="1994">
        <f>SUM(D924:D930)</f>
        <v>1530463042.1999998</v>
      </c>
      <c r="E931" s="1994">
        <f>SUM(E925:E930)</f>
        <v>7233805769</v>
      </c>
    </row>
    <row r="932" spans="1:5" s="2287" customFormat="1" ht="19.5" customHeight="1" x14ac:dyDescent="0.2">
      <c r="C932" s="2288"/>
      <c r="E932" s="2288"/>
    </row>
    <row r="933" spans="1:5" s="2287" customFormat="1" ht="19.5" customHeight="1" x14ac:dyDescent="0.2">
      <c r="C933" s="2288"/>
      <c r="E933" s="2289"/>
    </row>
    <row r="934" spans="1:5" x14ac:dyDescent="0.2">
      <c r="A934" s="3477" t="s">
        <v>1855</v>
      </c>
      <c r="B934" s="3477"/>
      <c r="C934" s="3477"/>
      <c r="D934" s="3477"/>
      <c r="E934" s="3477"/>
    </row>
    <row r="935" spans="1:5" x14ac:dyDescent="0.2">
      <c r="A935" s="3477" t="s">
        <v>80</v>
      </c>
      <c r="B935" s="3477"/>
      <c r="C935" s="3477"/>
      <c r="D935" s="3477"/>
      <c r="E935" s="3477"/>
    </row>
    <row r="936" spans="1:5" s="2063" customFormat="1" ht="21" thickBot="1" x14ac:dyDescent="0.25">
      <c r="A936" s="3477" t="s">
        <v>1343</v>
      </c>
      <c r="B936" s="3477"/>
      <c r="C936" s="3477"/>
      <c r="D936" s="3477"/>
      <c r="E936" s="3477"/>
    </row>
    <row r="937" spans="1:5" s="2048" customFormat="1" ht="57" thickBot="1" x14ac:dyDescent="0.35">
      <c r="A937" s="2290" t="s">
        <v>1014</v>
      </c>
      <c r="B937" s="2290" t="s">
        <v>282</v>
      </c>
      <c r="C937" s="2291" t="s">
        <v>1174</v>
      </c>
      <c r="D937" s="2291" t="s">
        <v>1145</v>
      </c>
      <c r="E937" s="2292" t="s">
        <v>3096</v>
      </c>
    </row>
    <row r="938" spans="1:5" s="2048" customFormat="1" ht="19.5" thickBot="1" x14ac:dyDescent="0.25">
      <c r="A938" s="2298">
        <v>22020100</v>
      </c>
      <c r="B938" s="2299" t="s">
        <v>64</v>
      </c>
      <c r="C938" s="2196">
        <f>SUM(C939:C941)</f>
        <v>2650554</v>
      </c>
      <c r="D938" s="2355">
        <f>SUM(D939:D941)</f>
        <v>1956362</v>
      </c>
      <c r="E938" s="2196">
        <f>SUM(E939:E941)</f>
        <v>8650554</v>
      </c>
    </row>
    <row r="939" spans="1:5" s="2048" customFormat="1" ht="18.75" x14ac:dyDescent="0.2">
      <c r="A939" s="2049">
        <v>22020101</v>
      </c>
      <c r="B939" s="2146" t="s">
        <v>9</v>
      </c>
      <c r="C939" s="2051">
        <v>1510610</v>
      </c>
      <c r="D939" s="2192">
        <v>1853070</v>
      </c>
      <c r="E939" s="2051">
        <v>7510610</v>
      </c>
    </row>
    <row r="940" spans="1:5" s="2048" customFormat="1" ht="18.75" x14ac:dyDescent="0.2">
      <c r="A940" s="2049">
        <v>22020102</v>
      </c>
      <c r="B940" s="2146" t="s">
        <v>10</v>
      </c>
      <c r="C940" s="2051">
        <v>1000000</v>
      </c>
      <c r="D940" s="2051"/>
      <c r="E940" s="2051">
        <v>1000000</v>
      </c>
    </row>
    <row r="941" spans="1:5" s="2048" customFormat="1" ht="19.5" thickBot="1" x14ac:dyDescent="0.25">
      <c r="A941" s="2049">
        <v>22020103</v>
      </c>
      <c r="B941" s="2050" t="s">
        <v>3314</v>
      </c>
      <c r="C941" s="2194">
        <v>139944</v>
      </c>
      <c r="D941" s="2193">
        <v>103292</v>
      </c>
      <c r="E941" s="2194">
        <v>139944</v>
      </c>
    </row>
    <row r="942" spans="1:5" s="2048" customFormat="1" ht="19.5" thickBot="1" x14ac:dyDescent="0.25">
      <c r="A942" s="2046">
        <v>22020300</v>
      </c>
      <c r="B942" s="2191" t="s">
        <v>66</v>
      </c>
      <c r="C942" s="2196">
        <f>SUM(C943:C944)</f>
        <v>373184</v>
      </c>
      <c r="D942" s="2355">
        <f>SUM(D943:D944)</f>
        <v>275442</v>
      </c>
      <c r="E942" s="2196">
        <f>SUM(E943:E944)</f>
        <v>373184</v>
      </c>
    </row>
    <row r="943" spans="1:5" s="2048" customFormat="1" ht="18.75" x14ac:dyDescent="0.2">
      <c r="A943" s="2049">
        <v>22020301</v>
      </c>
      <c r="B943" s="2146" t="s">
        <v>17</v>
      </c>
      <c r="C943" s="2051">
        <v>233240</v>
      </c>
      <c r="D943" s="2192">
        <v>172150</v>
      </c>
      <c r="E943" s="2051">
        <v>233240</v>
      </c>
    </row>
    <row r="944" spans="1:5" s="2048" customFormat="1" ht="19.5" thickBot="1" x14ac:dyDescent="0.25">
      <c r="A944" s="2049">
        <v>22020305</v>
      </c>
      <c r="B944" s="2146" t="s">
        <v>1211</v>
      </c>
      <c r="C944" s="2194">
        <v>139944</v>
      </c>
      <c r="D944" s="2193">
        <v>103292</v>
      </c>
      <c r="E944" s="2194">
        <v>139944</v>
      </c>
    </row>
    <row r="945" spans="1:5" s="2048" customFormat="1" ht="19.5" thickBot="1" x14ac:dyDescent="0.25">
      <c r="A945" s="2046">
        <v>22020400</v>
      </c>
      <c r="B945" s="2191" t="s">
        <v>67</v>
      </c>
      <c r="C945" s="2196">
        <f>SUM(C946:C948)</f>
        <v>2100304</v>
      </c>
      <c r="D945" s="2196">
        <f>SUM(D946:D948)</f>
        <v>1363516</v>
      </c>
      <c r="E945" s="2196">
        <f>SUM(E946:E950)</f>
        <v>8100304</v>
      </c>
    </row>
    <row r="946" spans="1:5" s="2048" customFormat="1" ht="18.75" x14ac:dyDescent="0.2">
      <c r="A946" s="2049">
        <v>22020401</v>
      </c>
      <c r="B946" s="2309" t="s">
        <v>79</v>
      </c>
      <c r="C946" s="2051">
        <v>793015</v>
      </c>
      <c r="D946" s="2192">
        <v>585325</v>
      </c>
      <c r="E946" s="2051">
        <v>793015</v>
      </c>
    </row>
    <row r="947" spans="1:5" s="2048" customFormat="1" ht="18.75" x14ac:dyDescent="0.2">
      <c r="A947" s="2049">
        <v>22020406</v>
      </c>
      <c r="B947" s="2050" t="s">
        <v>29</v>
      </c>
      <c r="C947" s="2051">
        <v>1200000</v>
      </c>
      <c r="D947" s="2192">
        <v>700000</v>
      </c>
      <c r="E947" s="2051">
        <v>1200000</v>
      </c>
    </row>
    <row r="948" spans="1:5" s="2048" customFormat="1" ht="18.75" x14ac:dyDescent="0.2">
      <c r="A948" s="2049">
        <v>22020406</v>
      </c>
      <c r="B948" s="2050" t="s">
        <v>1210</v>
      </c>
      <c r="C948" s="2194">
        <v>107289</v>
      </c>
      <c r="D948" s="2192">
        <v>78191</v>
      </c>
      <c r="E948" s="2194">
        <v>107289</v>
      </c>
    </row>
    <row r="949" spans="1:5" s="2048" customFormat="1" ht="18.75" x14ac:dyDescent="0.2">
      <c r="A949" s="3282">
        <v>22020406</v>
      </c>
      <c r="B949" s="3283" t="s">
        <v>1734</v>
      </c>
      <c r="C949" s="2306"/>
      <c r="D949" s="2306"/>
      <c r="E949" s="2192">
        <v>5000000</v>
      </c>
    </row>
    <row r="950" spans="1:5" s="2048" customFormat="1" ht="19.5" thickBot="1" x14ac:dyDescent="0.25">
      <c r="A950" s="3282">
        <v>22020406</v>
      </c>
      <c r="B950" s="3283" t="s">
        <v>1735</v>
      </c>
      <c r="C950" s="2306"/>
      <c r="D950" s="2306"/>
      <c r="E950" s="2192">
        <v>1000000</v>
      </c>
    </row>
    <row r="951" spans="1:5" s="2048" customFormat="1" ht="19.5" thickBot="1" x14ac:dyDescent="0.25">
      <c r="A951" s="2046">
        <v>22020500</v>
      </c>
      <c r="B951" s="2191" t="s">
        <v>68</v>
      </c>
      <c r="C951" s="2196">
        <f>SUM(C952:C952)</f>
        <v>74970</v>
      </c>
      <c r="D951" s="2355">
        <f>SUM(D952:D952)</f>
        <v>0</v>
      </c>
      <c r="E951" s="2196">
        <f>SUM(E952:E952)</f>
        <v>74970</v>
      </c>
    </row>
    <row r="952" spans="1:5" s="2048" customFormat="1" ht="19.5" thickBot="1" x14ac:dyDescent="0.25">
      <c r="A952" s="2049">
        <v>22020501</v>
      </c>
      <c r="B952" s="2146" t="s">
        <v>30</v>
      </c>
      <c r="C952" s="2051">
        <v>74970</v>
      </c>
      <c r="D952" s="2051">
        <v>0</v>
      </c>
      <c r="E952" s="2051">
        <v>74970</v>
      </c>
    </row>
    <row r="953" spans="1:5" s="2048" customFormat="1" ht="19.5" thickBot="1" x14ac:dyDescent="0.25">
      <c r="A953" s="2046">
        <v>22021000</v>
      </c>
      <c r="B953" s="2191" t="s">
        <v>73</v>
      </c>
      <c r="C953" s="2196">
        <f>SUM(C954:C957)</f>
        <v>6126645</v>
      </c>
      <c r="D953" s="2355">
        <f>SUM(D954:D957)</f>
        <v>34427</v>
      </c>
      <c r="E953" s="2196">
        <f>SUM(E954:E957)</f>
        <v>20286645</v>
      </c>
    </row>
    <row r="954" spans="1:5" s="2048" customFormat="1" ht="18.75" x14ac:dyDescent="0.2">
      <c r="A954" s="2049">
        <v>22021001</v>
      </c>
      <c r="B954" s="2146" t="s">
        <v>41</v>
      </c>
      <c r="C954" s="2051">
        <v>46645</v>
      </c>
      <c r="D954" s="2192">
        <v>34427</v>
      </c>
      <c r="E954" s="2051">
        <v>46645</v>
      </c>
    </row>
    <row r="955" spans="1:5" s="2048" customFormat="1" ht="37.5" x14ac:dyDescent="0.2">
      <c r="A955" s="2049">
        <v>22021002</v>
      </c>
      <c r="B955" s="3283" t="s">
        <v>3315</v>
      </c>
      <c r="C955" s="2194">
        <v>2240000</v>
      </c>
      <c r="D955" s="2193"/>
      <c r="E955" s="2194">
        <v>3240000</v>
      </c>
    </row>
    <row r="956" spans="1:5" s="2048" customFormat="1" ht="18.75" x14ac:dyDescent="0.2">
      <c r="A956" s="2049">
        <v>22021021</v>
      </c>
      <c r="B956" s="2146" t="s">
        <v>78</v>
      </c>
      <c r="C956" s="2051">
        <v>3140000</v>
      </c>
      <c r="D956" s="2051"/>
      <c r="E956" s="2051">
        <v>16000000</v>
      </c>
    </row>
    <row r="957" spans="1:5" s="2048" customFormat="1" ht="19.5" thickBot="1" x14ac:dyDescent="0.25">
      <c r="A957" s="2049">
        <v>22021008</v>
      </c>
      <c r="B957" s="2684" t="s">
        <v>1209</v>
      </c>
      <c r="C957" s="2051">
        <v>700000</v>
      </c>
      <c r="D957" s="2051"/>
      <c r="E957" s="2051">
        <v>1000000</v>
      </c>
    </row>
    <row r="958" spans="1:5" s="2048" customFormat="1" ht="19.5" thickBot="1" x14ac:dyDescent="0.25">
      <c r="A958" s="2046">
        <v>22020400</v>
      </c>
      <c r="B958" s="2191" t="s">
        <v>1150</v>
      </c>
      <c r="C958" s="3301">
        <f>SUM(C959:C960)</f>
        <v>15399440</v>
      </c>
      <c r="D958" s="2355">
        <f>SUM(D959:D960)</f>
        <v>5474920</v>
      </c>
      <c r="E958" s="2196">
        <f>SUM(E959:E960)</f>
        <v>15399440</v>
      </c>
    </row>
    <row r="959" spans="1:5" s="2048" customFormat="1" ht="18.75" x14ac:dyDescent="0.2">
      <c r="A959" s="2049">
        <v>22020402</v>
      </c>
      <c r="B959" s="2146" t="s">
        <v>1107</v>
      </c>
      <c r="C959" s="2051">
        <v>1399440</v>
      </c>
      <c r="D959" s="2051">
        <v>1032920</v>
      </c>
      <c r="E959" s="2051">
        <v>1399440</v>
      </c>
    </row>
    <row r="960" spans="1:5" s="2048" customFormat="1" ht="18.75" x14ac:dyDescent="0.2">
      <c r="A960" s="2049">
        <v>22020402</v>
      </c>
      <c r="B960" s="2309" t="s">
        <v>2965</v>
      </c>
      <c r="C960" s="2051">
        <v>14000000</v>
      </c>
      <c r="D960" s="2051">
        <v>4442000</v>
      </c>
      <c r="E960" s="2444">
        <f>14000000</f>
        <v>14000000</v>
      </c>
    </row>
    <row r="961" spans="1:5" s="2048" customFormat="1" ht="19.5" thickBot="1" x14ac:dyDescent="0.35">
      <c r="A961" s="3314"/>
      <c r="B961" s="2191"/>
      <c r="C961" s="3226"/>
      <c r="D961" s="3226"/>
      <c r="E961" s="3226"/>
    </row>
    <row r="962" spans="1:5" ht="21" thickBot="1" x14ac:dyDescent="0.25">
      <c r="A962" s="2177"/>
      <c r="B962" s="2187" t="s">
        <v>1344</v>
      </c>
      <c r="C962" s="2001">
        <f>SUM(C938,C942,C945,C951,C953,C958)</f>
        <v>26725097</v>
      </c>
      <c r="D962" s="2018">
        <f>SUM(D938,D942,D945,D951,D953,D958)</f>
        <v>9104667</v>
      </c>
      <c r="E962" s="2062">
        <f>SUM(E938,E942,E945,E951,E953,E958)</f>
        <v>52885097</v>
      </c>
    </row>
    <row r="963" spans="1:5" x14ac:dyDescent="0.2">
      <c r="A963" s="3477"/>
      <c r="B963" s="3477"/>
      <c r="C963" s="3477"/>
      <c r="D963" s="3477"/>
      <c r="E963" s="3477"/>
    </row>
    <row r="964" spans="1:5" x14ac:dyDescent="0.2">
      <c r="A964" s="3477" t="s">
        <v>1856</v>
      </c>
      <c r="B964" s="3477"/>
      <c r="C964" s="3477"/>
      <c r="D964" s="3477"/>
      <c r="E964" s="3477"/>
    </row>
    <row r="965" spans="1:5" ht="21" thickBot="1" x14ac:dyDescent="0.25">
      <c r="A965" s="3476" t="s">
        <v>1108</v>
      </c>
      <c r="B965" s="3476"/>
      <c r="C965" s="3476"/>
      <c r="D965" s="3476"/>
      <c r="E965" s="3476"/>
    </row>
    <row r="966" spans="1:5" ht="81.75" thickBot="1" x14ac:dyDescent="0.35">
      <c r="A966" s="2004" t="s">
        <v>1014</v>
      </c>
      <c r="B966" s="2004" t="s">
        <v>282</v>
      </c>
      <c r="C966" s="173" t="s">
        <v>1174</v>
      </c>
      <c r="D966" s="173" t="s">
        <v>1145</v>
      </c>
      <c r="E966" s="173" t="s">
        <v>3096</v>
      </c>
    </row>
    <row r="967" spans="1:5" ht="21" thickBot="1" x14ac:dyDescent="0.25">
      <c r="A967" s="2296">
        <v>22020100</v>
      </c>
      <c r="B967" s="2107" t="s">
        <v>64</v>
      </c>
      <c r="C967" s="2012">
        <f>SUM(C968:C969)</f>
        <v>3000000</v>
      </c>
      <c r="D967" s="2011">
        <f>SUM(D968:D969)</f>
        <v>1107000</v>
      </c>
      <c r="E967" s="2012">
        <f>SUM(E968:E969)</f>
        <v>3010000</v>
      </c>
    </row>
    <row r="968" spans="1:5" x14ac:dyDescent="0.2">
      <c r="A968" s="1861">
        <v>22020101</v>
      </c>
      <c r="B968" s="151" t="s">
        <v>3316</v>
      </c>
      <c r="C968" s="1892">
        <v>1260000</v>
      </c>
      <c r="D968" s="2100">
        <v>297000</v>
      </c>
      <c r="E968" s="1892">
        <v>1270000</v>
      </c>
    </row>
    <row r="969" spans="1:5" ht="21" thickBot="1" x14ac:dyDescent="0.25">
      <c r="A969" s="1861">
        <v>22020102</v>
      </c>
      <c r="B969" s="151" t="s">
        <v>10</v>
      </c>
      <c r="C969" s="152">
        <v>1740000</v>
      </c>
      <c r="D969" s="2099">
        <v>810000</v>
      </c>
      <c r="E969" s="152">
        <v>1740000</v>
      </c>
    </row>
    <row r="970" spans="1:5" ht="21" thickBot="1" x14ac:dyDescent="0.25">
      <c r="A970" s="1993">
        <v>22020200</v>
      </c>
      <c r="B970" s="2010" t="s">
        <v>65</v>
      </c>
      <c r="C970" s="2012">
        <f>SUM(C971:C971)</f>
        <v>700000</v>
      </c>
      <c r="D970" s="2011">
        <f>SUM(D971:D971)</f>
        <v>270000</v>
      </c>
      <c r="E970" s="2012">
        <f>SUM(E971:E971)</f>
        <v>700000</v>
      </c>
    </row>
    <row r="971" spans="1:5" ht="21" thickBot="1" x14ac:dyDescent="0.25">
      <c r="A971" s="1861">
        <v>22020201</v>
      </c>
      <c r="B971" s="151" t="s">
        <v>13</v>
      </c>
      <c r="C971" s="1892">
        <v>700000</v>
      </c>
      <c r="D971" s="2100">
        <v>270000</v>
      </c>
      <c r="E971" s="1892">
        <v>700000</v>
      </c>
    </row>
    <row r="972" spans="1:5" ht="21" thickBot="1" x14ac:dyDescent="0.25">
      <c r="A972" s="1993">
        <v>22020300</v>
      </c>
      <c r="B972" s="2010" t="s">
        <v>66</v>
      </c>
      <c r="C972" s="2012">
        <f>SUM(C973:C973)</f>
        <v>1050000</v>
      </c>
      <c r="D972" s="2011">
        <f>SUM(D973:D973)</f>
        <v>405000</v>
      </c>
      <c r="E972" s="2012">
        <f>SUM(E973:E973)</f>
        <v>1050000</v>
      </c>
    </row>
    <row r="973" spans="1:5" ht="21" thickBot="1" x14ac:dyDescent="0.25">
      <c r="A973" s="1861">
        <v>22020301</v>
      </c>
      <c r="B973" s="151" t="s">
        <v>17</v>
      </c>
      <c r="C973" s="152">
        <v>1050000</v>
      </c>
      <c r="D973" s="2099">
        <v>405000</v>
      </c>
      <c r="E973" s="152">
        <v>1050000</v>
      </c>
    </row>
    <row r="974" spans="1:5" ht="21" thickBot="1" x14ac:dyDescent="0.25">
      <c r="A974" s="2296">
        <v>22020400</v>
      </c>
      <c r="B974" s="2107" t="s">
        <v>67</v>
      </c>
      <c r="C974" s="2012">
        <f>SUM(C975:C976)</f>
        <v>2460000</v>
      </c>
      <c r="D974" s="2011">
        <f>SUM(D975:D976)</f>
        <v>486000</v>
      </c>
      <c r="E974" s="2012">
        <f>SUM(E975:E976)</f>
        <v>2460000</v>
      </c>
    </row>
    <row r="975" spans="1:5" x14ac:dyDescent="0.2">
      <c r="A975" s="1861">
        <v>22020401</v>
      </c>
      <c r="B975" s="2024" t="s">
        <v>79</v>
      </c>
      <c r="C975" s="152">
        <v>1260000</v>
      </c>
      <c r="D975" s="2099">
        <v>486000</v>
      </c>
      <c r="E975" s="152">
        <v>1260000</v>
      </c>
    </row>
    <row r="976" spans="1:5" ht="21" thickBot="1" x14ac:dyDescent="0.25">
      <c r="A976" s="1861">
        <v>22020406</v>
      </c>
      <c r="B976" s="151" t="s">
        <v>29</v>
      </c>
      <c r="C976" s="152">
        <v>1200000</v>
      </c>
      <c r="D976" s="152"/>
      <c r="E976" s="152">
        <v>1200000</v>
      </c>
    </row>
    <row r="977" spans="1:5" ht="21" thickBot="1" x14ac:dyDescent="0.25">
      <c r="A977" s="1993">
        <v>22021000</v>
      </c>
      <c r="B977" s="2010" t="s">
        <v>73</v>
      </c>
      <c r="C977" s="2012">
        <f>SUM(C978:C978)</f>
        <v>525000</v>
      </c>
      <c r="D977" s="2011">
        <f>SUM(D978:D978)</f>
        <v>202500</v>
      </c>
      <c r="E977" s="2012">
        <f>SUM(E978:E978)</f>
        <v>525000</v>
      </c>
    </row>
    <row r="978" spans="1:5" x14ac:dyDescent="0.2">
      <c r="A978" s="1861">
        <v>22021001</v>
      </c>
      <c r="B978" s="151" t="s">
        <v>41</v>
      </c>
      <c r="C978" s="152">
        <v>525000</v>
      </c>
      <c r="D978" s="2099">
        <v>202500</v>
      </c>
      <c r="E978" s="152">
        <v>525000</v>
      </c>
    </row>
    <row r="979" spans="1:5" ht="21" thickBot="1" x14ac:dyDescent="0.25">
      <c r="A979" s="1861"/>
      <c r="B979" s="2297"/>
      <c r="C979" s="3133"/>
      <c r="D979" s="3133"/>
      <c r="E979" s="3133"/>
    </row>
    <row r="980" spans="1:5" ht="21" thickBot="1" x14ac:dyDescent="0.25">
      <c r="A980" s="2162"/>
      <c r="B980" s="2187" t="s">
        <v>1345</v>
      </c>
      <c r="C980" s="2018">
        <f>SUM(C967,C970,C972,C974,C977)</f>
        <v>7735000</v>
      </c>
      <c r="D980" s="2062">
        <f>SUM(D967,D970,D972,D974,D977)</f>
        <v>2470500</v>
      </c>
      <c r="E980" s="2062">
        <f>SUM(E967,E970,E972,E974,E977)</f>
        <v>7745000</v>
      </c>
    </row>
    <row r="981" spans="1:5" x14ac:dyDescent="0.2">
      <c r="A981" s="2043"/>
      <c r="B981" s="2044"/>
      <c r="C981" s="2003"/>
      <c r="D981" s="2003"/>
      <c r="E981" s="2003"/>
    </row>
    <row r="982" spans="1:5" x14ac:dyDescent="0.2">
      <c r="A982" s="2043"/>
      <c r="B982" s="2044"/>
      <c r="C982" s="2003"/>
      <c r="D982" s="2003"/>
      <c r="E982" s="2003"/>
    </row>
    <row r="983" spans="1:5" x14ac:dyDescent="0.2">
      <c r="A983" s="3477" t="s">
        <v>1855</v>
      </c>
      <c r="B983" s="3477"/>
      <c r="C983" s="3477"/>
      <c r="D983" s="3477"/>
      <c r="E983" s="3477"/>
    </row>
    <row r="984" spans="1:5" ht="21" thickBot="1" x14ac:dyDescent="0.25">
      <c r="A984" s="3476" t="s">
        <v>1215</v>
      </c>
      <c r="B984" s="3476"/>
      <c r="C984" s="3476"/>
      <c r="D984" s="3476"/>
      <c r="E984" s="3476"/>
    </row>
    <row r="985" spans="1:5" ht="81.75" thickBot="1" x14ac:dyDescent="0.35">
      <c r="A985" s="2004" t="s">
        <v>1014</v>
      </c>
      <c r="B985" s="2004" t="s">
        <v>282</v>
      </c>
      <c r="C985" s="173" t="s">
        <v>1174</v>
      </c>
      <c r="D985" s="173" t="s">
        <v>1145</v>
      </c>
      <c r="E985" s="173" t="s">
        <v>3096</v>
      </c>
    </row>
    <row r="986" spans="1:5" s="2112" customFormat="1" ht="19.5" thickBot="1" x14ac:dyDescent="0.25">
      <c r="A986" s="2298">
        <v>22020100</v>
      </c>
      <c r="B986" s="2299" t="s">
        <v>64</v>
      </c>
      <c r="C986" s="2302">
        <f>SUM(C987:C988)</f>
        <v>1560800</v>
      </c>
      <c r="D986" s="2303">
        <f>SUM(D987:D988)</f>
        <v>682000</v>
      </c>
      <c r="E986" s="2304">
        <f>SUM(E987:E988)</f>
        <v>8744000</v>
      </c>
    </row>
    <row r="987" spans="1:5" s="2112" customFormat="1" ht="18.75" x14ac:dyDescent="0.2">
      <c r="A987" s="2049">
        <v>22020101</v>
      </c>
      <c r="B987" s="2146" t="s">
        <v>9</v>
      </c>
      <c r="C987" s="3174">
        <v>636800</v>
      </c>
      <c r="D987" s="2301"/>
      <c r="E987" s="2301">
        <v>7424000</v>
      </c>
    </row>
    <row r="988" spans="1:5" s="2112" customFormat="1" ht="19.5" thickBot="1" x14ac:dyDescent="0.25">
      <c r="A988" s="2049">
        <v>22020102</v>
      </c>
      <c r="B988" s="2146" t="s">
        <v>10</v>
      </c>
      <c r="C988" s="3174">
        <v>924000</v>
      </c>
      <c r="D988" s="2301">
        <v>682000</v>
      </c>
      <c r="E988" s="2301">
        <v>1320000</v>
      </c>
    </row>
    <row r="989" spans="1:5" s="2112" customFormat="1" ht="19.5" thickBot="1" x14ac:dyDescent="0.25">
      <c r="A989" s="2046">
        <v>22020300</v>
      </c>
      <c r="B989" s="2191" t="s">
        <v>66</v>
      </c>
      <c r="C989" s="3175">
        <f>SUM(C990:C990)</f>
        <v>884800</v>
      </c>
      <c r="D989" s="2303">
        <f>SUM(D990:D990)</f>
        <v>653063</v>
      </c>
      <c r="E989" s="2304">
        <f>SUM(E990:E990)</f>
        <v>1264000</v>
      </c>
    </row>
    <row r="990" spans="1:5" s="2112" customFormat="1" ht="19.5" thickBot="1" x14ac:dyDescent="0.25">
      <c r="A990" s="2049">
        <v>22020301</v>
      </c>
      <c r="B990" s="2146" t="s">
        <v>17</v>
      </c>
      <c r="C990" s="3176">
        <v>884800</v>
      </c>
      <c r="D990" s="2306">
        <v>653063</v>
      </c>
      <c r="E990" s="2306">
        <v>1264000</v>
      </c>
    </row>
    <row r="991" spans="1:5" s="2112" customFormat="1" ht="19.5" thickBot="1" x14ac:dyDescent="0.25">
      <c r="A991" s="2046">
        <v>22020400</v>
      </c>
      <c r="B991" s="2191" t="s">
        <v>67</v>
      </c>
      <c r="C991" s="3175">
        <f>SUM(C992:C993)</f>
        <v>1981200</v>
      </c>
      <c r="D991" s="2302">
        <f>SUM(D992:D993)</f>
        <v>1276600</v>
      </c>
      <c r="E991" s="2302">
        <f>SUM(E992:E993)</f>
        <v>6316000</v>
      </c>
    </row>
    <row r="992" spans="1:5" s="2112" customFormat="1" ht="18.75" x14ac:dyDescent="0.2">
      <c r="A992" s="2049">
        <v>22020401</v>
      </c>
      <c r="B992" s="2146" t="s">
        <v>79</v>
      </c>
      <c r="C992" s="3176">
        <v>781200</v>
      </c>
      <c r="D992" s="2306">
        <v>576600</v>
      </c>
      <c r="E992" s="2306">
        <v>5116000</v>
      </c>
    </row>
    <row r="993" spans="1:5" s="2112" customFormat="1" ht="19.5" thickBot="1" x14ac:dyDescent="0.25">
      <c r="A993" s="2049">
        <v>22020406</v>
      </c>
      <c r="B993" s="2146" t="s">
        <v>29</v>
      </c>
      <c r="C993" s="3176">
        <v>1200000</v>
      </c>
      <c r="D993" s="2306">
        <v>700000</v>
      </c>
      <c r="E993" s="2306">
        <v>1200000</v>
      </c>
    </row>
    <row r="994" spans="1:5" s="2112" customFormat="1" ht="19.5" thickBot="1" x14ac:dyDescent="0.25">
      <c r="A994" s="2046">
        <v>22021000</v>
      </c>
      <c r="B994" s="2191" t="s">
        <v>73</v>
      </c>
      <c r="C994" s="3175">
        <f>SUM(C995:C997)</f>
        <v>18420332</v>
      </c>
      <c r="D994" s="2302">
        <f>SUM(D995:D997)</f>
        <v>679296</v>
      </c>
      <c r="E994" s="2302">
        <f>SUM(E995:E997)</f>
        <v>26314760</v>
      </c>
    </row>
    <row r="995" spans="1:5" s="2112" customFormat="1" ht="18.75" x14ac:dyDescent="0.2">
      <c r="A995" s="2049">
        <v>22021001</v>
      </c>
      <c r="B995" s="2146" t="s">
        <v>41</v>
      </c>
      <c r="C995" s="3176">
        <v>80332</v>
      </c>
      <c r="D995" s="2306">
        <v>59296</v>
      </c>
      <c r="E995" s="2306">
        <v>114760</v>
      </c>
    </row>
    <row r="996" spans="1:5" s="2112" customFormat="1" ht="18.75" x14ac:dyDescent="0.2">
      <c r="A996" s="2049">
        <v>22021002</v>
      </c>
      <c r="B996" s="2146" t="s">
        <v>3317</v>
      </c>
      <c r="C996" s="3176">
        <v>1540000</v>
      </c>
      <c r="D996" s="2306">
        <v>620000</v>
      </c>
      <c r="E996" s="2306">
        <v>2200000</v>
      </c>
    </row>
    <row r="997" spans="1:5" s="2112" customFormat="1" ht="18.75" x14ac:dyDescent="0.2">
      <c r="A997" s="2049">
        <v>22021041</v>
      </c>
      <c r="B997" s="2146" t="s">
        <v>1784</v>
      </c>
      <c r="C997" s="2306">
        <v>16800000</v>
      </c>
      <c r="D997" s="2306"/>
      <c r="E997" s="2306">
        <v>24000000</v>
      </c>
    </row>
    <row r="998" spans="1:5" s="2112" customFormat="1" ht="19.5" thickBot="1" x14ac:dyDescent="0.25">
      <c r="A998" s="2300"/>
      <c r="B998" s="3177"/>
      <c r="C998" s="2308"/>
      <c r="D998" s="2308"/>
      <c r="E998" s="2308"/>
    </row>
    <row r="999" spans="1:5" ht="21" thickBot="1" x14ac:dyDescent="0.25">
      <c r="A999" s="2177"/>
      <c r="B999" s="2105" t="s">
        <v>1352</v>
      </c>
      <c r="C999" s="2062">
        <f>SUM(C986,C989,C991,C994)</f>
        <v>22847132</v>
      </c>
      <c r="D999" s="2018">
        <f>SUM(D986,D989,D991,D994)</f>
        <v>3290959</v>
      </c>
      <c r="E999" s="2018">
        <f>SUM(E986,E989,E991,E994)</f>
        <v>42638760</v>
      </c>
    </row>
    <row r="1000" spans="1:5" x14ac:dyDescent="0.2">
      <c r="A1000" s="2043"/>
      <c r="B1000" s="2044"/>
      <c r="C1000" s="2045"/>
      <c r="D1000" s="2045"/>
      <c r="E1000" s="2045"/>
    </row>
    <row r="1001" spans="1:5" x14ac:dyDescent="0.2">
      <c r="A1001" s="3477" t="s">
        <v>1855</v>
      </c>
      <c r="B1001" s="3477"/>
      <c r="C1001" s="3477"/>
      <c r="D1001" s="3477"/>
      <c r="E1001" s="3477"/>
    </row>
    <row r="1002" spans="1:5" ht="21" thickBot="1" x14ac:dyDescent="0.25">
      <c r="A1002" s="3476" t="s">
        <v>1571</v>
      </c>
      <c r="B1002" s="3476"/>
      <c r="C1002" s="3476"/>
      <c r="D1002" s="3476"/>
      <c r="E1002" s="3476"/>
    </row>
    <row r="1003" spans="1:5" ht="81.75" thickBot="1" x14ac:dyDescent="0.35">
      <c r="A1003" s="2004" t="s">
        <v>1014</v>
      </c>
      <c r="B1003" s="2004" t="s">
        <v>282</v>
      </c>
      <c r="C1003" s="173" t="s">
        <v>1174</v>
      </c>
      <c r="D1003" s="173" t="s">
        <v>1145</v>
      </c>
      <c r="E1003" s="173" t="s">
        <v>3096</v>
      </c>
    </row>
    <row r="1004" spans="1:5" s="2112" customFormat="1" ht="19.5" thickBot="1" x14ac:dyDescent="0.25">
      <c r="A1004" s="2309"/>
      <c r="B1004" s="2310"/>
      <c r="C1004" s="2192"/>
      <c r="D1004" s="2192"/>
      <c r="E1004" s="2192"/>
    </row>
    <row r="1005" spans="1:5" s="2112" customFormat="1" ht="19.5" thickBot="1" x14ac:dyDescent="0.25">
      <c r="A1005" s="2046">
        <v>22020100</v>
      </c>
      <c r="B1005" s="2191" t="s">
        <v>64</v>
      </c>
      <c r="C1005" s="2195">
        <f>SUM(C1006)</f>
        <v>853733.5</v>
      </c>
      <c r="D1005" s="2195">
        <f>SUM(D1006)</f>
        <v>502489</v>
      </c>
      <c r="E1005" s="2195">
        <f>SUM(E1006)</f>
        <v>2364924</v>
      </c>
    </row>
    <row r="1006" spans="1:5" s="2112" customFormat="1" ht="19.5" thickBot="1" x14ac:dyDescent="0.25">
      <c r="A1006" s="2049">
        <v>22020101</v>
      </c>
      <c r="B1006" s="2311" t="s">
        <v>1786</v>
      </c>
      <c r="C1006" s="2192">
        <v>853733.5</v>
      </c>
      <c r="D1006" s="2192">
        <v>502489</v>
      </c>
      <c r="E1006" s="2192">
        <v>2364924</v>
      </c>
    </row>
    <row r="1007" spans="1:5" s="2112" customFormat="1" ht="19.5" thickBot="1" x14ac:dyDescent="0.25">
      <c r="A1007" s="2046">
        <v>22020400</v>
      </c>
      <c r="B1007" s="2312" t="s">
        <v>67</v>
      </c>
      <c r="C1007" s="2195">
        <f>SUM(C1008:C1009)</f>
        <v>22000000</v>
      </c>
      <c r="D1007" s="2195">
        <f>SUM(D1008:D1009)</f>
        <v>369700</v>
      </c>
      <c r="E1007" s="2195">
        <f>SUM(E1008:E1009)</f>
        <v>106500000</v>
      </c>
    </row>
    <row r="1008" spans="1:5" s="2112" customFormat="1" ht="18.75" x14ac:dyDescent="0.2">
      <c r="A1008" s="2300">
        <v>22020401</v>
      </c>
      <c r="B1008" s="2146" t="s">
        <v>79</v>
      </c>
      <c r="C1008" s="2192">
        <v>1000000</v>
      </c>
      <c r="D1008" s="2192">
        <v>369700</v>
      </c>
      <c r="E1008" s="2192">
        <v>1000000</v>
      </c>
    </row>
    <row r="1009" spans="1:5" s="2112" customFormat="1" ht="19.5" thickBot="1" x14ac:dyDescent="0.25">
      <c r="A1009" s="2049">
        <v>22021406</v>
      </c>
      <c r="B1009" s="2311" t="s">
        <v>3297</v>
      </c>
      <c r="C1009" s="2313">
        <v>21000000</v>
      </c>
      <c r="D1009" s="2314"/>
      <c r="E1009" s="2313">
        <v>105500000</v>
      </c>
    </row>
    <row r="1010" spans="1:5" s="2112" customFormat="1" ht="19.5" thickBot="1" x14ac:dyDescent="0.25">
      <c r="A1010" s="2046">
        <v>22021000</v>
      </c>
      <c r="B1010" s="2312" t="s">
        <v>73</v>
      </c>
      <c r="C1010" s="2195">
        <f>SUM(C1011:C1012)</f>
        <v>3202266</v>
      </c>
      <c r="D1010" s="2195">
        <f>SUM(D1011:D1012)</f>
        <v>1097000</v>
      </c>
      <c r="E1010" s="2195">
        <f>SUM(E1011:E1012)</f>
        <v>3577136</v>
      </c>
    </row>
    <row r="1011" spans="1:5" s="2112" customFormat="1" ht="18.75" x14ac:dyDescent="0.2">
      <c r="A1011" s="2049">
        <v>22020102</v>
      </c>
      <c r="B1011" s="2311" t="s">
        <v>1492</v>
      </c>
      <c r="C1011" s="2193">
        <v>2200000</v>
      </c>
      <c r="D1011" s="2193">
        <v>520000</v>
      </c>
      <c r="E1011" s="2193">
        <v>2200000</v>
      </c>
    </row>
    <row r="1012" spans="1:5" s="2112" customFormat="1" ht="18.75" x14ac:dyDescent="0.2">
      <c r="A1012" s="2049">
        <v>22021003</v>
      </c>
      <c r="B1012" s="2311" t="s">
        <v>42</v>
      </c>
      <c r="C1012" s="2197">
        <v>1002266</v>
      </c>
      <c r="D1012" s="2197">
        <v>577000</v>
      </c>
      <c r="E1012" s="2197">
        <v>1377136</v>
      </c>
    </row>
    <row r="1013" spans="1:5" ht="21" thickBot="1" x14ac:dyDescent="0.25">
      <c r="A1013" s="2039"/>
      <c r="B1013" s="2040"/>
      <c r="C1013" s="2095"/>
      <c r="D1013" s="2095"/>
      <c r="E1013" s="2095"/>
    </row>
    <row r="1014" spans="1:5" ht="21" thickBot="1" x14ac:dyDescent="0.25">
      <c r="A1014" s="2177"/>
      <c r="B1014" s="2105" t="s">
        <v>1572</v>
      </c>
      <c r="C1014" s="2062">
        <f>SUM(C1005,C1007,C1010)</f>
        <v>26055999.5</v>
      </c>
      <c r="D1014" s="2018">
        <f>SUM(D1005,D1007,D1010)</f>
        <v>1969189</v>
      </c>
      <c r="E1014" s="2018">
        <f>SUM(E1005,E1007,E1010)</f>
        <v>112442060</v>
      </c>
    </row>
    <row r="1015" spans="1:5" x14ac:dyDescent="0.2">
      <c r="A1015" s="2043"/>
      <c r="B1015" s="2044"/>
      <c r="C1015" s="2045"/>
      <c r="D1015" s="2045"/>
      <c r="E1015" s="2045"/>
    </row>
    <row r="1016" spans="1:5" x14ac:dyDescent="0.2">
      <c r="A1016" s="3477" t="s">
        <v>1856</v>
      </c>
      <c r="B1016" s="3477"/>
      <c r="C1016" s="3477"/>
      <c r="D1016" s="3477"/>
      <c r="E1016" s="3477"/>
    </row>
    <row r="1017" spans="1:5" x14ac:dyDescent="0.2">
      <c r="A1017" s="3477" t="s">
        <v>1047</v>
      </c>
      <c r="B1017" s="3477"/>
      <c r="C1017" s="3477"/>
      <c r="D1017" s="3477"/>
      <c r="E1017" s="3477"/>
    </row>
    <row r="1018" spans="1:5" ht="21" thickBot="1" x14ac:dyDescent="0.25">
      <c r="A1018" s="3476" t="s">
        <v>1556</v>
      </c>
      <c r="B1018" s="3476"/>
      <c r="C1018" s="3476"/>
      <c r="D1018" s="3476"/>
      <c r="E1018" s="3476"/>
    </row>
    <row r="1019" spans="1:5" ht="81.75" thickBot="1" x14ac:dyDescent="0.35">
      <c r="A1019" s="2004" t="s">
        <v>1014</v>
      </c>
      <c r="B1019" s="2004" t="s">
        <v>282</v>
      </c>
      <c r="C1019" s="173" t="s">
        <v>1174</v>
      </c>
      <c r="D1019" s="173" t="s">
        <v>1145</v>
      </c>
      <c r="E1019" s="173" t="s">
        <v>3096</v>
      </c>
    </row>
    <row r="1020" spans="1:5" ht="21" thickBot="1" x14ac:dyDescent="0.25">
      <c r="A1020" s="2055"/>
      <c r="B1020" s="2056"/>
      <c r="C1020" s="2021"/>
      <c r="D1020" s="2022"/>
      <c r="E1020" s="2023"/>
    </row>
    <row r="1021" spans="1:5" ht="21" thickBot="1" x14ac:dyDescent="0.25">
      <c r="A1021" s="1993">
        <v>22020100</v>
      </c>
      <c r="B1021" s="2010" t="s">
        <v>64</v>
      </c>
      <c r="C1021" s="1994">
        <f>SUM(C1022:C1022)</f>
        <v>1128617</v>
      </c>
      <c r="D1021" s="2011">
        <f>SUM(D1022:D1022)</f>
        <v>0</v>
      </c>
      <c r="E1021" s="1994">
        <f>SUM(E1022:E1022)</f>
        <v>1128617</v>
      </c>
    </row>
    <row r="1022" spans="1:5" ht="21" thickBot="1" x14ac:dyDescent="0.25">
      <c r="A1022" s="1861">
        <v>22020102</v>
      </c>
      <c r="B1022" s="151" t="s">
        <v>10</v>
      </c>
      <c r="C1022" s="1892">
        <v>1128617</v>
      </c>
      <c r="D1022" s="1892">
        <v>0</v>
      </c>
      <c r="E1022" s="1892">
        <v>1128617</v>
      </c>
    </row>
    <row r="1023" spans="1:5" ht="21" thickBot="1" x14ac:dyDescent="0.25">
      <c r="A1023" s="1993">
        <v>22020300</v>
      </c>
      <c r="B1023" s="2010" t="s">
        <v>66</v>
      </c>
      <c r="C1023" s="1994">
        <f>SUM(C1024:C1025)</f>
        <v>1435000</v>
      </c>
      <c r="D1023" s="2011">
        <f>SUM(D1024:D1025)</f>
        <v>0</v>
      </c>
      <c r="E1023" s="1994">
        <f>SUM(E1024:E1025)</f>
        <v>1435000</v>
      </c>
    </row>
    <row r="1024" spans="1:5" x14ac:dyDescent="0.2">
      <c r="A1024" s="1861">
        <v>22020301</v>
      </c>
      <c r="B1024" s="151" t="s">
        <v>17</v>
      </c>
      <c r="C1024" s="152">
        <v>735000</v>
      </c>
      <c r="D1024" s="152"/>
      <c r="E1024" s="152">
        <v>735000</v>
      </c>
    </row>
    <row r="1025" spans="1:5" ht="21" thickBot="1" x14ac:dyDescent="0.25">
      <c r="A1025" s="1861">
        <v>22020308</v>
      </c>
      <c r="B1025" s="151" t="s">
        <v>137</v>
      </c>
      <c r="C1025" s="1892">
        <v>700000</v>
      </c>
      <c r="D1025" s="1892"/>
      <c r="E1025" s="1892">
        <v>700000</v>
      </c>
    </row>
    <row r="1026" spans="1:5" ht="21" thickBot="1" x14ac:dyDescent="0.25">
      <c r="A1026" s="1993">
        <v>22020400</v>
      </c>
      <c r="B1026" s="2010" t="s">
        <v>67</v>
      </c>
      <c r="C1026" s="1994">
        <f>SUM(C1027:C1027)</f>
        <v>1449000</v>
      </c>
      <c r="D1026" s="2011">
        <f>SUM(D1027:D1027)</f>
        <v>0</v>
      </c>
      <c r="E1026" s="1994">
        <f>SUM(E1027:E1027)</f>
        <v>1449000</v>
      </c>
    </row>
    <row r="1027" spans="1:5" ht="21" thickBot="1" x14ac:dyDescent="0.25">
      <c r="A1027" s="1861">
        <v>22020401</v>
      </c>
      <c r="B1027" s="2024" t="s">
        <v>79</v>
      </c>
      <c r="C1027" s="1892">
        <v>1449000</v>
      </c>
      <c r="D1027" s="1892"/>
      <c r="E1027" s="1892">
        <v>1449000</v>
      </c>
    </row>
    <row r="1028" spans="1:5" ht="21" thickBot="1" x14ac:dyDescent="0.25">
      <c r="A1028" s="1993">
        <v>22020500</v>
      </c>
      <c r="B1028" s="2010" t="s">
        <v>68</v>
      </c>
      <c r="C1028" s="1994">
        <f>SUM(C1029:C1029)</f>
        <v>636643</v>
      </c>
      <c r="D1028" s="2011">
        <f>SUM(D1029:D1029)</f>
        <v>0</v>
      </c>
      <c r="E1028" s="1994">
        <f>SUM(E1029:E1029)</f>
        <v>636643</v>
      </c>
    </row>
    <row r="1029" spans="1:5" ht="21" thickBot="1" x14ac:dyDescent="0.25">
      <c r="A1029" s="1861">
        <v>22020501</v>
      </c>
      <c r="B1029" s="151" t="s">
        <v>30</v>
      </c>
      <c r="C1029" s="2000">
        <f>291368+345275</f>
        <v>636643</v>
      </c>
      <c r="D1029" s="152"/>
      <c r="E1029" s="2000">
        <f>291368+345275</f>
        <v>636643</v>
      </c>
    </row>
    <row r="1030" spans="1:5" ht="21" thickBot="1" x14ac:dyDescent="0.25">
      <c r="A1030" s="1993">
        <v>22021000</v>
      </c>
      <c r="B1030" s="2010" t="s">
        <v>73</v>
      </c>
      <c r="C1030" s="2106">
        <f>SUM(C1031:C1031)</f>
        <v>455000</v>
      </c>
      <c r="D1030" s="2067"/>
      <c r="E1030" s="2018">
        <f>SUM(E1031:E1031)</f>
        <v>455000</v>
      </c>
    </row>
    <row r="1031" spans="1:5" x14ac:dyDescent="0.2">
      <c r="A1031" s="1861">
        <v>22021001</v>
      </c>
      <c r="B1031" s="151" t="s">
        <v>41</v>
      </c>
      <c r="C1031" s="1892">
        <v>455000</v>
      </c>
      <c r="D1031" s="1892"/>
      <c r="E1031" s="1892">
        <v>455000</v>
      </c>
    </row>
    <row r="1032" spans="1:5" ht="21" thickBot="1" x14ac:dyDescent="0.25">
      <c r="A1032" s="2039"/>
      <c r="B1032" s="2059"/>
      <c r="C1032" s="2406"/>
      <c r="D1032" s="2097"/>
      <c r="E1032" s="2406"/>
    </row>
    <row r="1033" spans="1:5" ht="21" thickBot="1" x14ac:dyDescent="0.25">
      <c r="A1033" s="2177"/>
      <c r="B1033" s="2187" t="s">
        <v>1351</v>
      </c>
      <c r="C1033" s="1994">
        <f>SUM(C1021,C1023,C1026,C1028,C1030)</f>
        <v>5104260</v>
      </c>
      <c r="D1033" s="2234">
        <f>SUM(D1021,D1023,D1026,D1028,D1030)</f>
        <v>0</v>
      </c>
      <c r="E1033" s="2018">
        <f>SUM(E1021,E1023,E1026,E1028,E1030)</f>
        <v>5104260</v>
      </c>
    </row>
    <row r="1034" spans="1:5" x14ac:dyDescent="0.2">
      <c r="A1034" s="2043"/>
      <c r="B1034" s="2044"/>
      <c r="C1034" s="2045"/>
      <c r="D1034" s="2045"/>
      <c r="E1034" s="2045"/>
    </row>
    <row r="1035" spans="1:5" s="2203" customFormat="1" ht="19.5" x14ac:dyDescent="0.2">
      <c r="A1035" s="3494" t="s">
        <v>1855</v>
      </c>
      <c r="B1035" s="3494"/>
      <c r="C1035" s="3494"/>
      <c r="D1035" s="3494"/>
      <c r="E1035" s="3494"/>
    </row>
    <row r="1036" spans="1:5" s="2203" customFormat="1" ht="19.5" x14ac:dyDescent="0.2">
      <c r="A1036" s="3494" t="s">
        <v>1046</v>
      </c>
      <c r="B1036" s="3494"/>
      <c r="C1036" s="3494"/>
      <c r="D1036" s="3494"/>
      <c r="E1036" s="3494"/>
    </row>
    <row r="1037" spans="1:5" s="2203" customFormat="1" thickBot="1" x14ac:dyDescent="0.25">
      <c r="A1037" s="3495" t="s">
        <v>134</v>
      </c>
      <c r="B1037" s="3495"/>
      <c r="C1037" s="3495"/>
      <c r="D1037" s="3495"/>
      <c r="E1037" s="3495"/>
    </row>
    <row r="1038" spans="1:5" s="2203" customFormat="1" ht="59.25" thickBot="1" x14ac:dyDescent="0.35">
      <c r="A1038" s="2201" t="s">
        <v>1014</v>
      </c>
      <c r="B1038" s="2201" t="s">
        <v>282</v>
      </c>
      <c r="C1038" s="2202" t="s">
        <v>1174</v>
      </c>
      <c r="D1038" s="2202" t="s">
        <v>1145</v>
      </c>
      <c r="E1038" s="2202" t="s">
        <v>3096</v>
      </c>
    </row>
    <row r="1039" spans="1:5" s="2203" customFormat="1" thickBot="1" x14ac:dyDescent="0.25">
      <c r="A1039" s="2315">
        <v>22020100</v>
      </c>
      <c r="B1039" s="2316" t="s">
        <v>64</v>
      </c>
      <c r="C1039" s="2214">
        <f>SUM(C1040:C1041)</f>
        <v>717990</v>
      </c>
      <c r="D1039" s="2222">
        <f>SUM(D1040:D1041)</f>
        <v>358955</v>
      </c>
      <c r="E1039" s="2214">
        <f>SUM(E1040:E1041)</f>
        <v>3500000</v>
      </c>
    </row>
    <row r="1040" spans="1:5" s="2203" customFormat="1" ht="19.5" x14ac:dyDescent="0.2">
      <c r="A1040" s="2207">
        <v>22020101</v>
      </c>
      <c r="B1040" s="2208" t="s">
        <v>9</v>
      </c>
      <c r="C1040" s="2206">
        <v>500000</v>
      </c>
      <c r="D1040" s="2209">
        <v>200955</v>
      </c>
      <c r="E1040" s="2206">
        <v>1000000</v>
      </c>
    </row>
    <row r="1041" spans="1:5" s="2203" customFormat="1" thickBot="1" x14ac:dyDescent="0.25">
      <c r="A1041" s="2207">
        <v>22020102</v>
      </c>
      <c r="B1041" s="2208" t="s">
        <v>10</v>
      </c>
      <c r="C1041" s="2221">
        <v>217990</v>
      </c>
      <c r="D1041" s="2212">
        <v>158000</v>
      </c>
      <c r="E1041" s="2221">
        <v>2500000</v>
      </c>
    </row>
    <row r="1042" spans="1:5" s="2203" customFormat="1" thickBot="1" x14ac:dyDescent="0.25">
      <c r="A1042" s="2204">
        <v>22020200</v>
      </c>
      <c r="B1042" s="2205" t="s">
        <v>65</v>
      </c>
      <c r="C1042" s="2214">
        <f>SUM(C1043:C1044)</f>
        <v>210000</v>
      </c>
      <c r="D1042" s="2222">
        <f>SUM(D1043:D1043)</f>
        <v>105000</v>
      </c>
      <c r="E1042" s="2214">
        <f>SUM(E1043:E1043)</f>
        <v>1000000</v>
      </c>
    </row>
    <row r="1043" spans="1:5" s="2203" customFormat="1" ht="19.5" x14ac:dyDescent="0.2">
      <c r="A1043" s="2207">
        <v>22020201</v>
      </c>
      <c r="B1043" s="2208" t="s">
        <v>13</v>
      </c>
      <c r="C1043" s="2206">
        <v>115200</v>
      </c>
      <c r="D1043" s="2209">
        <v>105000</v>
      </c>
      <c r="E1043" s="2206">
        <v>1000000</v>
      </c>
    </row>
    <row r="1044" spans="1:5" s="2203" customFormat="1" thickBot="1" x14ac:dyDescent="0.25">
      <c r="A1044" s="2317">
        <v>22020202</v>
      </c>
      <c r="B1044" s="2318" t="s">
        <v>1722</v>
      </c>
      <c r="C1044" s="2319">
        <v>94800</v>
      </c>
      <c r="D1044" s="2320"/>
      <c r="E1044" s="2319"/>
    </row>
    <row r="1045" spans="1:5" s="2203" customFormat="1" thickBot="1" x14ac:dyDescent="0.25">
      <c r="A1045" s="2204">
        <v>22020300</v>
      </c>
      <c r="B1045" s="2205" t="s">
        <v>66</v>
      </c>
      <c r="C1045" s="2214">
        <f>SUM(C1046:C1046)</f>
        <v>577990</v>
      </c>
      <c r="D1045" s="2222">
        <f>SUM(D1046:D1046)</f>
        <v>288750</v>
      </c>
      <c r="E1045" s="2214">
        <f>SUM(E1046:E1046)</f>
        <v>1500000</v>
      </c>
    </row>
    <row r="1046" spans="1:5" s="2203" customFormat="1" thickBot="1" x14ac:dyDescent="0.25">
      <c r="A1046" s="2207">
        <v>22020301</v>
      </c>
      <c r="B1046" s="2208" t="s">
        <v>17</v>
      </c>
      <c r="C1046" s="2221">
        <v>577990</v>
      </c>
      <c r="D1046" s="2212">
        <v>288750</v>
      </c>
      <c r="E1046" s="2221">
        <v>1500000</v>
      </c>
    </row>
    <row r="1047" spans="1:5" s="2203" customFormat="1" thickBot="1" x14ac:dyDescent="0.25">
      <c r="A1047" s="2204">
        <v>22020400</v>
      </c>
      <c r="B1047" s="2205" t="s">
        <v>67</v>
      </c>
      <c r="C1047" s="2214">
        <f>SUM(C1048:C1049)</f>
        <v>1917990</v>
      </c>
      <c r="D1047" s="2222">
        <f>SUM(D1048:D1049)</f>
        <v>1158995</v>
      </c>
      <c r="E1047" s="2214">
        <f>SUM(E1048:E1049)</f>
        <v>2700000</v>
      </c>
    </row>
    <row r="1048" spans="1:5" s="2203" customFormat="1" ht="19.5" x14ac:dyDescent="0.2">
      <c r="A1048" s="2207">
        <v>22020401</v>
      </c>
      <c r="B1048" s="2219" t="s">
        <v>79</v>
      </c>
      <c r="C1048" s="2206">
        <v>717990</v>
      </c>
      <c r="D1048" s="2209">
        <v>358995</v>
      </c>
      <c r="E1048" s="2206">
        <v>1500000</v>
      </c>
    </row>
    <row r="1049" spans="1:5" s="2203" customFormat="1" thickBot="1" x14ac:dyDescent="0.25">
      <c r="A1049" s="2207">
        <v>22020406</v>
      </c>
      <c r="B1049" s="2208" t="s">
        <v>29</v>
      </c>
      <c r="C1049" s="2221">
        <v>1200000</v>
      </c>
      <c r="D1049" s="2212">
        <v>800000</v>
      </c>
      <c r="E1049" s="2221">
        <v>1200000</v>
      </c>
    </row>
    <row r="1050" spans="1:5" s="2203" customFormat="1" thickBot="1" x14ac:dyDescent="0.25">
      <c r="A1050" s="2315">
        <v>22020500</v>
      </c>
      <c r="B1050" s="2316" t="s">
        <v>68</v>
      </c>
      <c r="C1050" s="2214">
        <f>SUM(C1051:C1051)</f>
        <v>7577990</v>
      </c>
      <c r="D1050" s="2222">
        <f>SUM(D1051:D1051)</f>
        <v>2208500</v>
      </c>
      <c r="E1050" s="2214">
        <f>SUM(E1051:E1051)</f>
        <v>9120000</v>
      </c>
    </row>
    <row r="1051" spans="1:5" s="2203" customFormat="1" thickBot="1" x14ac:dyDescent="0.25">
      <c r="A1051" s="2207">
        <v>22020501</v>
      </c>
      <c r="B1051" s="2208" t="s">
        <v>3318</v>
      </c>
      <c r="C1051" s="2220">
        <v>7577990</v>
      </c>
      <c r="D1051" s="2209">
        <v>2208500</v>
      </c>
      <c r="E1051" s="2220">
        <v>9120000</v>
      </c>
    </row>
    <row r="1052" spans="1:5" s="2203" customFormat="1" thickBot="1" x14ac:dyDescent="0.25">
      <c r="A1052" s="2204">
        <v>22021000</v>
      </c>
      <c r="B1052" s="2205" t="s">
        <v>73</v>
      </c>
      <c r="C1052" s="2214">
        <f>SUM(C1053:C1056)</f>
        <v>1134000</v>
      </c>
      <c r="D1052" s="2222">
        <f>SUM(D1053:D1056)</f>
        <v>43750</v>
      </c>
      <c r="E1052" s="2214">
        <f>SUM(E1053:E1056)</f>
        <v>4500000</v>
      </c>
    </row>
    <row r="1053" spans="1:5" s="2203" customFormat="1" ht="19.5" x14ac:dyDescent="0.2">
      <c r="A1053" s="2207">
        <v>22021001</v>
      </c>
      <c r="B1053" s="2208" t="s">
        <v>41</v>
      </c>
      <c r="C1053" s="2206">
        <v>84000</v>
      </c>
      <c r="D1053" s="2209">
        <v>43750</v>
      </c>
      <c r="E1053" s="2206">
        <v>2000000</v>
      </c>
    </row>
    <row r="1054" spans="1:5" s="2203" customFormat="1" ht="19.5" x14ac:dyDescent="0.2">
      <c r="A1054" s="2207">
        <v>22021021</v>
      </c>
      <c r="B1054" s="2208" t="s">
        <v>78</v>
      </c>
      <c r="C1054" s="2220">
        <f>350000+350000</f>
        <v>700000</v>
      </c>
      <c r="D1054" s="2209"/>
      <c r="E1054" s="2220">
        <v>1500000</v>
      </c>
    </row>
    <row r="1055" spans="1:5" s="2203" customFormat="1" ht="19.5" x14ac:dyDescent="0.2">
      <c r="A1055" s="2207">
        <v>22021041</v>
      </c>
      <c r="B1055" s="2208" t="s">
        <v>133</v>
      </c>
      <c r="C1055" s="2206">
        <v>350000</v>
      </c>
      <c r="D1055" s="2209"/>
      <c r="E1055" s="2206">
        <v>1000000</v>
      </c>
    </row>
    <row r="1056" spans="1:5" s="2203" customFormat="1" thickBot="1" x14ac:dyDescent="0.25">
      <c r="A1056" s="2207">
        <v>22021042</v>
      </c>
      <c r="B1056" s="2208" t="s">
        <v>3029</v>
      </c>
      <c r="C1056" s="2321"/>
      <c r="D1056" s="2320"/>
      <c r="E1056" s="2322">
        <v>0</v>
      </c>
    </row>
    <row r="1057" spans="1:5" s="2203" customFormat="1" thickBot="1" x14ac:dyDescent="0.25">
      <c r="A1057" s="2204">
        <v>22020405</v>
      </c>
      <c r="B1057" s="2213" t="s">
        <v>1150</v>
      </c>
      <c r="C1057" s="3178">
        <f>SUM(C1058)</f>
        <v>6640000</v>
      </c>
      <c r="D1057" s="3178">
        <f t="shared" ref="D1057:E1057" si="13">SUM(D1058)</f>
        <v>4975000</v>
      </c>
      <c r="E1057" s="2535">
        <f t="shared" si="13"/>
        <v>5000000</v>
      </c>
    </row>
    <row r="1058" spans="1:5" s="2203" customFormat="1" ht="19.5" x14ac:dyDescent="0.2">
      <c r="A1058" s="2207">
        <v>22020405</v>
      </c>
      <c r="B1058" s="2208" t="s">
        <v>1212</v>
      </c>
      <c r="C1058" s="2221">
        <v>6640000</v>
      </c>
      <c r="D1058" s="2212">
        <v>4975000</v>
      </c>
      <c r="E1058" s="2221">
        <v>5000000</v>
      </c>
    </row>
    <row r="1059" spans="1:5" s="2203" customFormat="1" thickBot="1" x14ac:dyDescent="0.25">
      <c r="A1059" s="2207"/>
      <c r="B1059" s="2208"/>
      <c r="C1059" s="3179"/>
      <c r="D1059" s="2212"/>
      <c r="E1059" s="2221"/>
    </row>
    <row r="1060" spans="1:5" ht="21" thickBot="1" x14ac:dyDescent="0.25">
      <c r="A1060" s="2177"/>
      <c r="B1060" s="2105" t="s">
        <v>1346</v>
      </c>
      <c r="C1060" s="2062">
        <f>SUM(C1039,C1042,C1045,C1047,C1050,C1052,C1057)</f>
        <v>18775960</v>
      </c>
      <c r="D1060" s="2018">
        <f>SUM(D1039,D1042,D1045,D1047,D1050,D1052,D1057)</f>
        <v>9138950</v>
      </c>
      <c r="E1060" s="2018">
        <f>SUM(E1039,E1042,E1045,E1047,E1050,E1052,E1057)</f>
        <v>27320000</v>
      </c>
    </row>
    <row r="1061" spans="1:5" x14ac:dyDescent="0.2">
      <c r="A1061" s="2043"/>
      <c r="B1061" s="2044"/>
      <c r="C1061" s="2003"/>
      <c r="D1061" s="2003"/>
      <c r="E1061" s="2003"/>
    </row>
    <row r="1062" spans="1:5" x14ac:dyDescent="0.2">
      <c r="A1062" s="2043"/>
      <c r="B1062" s="2044"/>
      <c r="C1062" s="2003"/>
      <c r="D1062" s="2003"/>
      <c r="E1062" s="2003"/>
    </row>
    <row r="1063" spans="1:5" x14ac:dyDescent="0.2">
      <c r="A1063" s="3477" t="s">
        <v>1855</v>
      </c>
      <c r="B1063" s="3477"/>
      <c r="C1063" s="3477"/>
      <c r="D1063" s="3477"/>
      <c r="E1063" s="3477"/>
    </row>
    <row r="1064" spans="1:5" ht="21" thickBot="1" x14ac:dyDescent="0.25">
      <c r="A1064" s="3476" t="s">
        <v>1109</v>
      </c>
      <c r="B1064" s="3476"/>
      <c r="C1064" s="3476"/>
      <c r="D1064" s="3476"/>
      <c r="E1064" s="3476"/>
    </row>
    <row r="1065" spans="1:5" ht="81.75" thickBot="1" x14ac:dyDescent="0.35">
      <c r="A1065" s="2004" t="s">
        <v>1014</v>
      </c>
      <c r="B1065" s="2004" t="s">
        <v>282</v>
      </c>
      <c r="C1065" s="173" t="s">
        <v>1174</v>
      </c>
      <c r="D1065" s="173" t="s">
        <v>1145</v>
      </c>
      <c r="E1065" s="173" t="s">
        <v>3096</v>
      </c>
    </row>
    <row r="1066" spans="1:5" ht="21" thickBot="1" x14ac:dyDescent="0.25">
      <c r="A1066" s="2324"/>
      <c r="B1066" s="2091"/>
      <c r="C1066" s="2102"/>
      <c r="D1066" s="2022"/>
      <c r="E1066" s="2023"/>
    </row>
    <row r="1067" spans="1:5" ht="21" thickBot="1" x14ac:dyDescent="0.25">
      <c r="A1067" s="1993">
        <v>22020100</v>
      </c>
      <c r="B1067" s="2010" t="s">
        <v>64</v>
      </c>
      <c r="C1067" s="2012">
        <f>SUM(C1068:C1068)</f>
        <v>2100000</v>
      </c>
      <c r="D1067" s="2011">
        <f>SUM(D1068:D1068)</f>
        <v>930000</v>
      </c>
      <c r="E1067" s="2012">
        <f>SUM(E1068:E1068)</f>
        <v>2100000</v>
      </c>
    </row>
    <row r="1068" spans="1:5" ht="21" thickBot="1" x14ac:dyDescent="0.25">
      <c r="A1068" s="1861">
        <v>22020102</v>
      </c>
      <c r="B1068" s="151" t="s">
        <v>10</v>
      </c>
      <c r="C1068" s="152">
        <v>2100000</v>
      </c>
      <c r="D1068" s="2325">
        <v>930000</v>
      </c>
      <c r="E1068" s="152">
        <v>2100000</v>
      </c>
    </row>
    <row r="1069" spans="1:5" ht="21" thickBot="1" x14ac:dyDescent="0.25">
      <c r="A1069" s="1993">
        <v>22020200</v>
      </c>
      <c r="B1069" s="2010" t="s">
        <v>65</v>
      </c>
      <c r="C1069" s="2012">
        <f>SUM(C1070:C1071)</f>
        <v>0</v>
      </c>
      <c r="D1069" s="2012">
        <f>SUM(D1070:D1071)</f>
        <v>0</v>
      </c>
      <c r="E1069" s="2012">
        <f>SUM(E1070:E1071)</f>
        <v>700000</v>
      </c>
    </row>
    <row r="1070" spans="1:5" x14ac:dyDescent="0.2">
      <c r="A1070" s="1861">
        <v>22020201</v>
      </c>
      <c r="B1070" s="151" t="s">
        <v>13</v>
      </c>
      <c r="C1070" s="152"/>
      <c r="D1070" s="152"/>
      <c r="E1070" s="152">
        <v>500000</v>
      </c>
    </row>
    <row r="1071" spans="1:5" ht="21" thickBot="1" x14ac:dyDescent="0.25">
      <c r="A1071" s="1861">
        <v>22020202</v>
      </c>
      <c r="B1071" s="153" t="s">
        <v>14</v>
      </c>
      <c r="C1071" s="2031"/>
      <c r="D1071" s="2058"/>
      <c r="E1071" s="1892">
        <v>200000</v>
      </c>
    </row>
    <row r="1072" spans="1:5" ht="21" thickBot="1" x14ac:dyDescent="0.25">
      <c r="A1072" s="1993">
        <v>22020300</v>
      </c>
      <c r="B1072" s="2030" t="s">
        <v>66</v>
      </c>
      <c r="C1072" s="2018">
        <f>SUM(C1073:C1073)</f>
        <v>1050000</v>
      </c>
      <c r="D1072" s="2011">
        <f>SUM(D1073:D1073)</f>
        <v>310000</v>
      </c>
      <c r="E1072" s="2012">
        <f>SUM(E1073:E1073)</f>
        <v>1050000</v>
      </c>
    </row>
    <row r="1073" spans="1:5" ht="21" thickBot="1" x14ac:dyDescent="0.25">
      <c r="A1073" s="1861">
        <v>22020301</v>
      </c>
      <c r="B1073" s="151" t="s">
        <v>17</v>
      </c>
      <c r="C1073" s="1892">
        <v>1050000</v>
      </c>
      <c r="D1073" s="2100">
        <v>310000</v>
      </c>
      <c r="E1073" s="1892">
        <v>1050000</v>
      </c>
    </row>
    <row r="1074" spans="1:5" ht="21" thickBot="1" x14ac:dyDescent="0.25">
      <c r="A1074" s="1993">
        <v>22020400</v>
      </c>
      <c r="B1074" s="2010" t="s">
        <v>67</v>
      </c>
      <c r="C1074" s="2012">
        <f>SUM(C1075:C1076)</f>
        <v>2460000</v>
      </c>
      <c r="D1074" s="2011">
        <f>SUM(D1075:D1076)</f>
        <v>1165000</v>
      </c>
      <c r="E1074" s="2012">
        <f>SUM(E1075:E1076)</f>
        <v>2460000</v>
      </c>
    </row>
    <row r="1075" spans="1:5" x14ac:dyDescent="0.2">
      <c r="A1075" s="1861">
        <v>22020401</v>
      </c>
      <c r="B1075" s="2024" t="s">
        <v>79</v>
      </c>
      <c r="C1075" s="152">
        <v>1260000</v>
      </c>
      <c r="D1075" s="2099">
        <v>465000</v>
      </c>
      <c r="E1075" s="152">
        <v>1260000</v>
      </c>
    </row>
    <row r="1076" spans="1:5" ht="21" thickBot="1" x14ac:dyDescent="0.25">
      <c r="A1076" s="1861">
        <v>22020406</v>
      </c>
      <c r="B1076" s="151" t="s">
        <v>29</v>
      </c>
      <c r="C1076" s="1892">
        <v>1200000</v>
      </c>
      <c r="D1076" s="2100">
        <v>700000</v>
      </c>
      <c r="E1076" s="1892">
        <v>1200000</v>
      </c>
    </row>
    <row r="1077" spans="1:5" ht="21" thickBot="1" x14ac:dyDescent="0.25">
      <c r="A1077" s="1993">
        <v>22020500</v>
      </c>
      <c r="B1077" s="2010" t="s">
        <v>68</v>
      </c>
      <c r="C1077" s="2018">
        <f>SUM(C1078:C1079)</f>
        <v>830000</v>
      </c>
      <c r="D1077" s="2327">
        <f>SUM(D1078:D1079)</f>
        <v>0</v>
      </c>
      <c r="E1077" s="2018">
        <f>SUM(E1078:E1079)</f>
        <v>830000</v>
      </c>
    </row>
    <row r="1078" spans="1:5" x14ac:dyDescent="0.2">
      <c r="A1078" s="1861">
        <v>22020501</v>
      </c>
      <c r="B1078" s="2326" t="s">
        <v>1732</v>
      </c>
      <c r="C1078" s="2099">
        <v>200000</v>
      </c>
      <c r="D1078" s="152"/>
      <c r="E1078" s="2099">
        <v>200000</v>
      </c>
    </row>
    <row r="1079" spans="1:5" ht="21" thickBot="1" x14ac:dyDescent="0.25">
      <c r="A1079" s="1861">
        <v>22020502</v>
      </c>
      <c r="B1079" s="2326" t="s">
        <v>1733</v>
      </c>
      <c r="C1079" s="2100">
        <v>630000</v>
      </c>
      <c r="D1079" s="1892"/>
      <c r="E1079" s="2100">
        <v>630000</v>
      </c>
    </row>
    <row r="1080" spans="1:5" ht="21" thickBot="1" x14ac:dyDescent="0.25">
      <c r="A1080" s="1993">
        <v>22021000</v>
      </c>
      <c r="B1080" s="2010" t="s">
        <v>73</v>
      </c>
      <c r="C1080" s="2062">
        <f>SUM(C1081:C1082)</f>
        <v>42525000</v>
      </c>
      <c r="D1080" s="2018">
        <f>SUM(D1081:D1082)</f>
        <v>50878500</v>
      </c>
      <c r="E1080" s="2018">
        <f>SUM(E1081:E1082)</f>
        <v>75525000</v>
      </c>
    </row>
    <row r="1081" spans="1:5" x14ac:dyDescent="0.2">
      <c r="A1081" s="1861">
        <v>22021001</v>
      </c>
      <c r="B1081" s="151" t="s">
        <v>41</v>
      </c>
      <c r="C1081" s="2075">
        <v>525000</v>
      </c>
      <c r="D1081" s="2099">
        <v>232500</v>
      </c>
      <c r="E1081" s="152">
        <v>525000</v>
      </c>
    </row>
    <row r="1082" spans="1:5" x14ac:dyDescent="0.2">
      <c r="A1082" s="1861">
        <v>22021041</v>
      </c>
      <c r="B1082" s="151" t="s">
        <v>3056</v>
      </c>
      <c r="C1082" s="2076">
        <v>42000000</v>
      </c>
      <c r="D1082" s="2100">
        <v>50646000</v>
      </c>
      <c r="E1082" s="1892">
        <v>75000000</v>
      </c>
    </row>
    <row r="1083" spans="1:5" ht="21" thickBot="1" x14ac:dyDescent="0.25">
      <c r="A1083" s="1861"/>
      <c r="B1083" s="2010"/>
      <c r="C1083" s="3133"/>
      <c r="D1083" s="3133"/>
      <c r="E1083" s="3133"/>
    </row>
    <row r="1084" spans="1:5" ht="21" thickBot="1" x14ac:dyDescent="0.25">
      <c r="A1084" s="2177"/>
      <c r="B1084" s="2187" t="s">
        <v>1347</v>
      </c>
      <c r="C1084" s="2018">
        <f>SUM(C1067,C1069,C1072,C1074,C1077,C1080)</f>
        <v>48965000</v>
      </c>
      <c r="D1084" s="2018">
        <f>SUM(D1067,D1069,D1072,D1074,D1077,D1080)</f>
        <v>53283500</v>
      </c>
      <c r="E1084" s="2018">
        <f>SUM(E1067,E1069,E1072,E1074,E1077,E1080)</f>
        <v>82665000</v>
      </c>
    </row>
    <row r="1085" spans="1:5" x14ac:dyDescent="0.2">
      <c r="A1085" s="2043"/>
      <c r="B1085" s="2044"/>
      <c r="C1085" s="2045">
        <f>C1084-48965000</f>
        <v>0</v>
      </c>
      <c r="D1085" s="2003"/>
      <c r="E1085" s="2003"/>
    </row>
    <row r="1086" spans="1:5" x14ac:dyDescent="0.2">
      <c r="A1086" s="2043"/>
      <c r="B1086" s="2044"/>
      <c r="C1086" s="2003"/>
      <c r="D1086" s="2003"/>
      <c r="E1086" s="2003"/>
    </row>
    <row r="1087" spans="1:5" x14ac:dyDescent="0.2">
      <c r="A1087" s="3477" t="s">
        <v>1855</v>
      </c>
      <c r="B1087" s="3477"/>
      <c r="C1087" s="3477"/>
      <c r="D1087" s="3477"/>
      <c r="E1087" s="3477"/>
    </row>
    <row r="1088" spans="1:5" s="2235" customFormat="1" ht="18" thickBot="1" x14ac:dyDescent="0.25">
      <c r="A1088" s="3491" t="s">
        <v>1110</v>
      </c>
      <c r="B1088" s="3491"/>
      <c r="C1088" s="3491"/>
      <c r="D1088" s="3491"/>
      <c r="E1088" s="3491"/>
    </row>
    <row r="1089" spans="1:5" s="2235" customFormat="1" ht="52.5" thickBot="1" x14ac:dyDescent="0.3">
      <c r="A1089" s="2236" t="s">
        <v>1014</v>
      </c>
      <c r="B1089" s="2236" t="s">
        <v>282</v>
      </c>
      <c r="C1089" s="2237" t="s">
        <v>1174</v>
      </c>
      <c r="D1089" s="2237" t="s">
        <v>1145</v>
      </c>
      <c r="E1089" s="2237" t="s">
        <v>3096</v>
      </c>
    </row>
    <row r="1090" spans="1:5" s="2235" customFormat="1" ht="18" thickBot="1" x14ac:dyDescent="0.25">
      <c r="A1090" s="2238">
        <v>22020100</v>
      </c>
      <c r="B1090" s="2239" t="s">
        <v>64</v>
      </c>
      <c r="C1090" s="2251">
        <f>SUM(C1092:C1092)</f>
        <v>1020000</v>
      </c>
      <c r="D1090" s="2253">
        <f>SUM(D1092:D1092)</f>
        <v>527000</v>
      </c>
      <c r="E1090" s="2328">
        <f>SUM(E1092:E1092)</f>
        <v>749700</v>
      </c>
    </row>
    <row r="1091" spans="1:5" s="2235" customFormat="1" ht="17.25" x14ac:dyDescent="0.2">
      <c r="A1091" s="2241">
        <v>22020101</v>
      </c>
      <c r="B1091" s="2242" t="s">
        <v>9</v>
      </c>
      <c r="C1091" s="2250">
        <v>500000</v>
      </c>
      <c r="D1091" s="2250"/>
      <c r="E1091" s="2250">
        <v>500000</v>
      </c>
    </row>
    <row r="1092" spans="1:5" s="2235" customFormat="1" ht="18" thickBot="1" x14ac:dyDescent="0.25">
      <c r="A1092" s="2241">
        <v>22020102</v>
      </c>
      <c r="B1092" s="2242" t="s">
        <v>10</v>
      </c>
      <c r="C1092" s="2243">
        <v>1020000</v>
      </c>
      <c r="D1092" s="2243">
        <v>527000</v>
      </c>
      <c r="E1092" s="2243">
        <v>749700</v>
      </c>
    </row>
    <row r="1093" spans="1:5" s="2235" customFormat="1" ht="18" thickBot="1" x14ac:dyDescent="0.25">
      <c r="A1093" s="2247">
        <v>22020200</v>
      </c>
      <c r="B1093" s="2248" t="s">
        <v>65</v>
      </c>
      <c r="C1093" s="2251">
        <f>SUM(C1094:C1095)</f>
        <v>357000</v>
      </c>
      <c r="D1093" s="2253">
        <f>SUM(D1094:D1095)</f>
        <v>184450</v>
      </c>
      <c r="E1093" s="2328">
        <f>SUM(E1094:E1095)</f>
        <v>262395</v>
      </c>
    </row>
    <row r="1094" spans="1:5" s="2235" customFormat="1" ht="17.25" x14ac:dyDescent="0.2">
      <c r="A1094" s="2241">
        <v>22020202</v>
      </c>
      <c r="B1094" s="2242" t="s">
        <v>1595</v>
      </c>
      <c r="C1094" s="2250">
        <v>57000</v>
      </c>
      <c r="D1094" s="2250">
        <v>37000</v>
      </c>
      <c r="E1094" s="2250">
        <v>41895</v>
      </c>
    </row>
    <row r="1095" spans="1:5" s="2329" customFormat="1" ht="18" thickBot="1" x14ac:dyDescent="0.3">
      <c r="A1095" s="2241">
        <v>22020203</v>
      </c>
      <c r="B1095" s="2242" t="s">
        <v>15</v>
      </c>
      <c r="C1095" s="2243">
        <v>300000</v>
      </c>
      <c r="D1095" s="2243">
        <v>147450</v>
      </c>
      <c r="E1095" s="2243">
        <v>220500</v>
      </c>
    </row>
    <row r="1096" spans="1:5" s="2329" customFormat="1" ht="18" thickBot="1" x14ac:dyDescent="0.3">
      <c r="A1096" s="2247">
        <v>22020300</v>
      </c>
      <c r="B1096" s="2248" t="s">
        <v>66</v>
      </c>
      <c r="C1096" s="2251">
        <f>SUM(C1097:C1099)</f>
        <v>1570800</v>
      </c>
      <c r="D1096" s="2253">
        <f>SUM(D1097:D1099)</f>
        <v>1312100</v>
      </c>
      <c r="E1096" s="2328">
        <f>SUM(E1097:E1099)</f>
        <v>1570800</v>
      </c>
    </row>
    <row r="1097" spans="1:5" s="2329" customFormat="1" ht="17.25" x14ac:dyDescent="0.25">
      <c r="A1097" s="2241">
        <v>22020301</v>
      </c>
      <c r="B1097" s="2242" t="s">
        <v>17</v>
      </c>
      <c r="C1097" s="2250">
        <v>1071000</v>
      </c>
      <c r="D1097" s="2250">
        <v>790500</v>
      </c>
      <c r="E1097" s="2250">
        <v>1071000</v>
      </c>
    </row>
    <row r="1098" spans="1:5" s="2329" customFormat="1" ht="17.25" x14ac:dyDescent="0.25">
      <c r="A1098" s="2241">
        <v>22020304</v>
      </c>
      <c r="B1098" s="2242" t="s">
        <v>1596</v>
      </c>
      <c r="C1098" s="2250">
        <v>357000</v>
      </c>
      <c r="D1098" s="2250">
        <v>363500</v>
      </c>
      <c r="E1098" s="2250">
        <v>357000</v>
      </c>
    </row>
    <row r="1099" spans="1:5" s="2329" customFormat="1" ht="18" thickBot="1" x14ac:dyDescent="0.3">
      <c r="A1099" s="2241">
        <v>22020311</v>
      </c>
      <c r="B1099" s="2242" t="s">
        <v>24</v>
      </c>
      <c r="C1099" s="2243">
        <v>142800</v>
      </c>
      <c r="D1099" s="2243">
        <v>158100</v>
      </c>
      <c r="E1099" s="2243">
        <v>142800</v>
      </c>
    </row>
    <row r="1100" spans="1:5" s="2329" customFormat="1" ht="18" thickBot="1" x14ac:dyDescent="0.3">
      <c r="A1100" s="2247">
        <v>22020400</v>
      </c>
      <c r="B1100" s="2248" t="s">
        <v>67</v>
      </c>
      <c r="C1100" s="2251">
        <f>SUM(C1101:C1104)</f>
        <v>15472480</v>
      </c>
      <c r="D1100" s="2253">
        <f>SUM(D1101:D1104)</f>
        <v>10261034</v>
      </c>
      <c r="E1100" s="2328">
        <f>SUM(E1101:E1104)</f>
        <v>15483295</v>
      </c>
    </row>
    <row r="1101" spans="1:5" s="2329" customFormat="1" ht="17.25" x14ac:dyDescent="0.25">
      <c r="A1101" s="2241">
        <v>22020401</v>
      </c>
      <c r="B1101" s="2242" t="s">
        <v>79</v>
      </c>
      <c r="C1101" s="2250">
        <v>428400</v>
      </c>
      <c r="D1101" s="2250">
        <v>316200</v>
      </c>
      <c r="E1101" s="2250">
        <v>428400</v>
      </c>
    </row>
    <row r="1102" spans="1:5" s="2329" customFormat="1" ht="17.25" x14ac:dyDescent="0.25">
      <c r="A1102" s="2241">
        <v>22020403</v>
      </c>
      <c r="B1102" s="2242" t="s">
        <v>1597</v>
      </c>
      <c r="C1102" s="2243">
        <v>13627780</v>
      </c>
      <c r="D1102" s="2243">
        <v>9085184</v>
      </c>
      <c r="E1102" s="2243">
        <v>13627780</v>
      </c>
    </row>
    <row r="1103" spans="1:5" s="2329" customFormat="1" ht="17.25" x14ac:dyDescent="0.25">
      <c r="A1103" s="2241">
        <v>22020404</v>
      </c>
      <c r="B1103" s="2242" t="s">
        <v>27</v>
      </c>
      <c r="C1103" s="2250">
        <v>216300</v>
      </c>
      <c r="D1103" s="2250">
        <v>159650</v>
      </c>
      <c r="E1103" s="2250">
        <v>227115</v>
      </c>
    </row>
    <row r="1104" spans="1:5" s="2329" customFormat="1" ht="18" thickBot="1" x14ac:dyDescent="0.3">
      <c r="A1104" s="2241">
        <v>22020406</v>
      </c>
      <c r="B1104" s="2242" t="s">
        <v>29</v>
      </c>
      <c r="C1104" s="2250">
        <v>1200000</v>
      </c>
      <c r="D1104" s="2250">
        <v>700000</v>
      </c>
      <c r="E1104" s="2250">
        <v>1200000</v>
      </c>
    </row>
    <row r="1105" spans="1:5" s="2329" customFormat="1" ht="18" thickBot="1" x14ac:dyDescent="0.3">
      <c r="A1105" s="2247">
        <v>22020500</v>
      </c>
      <c r="B1105" s="2248" t="s">
        <v>68</v>
      </c>
      <c r="C1105" s="2251">
        <f>SUM(C1106:C1109)</f>
        <v>356800</v>
      </c>
      <c r="D1105" s="2253">
        <f>SUM(D1106:D1109)</f>
        <v>0</v>
      </c>
      <c r="E1105" s="2328">
        <f>SUM(E1106:E1109)</f>
        <v>4874640</v>
      </c>
    </row>
    <row r="1106" spans="1:5" s="2329" customFormat="1" ht="17.25" x14ac:dyDescent="0.25">
      <c r="A1106" s="2241">
        <v>22020501</v>
      </c>
      <c r="B1106" s="2330" t="s">
        <v>1598</v>
      </c>
      <c r="C1106" s="2250"/>
      <c r="D1106" s="2250"/>
      <c r="E1106" s="2250">
        <v>0</v>
      </c>
    </row>
    <row r="1107" spans="1:5" s="2329" customFormat="1" ht="17.25" x14ac:dyDescent="0.25">
      <c r="A1107" s="2241">
        <v>22020503</v>
      </c>
      <c r="B1107" s="2330" t="s">
        <v>1599</v>
      </c>
      <c r="C1107" s="2250">
        <v>142800</v>
      </c>
      <c r="D1107" s="2250"/>
      <c r="E1107" s="2250">
        <v>149856</v>
      </c>
    </row>
    <row r="1108" spans="1:5" s="2329" customFormat="1" ht="17.25" x14ac:dyDescent="0.25">
      <c r="A1108" s="2241">
        <v>22020504</v>
      </c>
      <c r="B1108" s="2330" t="s">
        <v>2500</v>
      </c>
      <c r="C1108" s="2250"/>
      <c r="D1108" s="2250"/>
      <c r="E1108" s="2255">
        <v>4500000</v>
      </c>
    </row>
    <row r="1109" spans="1:5" s="2329" customFormat="1" ht="18" thickBot="1" x14ac:dyDescent="0.3">
      <c r="A1109" s="2241">
        <v>22020507</v>
      </c>
      <c r="B1109" s="2330" t="s">
        <v>1600</v>
      </c>
      <c r="C1109" s="2243">
        <v>214000</v>
      </c>
      <c r="D1109" s="2243"/>
      <c r="E1109" s="2243">
        <v>224784</v>
      </c>
    </row>
    <row r="1110" spans="1:5" s="2329" customFormat="1" ht="18" thickBot="1" x14ac:dyDescent="0.3">
      <c r="A1110" s="2247">
        <v>22020700</v>
      </c>
      <c r="B1110" s="2248" t="s">
        <v>70</v>
      </c>
      <c r="C1110" s="2251">
        <f>SUM(C1111:C1112)</f>
        <v>66410041</v>
      </c>
      <c r="D1110" s="2253">
        <f>SUM(D1111:D1112)</f>
        <v>30083000</v>
      </c>
      <c r="E1110" s="2328">
        <f>SUM(E1111:E1112)</f>
        <v>492178</v>
      </c>
    </row>
    <row r="1111" spans="1:5" s="2331" customFormat="1" ht="33.75" customHeight="1" x14ac:dyDescent="0.3">
      <c r="A1111" s="2241">
        <v>22020702</v>
      </c>
      <c r="B1111" s="2330" t="s">
        <v>1601</v>
      </c>
      <c r="C1111" s="3168">
        <v>66140000</v>
      </c>
      <c r="D1111" s="2250">
        <v>30083000</v>
      </c>
      <c r="E1111" s="2255">
        <v>0</v>
      </c>
    </row>
    <row r="1112" spans="1:5" s="2329" customFormat="1" ht="18" thickBot="1" x14ac:dyDescent="0.3">
      <c r="A1112" s="2241">
        <v>22020703</v>
      </c>
      <c r="B1112" s="2242" t="s">
        <v>35</v>
      </c>
      <c r="C1112" s="3180">
        <v>270041</v>
      </c>
      <c r="D1112" s="2332"/>
      <c r="E1112" s="2243">
        <v>492178</v>
      </c>
    </row>
    <row r="1113" spans="1:5" s="2329" customFormat="1" ht="18" thickBot="1" x14ac:dyDescent="0.3">
      <c r="A1113" s="2247">
        <v>22021000</v>
      </c>
      <c r="B1113" s="2245" t="s">
        <v>73</v>
      </c>
      <c r="C1113" s="2251">
        <f>SUM(C1114:C1114)</f>
        <v>71400</v>
      </c>
      <c r="D1113" s="2253">
        <f>SUM(D1114:D1114)</f>
        <v>52700</v>
      </c>
      <c r="E1113" s="2328">
        <f>SUM(E1114:E1114)</f>
        <v>74970</v>
      </c>
    </row>
    <row r="1114" spans="1:5" s="2329" customFormat="1" ht="17.25" x14ac:dyDescent="0.25">
      <c r="A1114" s="2241">
        <v>22021001</v>
      </c>
      <c r="B1114" s="2242" t="s">
        <v>41</v>
      </c>
      <c r="C1114" s="2249">
        <v>71400</v>
      </c>
      <c r="D1114" s="2249">
        <v>52700</v>
      </c>
      <c r="E1114" s="2249">
        <v>74970</v>
      </c>
    </row>
    <row r="1115" spans="1:5" s="2329" customFormat="1" ht="18" thickBot="1" x14ac:dyDescent="0.3">
      <c r="A1115" s="2294"/>
      <c r="B1115" s="2248"/>
      <c r="C1115" s="3183"/>
      <c r="D1115" s="3183"/>
      <c r="E1115" s="3183"/>
    </row>
    <row r="1116" spans="1:5" s="2329" customFormat="1" ht="18" thickBot="1" x14ac:dyDescent="0.3">
      <c r="A1116" s="3181"/>
      <c r="B1116" s="3182" t="s">
        <v>1348</v>
      </c>
      <c r="C1116" s="2246">
        <f>SUM(C1090,C1093,C1096,C1100,C1105,C1110,C1113)</f>
        <v>85258521</v>
      </c>
      <c r="D1116" s="2246">
        <f>SUM(D1090,D1093,D1096,D1100,D1105,D1110,D1113)</f>
        <v>42420284</v>
      </c>
      <c r="E1116" s="2246">
        <f>SUM(E1090,E1093,E1096,E1100,E1105,E1110,E1113)</f>
        <v>23507978</v>
      </c>
    </row>
    <row r="1117" spans="1:5" s="2260" customFormat="1" ht="15.75" x14ac:dyDescent="0.2">
      <c r="A1117" s="3497" t="s">
        <v>1475</v>
      </c>
      <c r="B1117" s="3497"/>
      <c r="C1117" s="3497"/>
      <c r="D1117" s="3497"/>
      <c r="E1117" s="3497"/>
    </row>
    <row r="1118" spans="1:5" s="2260" customFormat="1" ht="15.75" x14ac:dyDescent="0.2">
      <c r="A1118" s="3497" t="s">
        <v>1476</v>
      </c>
      <c r="B1118" s="3497"/>
      <c r="C1118" s="3497"/>
      <c r="D1118" s="3497"/>
      <c r="E1118" s="3497"/>
    </row>
    <row r="1119" spans="1:5" s="2260" customFormat="1" ht="16.5" thickBot="1" x14ac:dyDescent="0.25">
      <c r="A1119" s="3498" t="s">
        <v>1621</v>
      </c>
      <c r="B1119" s="3498"/>
      <c r="C1119" s="3498"/>
      <c r="D1119" s="3498"/>
      <c r="E1119" s="3498"/>
    </row>
    <row r="1120" spans="1:5" s="2260" customFormat="1" ht="32.25" thickBot="1" x14ac:dyDescent="0.3">
      <c r="A1120" s="2261" t="s">
        <v>1014</v>
      </c>
      <c r="B1120" s="2261" t="s">
        <v>282</v>
      </c>
      <c r="C1120" s="2262" t="s">
        <v>1174</v>
      </c>
      <c r="D1120" s="2262" t="s">
        <v>1145</v>
      </c>
      <c r="E1120" s="2262" t="s">
        <v>3096</v>
      </c>
    </row>
    <row r="1121" spans="1:5" s="2483" customFormat="1" ht="16.5" thickBot="1" x14ac:dyDescent="0.3">
      <c r="A1121" s="3315">
        <v>22020100</v>
      </c>
      <c r="B1121" s="3316" t="s">
        <v>64</v>
      </c>
      <c r="C1121" s="2271">
        <f>SUM(C1122:C1124)</f>
        <v>16411879</v>
      </c>
      <c r="D1121" s="2272">
        <f>SUM(D1122:D1124)</f>
        <v>1912224</v>
      </c>
      <c r="E1121" s="2396">
        <f>SUM(E1122:E1124)</f>
        <v>16411879</v>
      </c>
    </row>
    <row r="1122" spans="1:5" s="2483" customFormat="1" ht="15.75" x14ac:dyDescent="0.25">
      <c r="A1122" s="2266">
        <v>22020101</v>
      </c>
      <c r="B1122" s="2267" t="s">
        <v>9</v>
      </c>
      <c r="C1122" s="2268">
        <v>2876634</v>
      </c>
      <c r="D1122" s="2268">
        <v>712224</v>
      </c>
      <c r="E1122" s="2268">
        <v>2876634</v>
      </c>
    </row>
    <row r="1123" spans="1:5" s="2483" customFormat="1" ht="15.75" x14ac:dyDescent="0.25">
      <c r="A1123" s="2266">
        <v>22020102</v>
      </c>
      <c r="B1123" s="2267" t="s">
        <v>3057</v>
      </c>
      <c r="C1123" s="2268">
        <v>5002202</v>
      </c>
      <c r="D1123" s="2268">
        <v>1200000</v>
      </c>
      <c r="E1123" s="2268">
        <v>5002202</v>
      </c>
    </row>
    <row r="1124" spans="1:5" s="2260" customFormat="1" ht="16.5" thickBot="1" x14ac:dyDescent="0.25">
      <c r="A1124" s="2266">
        <v>22020103</v>
      </c>
      <c r="B1124" s="2267" t="s">
        <v>1622</v>
      </c>
      <c r="C1124" s="2269">
        <v>8533043</v>
      </c>
      <c r="D1124" s="2269"/>
      <c r="E1124" s="2269">
        <v>8533043</v>
      </c>
    </row>
    <row r="1125" spans="1:5" s="2483" customFormat="1" ht="16.5" thickBot="1" x14ac:dyDescent="0.3">
      <c r="A1125" s="2273">
        <v>22020200</v>
      </c>
      <c r="B1125" s="2274" t="s">
        <v>1623</v>
      </c>
      <c r="C1125" s="2271">
        <f>SUM(C1126:C1128)</f>
        <v>1830950</v>
      </c>
      <c r="D1125" s="2272">
        <f>SUM(D1126:D1128)</f>
        <v>1069980</v>
      </c>
      <c r="E1125" s="2396">
        <f>SUM(E1126:E1128)</f>
        <v>1830950</v>
      </c>
    </row>
    <row r="1126" spans="1:5" s="2483" customFormat="1" ht="15.75" x14ac:dyDescent="0.25">
      <c r="A1126" s="2266">
        <v>22020202</v>
      </c>
      <c r="B1126" s="3317" t="s">
        <v>1624</v>
      </c>
      <c r="C1126" s="2268">
        <v>830950</v>
      </c>
      <c r="D1126" s="2268">
        <v>793980</v>
      </c>
      <c r="E1126" s="2268">
        <v>830950</v>
      </c>
    </row>
    <row r="1127" spans="1:5" s="2483" customFormat="1" ht="15.75" x14ac:dyDescent="0.25">
      <c r="A1127" s="2266">
        <v>22020203</v>
      </c>
      <c r="B1127" s="3317" t="s">
        <v>15</v>
      </c>
      <c r="C1127" s="2268">
        <v>500000</v>
      </c>
      <c r="D1127" s="2268">
        <v>276000</v>
      </c>
      <c r="E1127" s="2268">
        <v>500000</v>
      </c>
    </row>
    <row r="1128" spans="1:5" s="2483" customFormat="1" ht="16.5" thickBot="1" x14ac:dyDescent="0.3">
      <c r="A1128" s="2266">
        <v>22020210</v>
      </c>
      <c r="B1128" s="3317" t="s">
        <v>1625</v>
      </c>
      <c r="C1128" s="2269">
        <v>500000</v>
      </c>
      <c r="D1128" s="3318">
        <v>0</v>
      </c>
      <c r="E1128" s="2269">
        <v>500000</v>
      </c>
    </row>
    <row r="1129" spans="1:5" s="2483" customFormat="1" ht="16.5" thickBot="1" x14ac:dyDescent="0.3">
      <c r="A1129" s="2273">
        <v>22020300</v>
      </c>
      <c r="B1129" s="2274" t="s">
        <v>66</v>
      </c>
      <c r="C1129" s="2271">
        <f>SUM(C1130:C1134)</f>
        <v>6154775</v>
      </c>
      <c r="D1129" s="2272">
        <f>SUM(D1130:D1134)</f>
        <v>1130950</v>
      </c>
      <c r="E1129" s="2396">
        <f>SUM(E1130:E1134)</f>
        <v>6154775</v>
      </c>
    </row>
    <row r="1130" spans="1:5" s="2483" customFormat="1" ht="15.75" x14ac:dyDescent="0.25">
      <c r="A1130" s="2266">
        <v>22020301</v>
      </c>
      <c r="B1130" s="2267" t="s">
        <v>17</v>
      </c>
      <c r="C1130" s="2268">
        <v>2178037</v>
      </c>
      <c r="D1130" s="2268">
        <v>548500</v>
      </c>
      <c r="E1130" s="2268">
        <v>2178037</v>
      </c>
    </row>
    <row r="1131" spans="1:5" s="2483" customFormat="1" ht="15.75" x14ac:dyDescent="0.25">
      <c r="A1131" s="2266">
        <v>22020304</v>
      </c>
      <c r="B1131" s="2267" t="s">
        <v>1626</v>
      </c>
      <c r="C1131" s="2268">
        <v>416667</v>
      </c>
      <c r="D1131" s="2268">
        <v>0</v>
      </c>
      <c r="E1131" s="2268">
        <v>416667</v>
      </c>
    </row>
    <row r="1132" spans="1:5" s="2483" customFormat="1" ht="15.75" x14ac:dyDescent="0.25">
      <c r="A1132" s="2266">
        <v>22020307</v>
      </c>
      <c r="B1132" s="2267" t="s">
        <v>1627</v>
      </c>
      <c r="C1132" s="2268">
        <v>1032804</v>
      </c>
      <c r="D1132" s="2268">
        <v>392450</v>
      </c>
      <c r="E1132" s="2268">
        <v>1032804</v>
      </c>
    </row>
    <row r="1133" spans="1:5" s="2483" customFormat="1" ht="15.75" x14ac:dyDescent="0.25">
      <c r="A1133" s="2266">
        <v>22020309</v>
      </c>
      <c r="B1133" s="2267" t="s">
        <v>1628</v>
      </c>
      <c r="C1133" s="2268">
        <v>747070</v>
      </c>
      <c r="D1133" s="2268">
        <v>0</v>
      </c>
      <c r="E1133" s="2268">
        <v>747070</v>
      </c>
    </row>
    <row r="1134" spans="1:5" s="2483" customFormat="1" ht="16.5" thickBot="1" x14ac:dyDescent="0.3">
      <c r="A1134" s="2266">
        <v>22020310</v>
      </c>
      <c r="B1134" s="2267" t="s">
        <v>24</v>
      </c>
      <c r="C1134" s="2269">
        <v>1780197</v>
      </c>
      <c r="D1134" s="2269">
        <v>190000</v>
      </c>
      <c r="E1134" s="2269">
        <v>1780197</v>
      </c>
    </row>
    <row r="1135" spans="1:5" s="2483" customFormat="1" ht="16.5" thickBot="1" x14ac:dyDescent="0.3">
      <c r="A1135" s="2273">
        <v>22020400</v>
      </c>
      <c r="B1135" s="2274" t="s">
        <v>67</v>
      </c>
      <c r="C1135" s="2271">
        <f>SUM(C1136:C1138)</f>
        <v>3781578</v>
      </c>
      <c r="D1135" s="2272">
        <f>SUM(D1136:D1138)</f>
        <v>2085100</v>
      </c>
      <c r="E1135" s="2396">
        <f>SUM(E1136:E1138)</f>
        <v>3781578</v>
      </c>
    </row>
    <row r="1136" spans="1:5" s="2483" customFormat="1" ht="15.75" x14ac:dyDescent="0.25">
      <c r="A1136" s="2266">
        <v>22020401</v>
      </c>
      <c r="B1136" s="2267" t="s">
        <v>79</v>
      </c>
      <c r="C1136" s="2268">
        <v>2095073</v>
      </c>
      <c r="D1136" s="2268">
        <v>744250</v>
      </c>
      <c r="E1136" s="2268">
        <v>2095073</v>
      </c>
    </row>
    <row r="1137" spans="1:5" s="2483" customFormat="1" ht="15.75" x14ac:dyDescent="0.25">
      <c r="A1137" s="2266">
        <v>22020404</v>
      </c>
      <c r="B1137" s="2267" t="s">
        <v>1629</v>
      </c>
      <c r="C1137" s="2268">
        <v>769575</v>
      </c>
      <c r="D1137" s="2268">
        <v>1306850</v>
      </c>
      <c r="E1137" s="2268">
        <v>769575</v>
      </c>
    </row>
    <row r="1138" spans="1:5" s="2483" customFormat="1" ht="16.5" thickBot="1" x14ac:dyDescent="0.3">
      <c r="A1138" s="2266">
        <v>22020406</v>
      </c>
      <c r="B1138" s="3319" t="s">
        <v>4300</v>
      </c>
      <c r="C1138" s="2269">
        <v>916930</v>
      </c>
      <c r="D1138" s="2269">
        <v>34000</v>
      </c>
      <c r="E1138" s="2269">
        <v>916930</v>
      </c>
    </row>
    <row r="1139" spans="1:5" s="2483" customFormat="1" ht="16.5" thickBot="1" x14ac:dyDescent="0.3">
      <c r="A1139" s="2273">
        <v>22020500</v>
      </c>
      <c r="B1139" s="2274" t="s">
        <v>68</v>
      </c>
      <c r="C1139" s="2271">
        <f>SUM(C1140:C1140)</f>
        <v>5058068</v>
      </c>
      <c r="D1139" s="2272">
        <f>SUM(D1140:D1140)</f>
        <v>1419000</v>
      </c>
      <c r="E1139" s="2396">
        <f>SUM(E1140:E1140)</f>
        <v>5058068</v>
      </c>
    </row>
    <row r="1140" spans="1:5" s="2483" customFormat="1" ht="16.5" thickBot="1" x14ac:dyDescent="0.3">
      <c r="A1140" s="2266">
        <v>22020501</v>
      </c>
      <c r="B1140" s="2267" t="s">
        <v>1479</v>
      </c>
      <c r="C1140" s="2268">
        <v>5058068</v>
      </c>
      <c r="D1140" s="2268">
        <v>1419000</v>
      </c>
      <c r="E1140" s="2268">
        <v>5058068</v>
      </c>
    </row>
    <row r="1141" spans="1:5" s="2483" customFormat="1" ht="16.5" thickBot="1" x14ac:dyDescent="0.3">
      <c r="A1141" s="2273">
        <v>22020700</v>
      </c>
      <c r="B1141" s="2274" t="s">
        <v>70</v>
      </c>
      <c r="C1141" s="2271">
        <f>SUM(C1142:C1143)</f>
        <v>2188256</v>
      </c>
      <c r="D1141" s="2272">
        <f>SUM(D1142:D1143)</f>
        <v>200000</v>
      </c>
      <c r="E1141" s="2396">
        <f>SUM(E1142:E1143)</f>
        <v>2188256</v>
      </c>
    </row>
    <row r="1142" spans="1:5" s="2483" customFormat="1" ht="15.75" x14ac:dyDescent="0.25">
      <c r="A1142" s="2266">
        <v>22020701</v>
      </c>
      <c r="B1142" s="2267" t="s">
        <v>34</v>
      </c>
      <c r="C1142" s="3320">
        <v>500000</v>
      </c>
      <c r="D1142" s="3320">
        <v>200000</v>
      </c>
      <c r="E1142" s="3320">
        <v>500000</v>
      </c>
    </row>
    <row r="1143" spans="1:5" s="2483" customFormat="1" ht="16.5" thickBot="1" x14ac:dyDescent="0.3">
      <c r="A1143" s="2266">
        <v>22020702</v>
      </c>
      <c r="B1143" s="2267" t="s">
        <v>1630</v>
      </c>
      <c r="C1143" s="3321">
        <v>1688256</v>
      </c>
      <c r="D1143" s="3321">
        <v>0</v>
      </c>
      <c r="E1143" s="3321">
        <v>1688256</v>
      </c>
    </row>
    <row r="1144" spans="1:5" s="2483" customFormat="1" ht="16.5" thickBot="1" x14ac:dyDescent="0.3">
      <c r="A1144" s="2273">
        <v>22020800</v>
      </c>
      <c r="B1144" s="2274" t="s">
        <v>71</v>
      </c>
      <c r="C1144" s="2275">
        <f>SUM(C1145:C1146)</f>
        <v>12596864</v>
      </c>
      <c r="D1144" s="2275">
        <f>SUM(D1145:D1146)</f>
        <v>7564475</v>
      </c>
      <c r="E1144" s="2275">
        <f>SUM(E1145:E1146)</f>
        <v>12596864</v>
      </c>
    </row>
    <row r="1145" spans="1:5" s="2483" customFormat="1" ht="15.75" x14ac:dyDescent="0.25">
      <c r="A1145" s="2266">
        <v>22020801</v>
      </c>
      <c r="B1145" s="2267" t="s">
        <v>1631</v>
      </c>
      <c r="C1145" s="3320">
        <v>2500000</v>
      </c>
      <c r="D1145" s="3320">
        <v>1430325</v>
      </c>
      <c r="E1145" s="3320">
        <v>2500000</v>
      </c>
    </row>
    <row r="1146" spans="1:5" s="2483" customFormat="1" ht="15.75" x14ac:dyDescent="0.25">
      <c r="A1146" s="2266">
        <v>22020803</v>
      </c>
      <c r="B1146" s="2267" t="s">
        <v>115</v>
      </c>
      <c r="C1146" s="3320">
        <v>10096864</v>
      </c>
      <c r="D1146" s="3320">
        <v>6134150</v>
      </c>
      <c r="E1146" s="3320">
        <v>10096864</v>
      </c>
    </row>
    <row r="1147" spans="1:5" s="2483" customFormat="1" ht="16.5" thickBot="1" x14ac:dyDescent="0.3">
      <c r="A1147" s="2273">
        <v>22020900</v>
      </c>
      <c r="B1147" s="2274" t="s">
        <v>1632</v>
      </c>
      <c r="C1147" s="3322">
        <f>SUM(C1148:C1148)</f>
        <v>343871</v>
      </c>
      <c r="D1147" s="3323">
        <f>SUM(D1148:D1148)</f>
        <v>150173.49</v>
      </c>
      <c r="E1147" s="3323">
        <f>SUM(E1148:E1148)</f>
        <v>343871</v>
      </c>
    </row>
    <row r="1148" spans="1:5" s="2483" customFormat="1" ht="16.5" thickBot="1" x14ac:dyDescent="0.3">
      <c r="A1148" s="2266">
        <v>22020901</v>
      </c>
      <c r="B1148" s="2267" t="s">
        <v>1514</v>
      </c>
      <c r="C1148" s="3320">
        <v>343871</v>
      </c>
      <c r="D1148" s="2268">
        <v>150173.49</v>
      </c>
      <c r="E1148" s="3320">
        <v>343871</v>
      </c>
    </row>
    <row r="1149" spans="1:5" s="2483" customFormat="1" ht="16.5" thickBot="1" x14ac:dyDescent="0.3">
      <c r="A1149" s="2273">
        <v>22021000</v>
      </c>
      <c r="B1149" s="2274" t="s">
        <v>73</v>
      </c>
      <c r="C1149" s="2275">
        <f>SUM(C1150:C1158)</f>
        <v>19045426</v>
      </c>
      <c r="D1149" s="2275">
        <f>SUM(D1150:D1158)</f>
        <v>6983863.7799999993</v>
      </c>
      <c r="E1149" s="2275">
        <f>SUM(E1150:E1158)</f>
        <v>19045426</v>
      </c>
    </row>
    <row r="1150" spans="1:5" s="2483" customFormat="1" ht="15.75" x14ac:dyDescent="0.25">
      <c r="A1150" s="2266">
        <v>22021001</v>
      </c>
      <c r="B1150" s="2267" t="s">
        <v>41</v>
      </c>
      <c r="C1150" s="3170">
        <v>4228571</v>
      </c>
      <c r="D1150" s="2268">
        <v>3631750</v>
      </c>
      <c r="E1150" s="2268">
        <v>4228571</v>
      </c>
    </row>
    <row r="1151" spans="1:5" s="2483" customFormat="1" ht="15.75" x14ac:dyDescent="0.25">
      <c r="A1151" s="2266">
        <v>22021003</v>
      </c>
      <c r="B1151" s="2267" t="s">
        <v>42</v>
      </c>
      <c r="C1151" s="3170">
        <v>1391535</v>
      </c>
      <c r="D1151" s="2268">
        <v>401900</v>
      </c>
      <c r="E1151" s="2268">
        <v>1391535</v>
      </c>
    </row>
    <row r="1152" spans="1:5" s="2483" customFormat="1" ht="15.75" x14ac:dyDescent="0.25">
      <c r="A1152" s="2266">
        <v>22021006</v>
      </c>
      <c r="B1152" s="2267" t="s">
        <v>43</v>
      </c>
      <c r="C1152" s="3170">
        <v>258434</v>
      </c>
      <c r="D1152" s="2268">
        <v>46562.78</v>
      </c>
      <c r="E1152" s="2268">
        <v>258434</v>
      </c>
    </row>
    <row r="1153" spans="1:5" s="2483" customFormat="1" ht="15.75" x14ac:dyDescent="0.25">
      <c r="A1153" s="2266">
        <v>22021008</v>
      </c>
      <c r="B1153" s="2267" t="s">
        <v>45</v>
      </c>
      <c r="C1153" s="3170">
        <v>616402</v>
      </c>
      <c r="D1153" s="2268">
        <v>440215</v>
      </c>
      <c r="E1153" s="2268">
        <v>616402</v>
      </c>
    </row>
    <row r="1154" spans="1:5" s="2483" customFormat="1" ht="15.75" x14ac:dyDescent="0.25">
      <c r="A1154" s="2266">
        <v>22021015</v>
      </c>
      <c r="B1154" s="2267" t="s">
        <v>1633</v>
      </c>
      <c r="C1154" s="3170">
        <v>5201123</v>
      </c>
      <c r="D1154" s="2268">
        <v>1459956</v>
      </c>
      <c r="E1154" s="2268">
        <v>5201123</v>
      </c>
    </row>
    <row r="1155" spans="1:5" s="2483" customFormat="1" ht="15.75" x14ac:dyDescent="0.25">
      <c r="A1155" s="2266">
        <v>22021019</v>
      </c>
      <c r="B1155" s="2267" t="s">
        <v>1634</v>
      </c>
      <c r="C1155" s="3170">
        <v>2939227</v>
      </c>
      <c r="D1155" s="2268">
        <v>654600</v>
      </c>
      <c r="E1155" s="2268">
        <v>2939227</v>
      </c>
    </row>
    <row r="1156" spans="1:5" s="2483" customFormat="1" ht="15.75" x14ac:dyDescent="0.25">
      <c r="A1156" s="2266">
        <v>22021021</v>
      </c>
      <c r="B1156" s="2267" t="s">
        <v>1635</v>
      </c>
      <c r="C1156" s="3170">
        <v>1537207</v>
      </c>
      <c r="D1156" s="2268">
        <v>44880</v>
      </c>
      <c r="E1156" s="2268">
        <v>1537207</v>
      </c>
    </row>
    <row r="1157" spans="1:5" s="2483" customFormat="1" ht="15.75" x14ac:dyDescent="0.25">
      <c r="A1157" s="2266">
        <v>22021022</v>
      </c>
      <c r="B1157" s="2267" t="s">
        <v>1636</v>
      </c>
      <c r="C1157" s="3170">
        <v>1412610</v>
      </c>
      <c r="D1157" s="2268">
        <v>0</v>
      </c>
      <c r="E1157" s="2268">
        <v>1412610</v>
      </c>
    </row>
    <row r="1158" spans="1:5" s="2483" customFormat="1" ht="15.75" x14ac:dyDescent="0.25">
      <c r="A1158" s="2266">
        <v>22021028</v>
      </c>
      <c r="B1158" s="2267" t="s">
        <v>1637</v>
      </c>
      <c r="C1158" s="3170">
        <v>1460317</v>
      </c>
      <c r="D1158" s="2268">
        <v>304000</v>
      </c>
      <c r="E1158" s="2268">
        <v>1460317</v>
      </c>
    </row>
    <row r="1159" spans="1:5" s="2483" customFormat="1" ht="9" customHeight="1" thickBot="1" x14ac:dyDescent="0.3">
      <c r="A1159" s="2273"/>
      <c r="B1159" s="2274"/>
      <c r="C1159" s="3324"/>
      <c r="D1159" s="3325"/>
      <c r="E1159" s="3325"/>
    </row>
    <row r="1160" spans="1:5" s="2483" customFormat="1" ht="16.5" thickBot="1" x14ac:dyDescent="0.3">
      <c r="A1160" s="2492"/>
      <c r="B1160" s="3172" t="s">
        <v>2691</v>
      </c>
      <c r="C1160" s="3171">
        <f>C1121+C1125+C1129+C1135+C1139+C1141+C1144+C1147+C1149</f>
        <v>67411667</v>
      </c>
      <c r="D1160" s="2276">
        <f>D1121+D1125+D1129+D1135+D1139+D1141+D1144+D1147+D1149</f>
        <v>22515766.27</v>
      </c>
      <c r="E1160" s="2275">
        <f>E1121+E1125+E1129+E1135+E1139+E1141+E1144+E1147+E1149</f>
        <v>67411667</v>
      </c>
    </row>
    <row r="1161" spans="1:5" s="174" customFormat="1" x14ac:dyDescent="0.3">
      <c r="C1161" s="2333"/>
      <c r="E1161" s="2333"/>
    </row>
    <row r="1162" spans="1:5" s="174" customFormat="1" x14ac:dyDescent="0.3">
      <c r="A1162" s="1984"/>
      <c r="B1162" s="1984"/>
      <c r="C1162" s="2082"/>
      <c r="D1162" s="1984"/>
      <c r="E1162" s="2082"/>
    </row>
    <row r="1163" spans="1:5" s="174" customFormat="1" x14ac:dyDescent="0.3">
      <c r="A1163" s="3477" t="s">
        <v>1856</v>
      </c>
      <c r="B1163" s="3477"/>
      <c r="C1163" s="3477"/>
      <c r="D1163" s="3477"/>
      <c r="E1163" s="3477"/>
    </row>
    <row r="1164" spans="1:5" s="174" customFormat="1" x14ac:dyDescent="0.3">
      <c r="A1164" s="3477" t="s">
        <v>80</v>
      </c>
      <c r="B1164" s="3477"/>
      <c r="C1164" s="3477"/>
      <c r="D1164" s="3477"/>
      <c r="E1164" s="3477"/>
    </row>
    <row r="1165" spans="1:5" s="174" customFormat="1" ht="21" thickBot="1" x14ac:dyDescent="0.35">
      <c r="A1165" s="3476" t="s">
        <v>1224</v>
      </c>
      <c r="B1165" s="3476"/>
      <c r="C1165" s="3476"/>
      <c r="D1165" s="3476"/>
      <c r="E1165" s="3476"/>
    </row>
    <row r="1166" spans="1:5" ht="81.75" thickBot="1" x14ac:dyDescent="0.35">
      <c r="A1166" s="2004" t="s">
        <v>1014</v>
      </c>
      <c r="B1166" s="2004" t="s">
        <v>282</v>
      </c>
      <c r="C1166" s="173" t="s">
        <v>1174</v>
      </c>
      <c r="D1166" s="173" t="s">
        <v>1145</v>
      </c>
      <c r="E1166" s="173" t="s">
        <v>3096</v>
      </c>
    </row>
    <row r="1167" spans="1:5" ht="21" thickBot="1" x14ac:dyDescent="0.35">
      <c r="A1167" s="3184"/>
      <c r="B1167" s="3185"/>
      <c r="C1167" s="3186"/>
      <c r="D1167" s="3187"/>
      <c r="E1167" s="3186"/>
    </row>
    <row r="1168" spans="1:5" ht="21" thickBot="1" x14ac:dyDescent="0.25">
      <c r="A1168" s="1993">
        <v>22020100</v>
      </c>
      <c r="B1168" s="2010" t="s">
        <v>64</v>
      </c>
      <c r="C1168" s="1994">
        <f>SUM(C1169:C1169)</f>
        <v>1400000</v>
      </c>
      <c r="D1168" s="1994">
        <f>SUM(D1169:D1169)</f>
        <v>620000</v>
      </c>
      <c r="E1168" s="1994">
        <f>SUM(E1169:E1169)</f>
        <v>1400000</v>
      </c>
    </row>
    <row r="1169" spans="1:5" ht="21" thickBot="1" x14ac:dyDescent="0.25">
      <c r="A1169" s="1861">
        <v>22020102</v>
      </c>
      <c r="B1169" s="151" t="s">
        <v>10</v>
      </c>
      <c r="C1169" s="152">
        <v>1400000</v>
      </c>
      <c r="D1169" s="152">
        <v>620000</v>
      </c>
      <c r="E1169" s="152">
        <v>1400000</v>
      </c>
    </row>
    <row r="1170" spans="1:5" ht="21" thickBot="1" x14ac:dyDescent="0.25">
      <c r="A1170" s="1993">
        <v>22020200</v>
      </c>
      <c r="B1170" s="2010" t="s">
        <v>65</v>
      </c>
      <c r="C1170" s="2018">
        <f>SUM(C1171:C1172)</f>
        <v>990000</v>
      </c>
      <c r="D1170" s="2018">
        <f>SUM(D1171:D1172)</f>
        <v>0</v>
      </c>
      <c r="E1170" s="2018">
        <f>SUM(E1171:E1172)</f>
        <v>490000</v>
      </c>
    </row>
    <row r="1171" spans="1:5" x14ac:dyDescent="0.2">
      <c r="A1171" s="1861">
        <v>22020201</v>
      </c>
      <c r="B1171" s="151" t="s">
        <v>13</v>
      </c>
      <c r="C1171" s="152">
        <v>500000</v>
      </c>
      <c r="D1171" s="2334"/>
      <c r="E1171" s="152">
        <v>0</v>
      </c>
    </row>
    <row r="1172" spans="1:5" ht="21" thickBot="1" x14ac:dyDescent="0.25">
      <c r="A1172" s="1861">
        <v>22020202</v>
      </c>
      <c r="B1172" s="151" t="s">
        <v>15</v>
      </c>
      <c r="C1172" s="1892">
        <v>490000</v>
      </c>
      <c r="D1172" s="2335"/>
      <c r="E1172" s="1892">
        <v>490000</v>
      </c>
    </row>
    <row r="1173" spans="1:5" ht="21" thickBot="1" x14ac:dyDescent="0.25">
      <c r="A1173" s="1993">
        <v>22020300</v>
      </c>
      <c r="B1173" s="2010" t="s">
        <v>66</v>
      </c>
      <c r="C1173" s="1994">
        <f>SUM(C1174:C1174)</f>
        <v>700000</v>
      </c>
      <c r="D1173" s="2011">
        <f>SUM(D1174:D1174)</f>
        <v>310000</v>
      </c>
      <c r="E1173" s="1994">
        <f>SUM(E1174:E1174)</f>
        <v>700000</v>
      </c>
    </row>
    <row r="1174" spans="1:5" ht="21" thickBot="1" x14ac:dyDescent="0.25">
      <c r="A1174" s="1861">
        <v>22020301</v>
      </c>
      <c r="B1174" s="151" t="s">
        <v>17</v>
      </c>
      <c r="C1174" s="152">
        <v>700000</v>
      </c>
      <c r="D1174" s="152">
        <v>310000</v>
      </c>
      <c r="E1174" s="152">
        <v>700000</v>
      </c>
    </row>
    <row r="1175" spans="1:5" ht="21" thickBot="1" x14ac:dyDescent="0.25">
      <c r="A1175" s="1993">
        <v>22020400</v>
      </c>
      <c r="B1175" s="2010" t="s">
        <v>67</v>
      </c>
      <c r="C1175" s="2062">
        <f>SUM(C1176:C1177)</f>
        <v>2250000</v>
      </c>
      <c r="D1175" s="2018">
        <f>SUM(D1176:D1177)</f>
        <v>1165000</v>
      </c>
      <c r="E1175" s="2018">
        <f>SUM(E1176:E1177)</f>
        <v>2250000</v>
      </c>
    </row>
    <row r="1176" spans="1:5" x14ac:dyDescent="0.2">
      <c r="A1176" s="1861">
        <v>22020401</v>
      </c>
      <c r="B1176" s="2024" t="s">
        <v>79</v>
      </c>
      <c r="C1176" s="152">
        <v>1050000</v>
      </c>
      <c r="D1176" s="152">
        <v>465000</v>
      </c>
      <c r="E1176" s="152">
        <v>1050000</v>
      </c>
    </row>
    <row r="1177" spans="1:5" ht="21" thickBot="1" x14ac:dyDescent="0.25">
      <c r="A1177" s="1861">
        <v>22020406</v>
      </c>
      <c r="B1177" s="151" t="s">
        <v>704</v>
      </c>
      <c r="C1177" s="152">
        <v>1200000</v>
      </c>
      <c r="D1177" s="152">
        <v>700000</v>
      </c>
      <c r="E1177" s="152">
        <v>1200000</v>
      </c>
    </row>
    <row r="1178" spans="1:5" ht="21" thickBot="1" x14ac:dyDescent="0.25">
      <c r="A1178" s="2005">
        <v>22020500</v>
      </c>
      <c r="B1178" s="2059" t="s">
        <v>68</v>
      </c>
      <c r="C1178" s="1994">
        <f>SUM(C1179:C1179)</f>
        <v>50000</v>
      </c>
      <c r="D1178" s="2011">
        <f>SUM(D1179:D1179)</f>
        <v>0</v>
      </c>
      <c r="E1178" s="2012">
        <f>SUM(E1179:E1179)</f>
        <v>0</v>
      </c>
    </row>
    <row r="1179" spans="1:5" ht="21" thickBot="1" x14ac:dyDescent="0.25">
      <c r="A1179" s="1861">
        <v>22020501</v>
      </c>
      <c r="B1179" s="151" t="s">
        <v>30</v>
      </c>
      <c r="C1179" s="2076">
        <v>50000</v>
      </c>
      <c r="D1179" s="1892"/>
      <c r="E1179" s="1892"/>
    </row>
    <row r="1180" spans="1:5" ht="21" thickBot="1" x14ac:dyDescent="0.25">
      <c r="A1180" s="1993">
        <v>22021000</v>
      </c>
      <c r="B1180" s="2010" t="s">
        <v>73</v>
      </c>
      <c r="C1180" s="2106">
        <f>SUM(C1181:C1181)</f>
        <v>350000</v>
      </c>
      <c r="D1180" s="2011">
        <f>SUM(D1181:D1181)</f>
        <v>155000</v>
      </c>
      <c r="E1180" s="2012">
        <f>SUM(E1181:E1181)</f>
        <v>400000</v>
      </c>
    </row>
    <row r="1181" spans="1:5" x14ac:dyDescent="0.2">
      <c r="A1181" s="1861">
        <v>22021001</v>
      </c>
      <c r="B1181" s="151" t="s">
        <v>41</v>
      </c>
      <c r="C1181" s="2076">
        <v>350000</v>
      </c>
      <c r="D1181" s="1892">
        <v>155000</v>
      </c>
      <c r="E1181" s="1892">
        <v>400000</v>
      </c>
    </row>
    <row r="1182" spans="1:5" ht="21" thickBot="1" x14ac:dyDescent="0.25">
      <c r="A1182" s="1993"/>
      <c r="B1182" s="2010"/>
      <c r="C1182" s="3147"/>
      <c r="D1182" s="2097"/>
      <c r="E1182" s="2097"/>
    </row>
    <row r="1183" spans="1:5" ht="21" thickBot="1" x14ac:dyDescent="0.25">
      <c r="A1183" s="2177"/>
      <c r="B1183" s="2105" t="s">
        <v>1361</v>
      </c>
      <c r="C1183" s="2062">
        <f>SUM(C1168,C1170,C1173,C1175,C1178,C1180)</f>
        <v>5740000</v>
      </c>
      <c r="D1183" s="2018">
        <f>SUM(D1168,D1170,D1173,D1175,D1178,D1180)</f>
        <v>2250000</v>
      </c>
      <c r="E1183" s="2018">
        <f>SUM(E1168,E1170,E1173,E1175,E1178,E1180)</f>
        <v>5240000</v>
      </c>
    </row>
    <row r="1184" spans="1:5" x14ac:dyDescent="0.2">
      <c r="A1184" s="2043"/>
      <c r="B1184" s="2044"/>
      <c r="C1184" s="2045"/>
      <c r="D1184" s="2045"/>
      <c r="E1184" s="2045"/>
    </row>
    <row r="1185" spans="1:5" x14ac:dyDescent="0.2">
      <c r="A1185" s="3477" t="s">
        <v>1475</v>
      </c>
      <c r="B1185" s="3477"/>
      <c r="C1185" s="3477"/>
      <c r="D1185" s="3477"/>
      <c r="E1185" s="3477"/>
    </row>
    <row r="1186" spans="1:5" x14ac:dyDescent="0.2">
      <c r="A1186" s="3477" t="s">
        <v>1476</v>
      </c>
      <c r="B1186" s="3477"/>
      <c r="C1186" s="3477"/>
      <c r="D1186" s="3477"/>
      <c r="E1186" s="3477"/>
    </row>
    <row r="1187" spans="1:5" ht="21" thickBot="1" x14ac:dyDescent="0.25">
      <c r="A1187" s="3476" t="s">
        <v>1550</v>
      </c>
      <c r="B1187" s="3476"/>
      <c r="C1187" s="3476"/>
      <c r="D1187" s="3476"/>
      <c r="E1187" s="3476"/>
    </row>
    <row r="1188" spans="1:5" ht="81.75" thickBot="1" x14ac:dyDescent="0.35">
      <c r="A1188" s="2004" t="s">
        <v>1014</v>
      </c>
      <c r="B1188" s="2004" t="s">
        <v>282</v>
      </c>
      <c r="C1188" s="173" t="s">
        <v>1174</v>
      </c>
      <c r="D1188" s="173" t="s">
        <v>1145</v>
      </c>
      <c r="E1188" s="173" t="s">
        <v>3096</v>
      </c>
    </row>
    <row r="1189" spans="1:5" ht="21" thickBot="1" x14ac:dyDescent="0.35">
      <c r="A1189" s="3184"/>
      <c r="B1189" s="3185"/>
      <c r="C1189" s="3186"/>
      <c r="D1189" s="3187"/>
      <c r="E1189" s="3186"/>
    </row>
    <row r="1190" spans="1:5" s="2083" customFormat="1" ht="21" thickBot="1" x14ac:dyDescent="0.35">
      <c r="A1190" s="1993">
        <v>22020100</v>
      </c>
      <c r="B1190" s="2010" t="s">
        <v>64</v>
      </c>
      <c r="C1190" s="1994">
        <f>SUM(C1191:C1191)</f>
        <v>800000</v>
      </c>
      <c r="D1190" s="2011">
        <f>SUM(D1191:D1191)</f>
        <v>496137</v>
      </c>
      <c r="E1190" s="2012">
        <f>SUM(E1191:E1191)</f>
        <v>800000</v>
      </c>
    </row>
    <row r="1191" spans="1:5" s="2083" customFormat="1" ht="21" thickBot="1" x14ac:dyDescent="0.35">
      <c r="A1191" s="1861">
        <v>22020102</v>
      </c>
      <c r="B1191" s="151" t="s">
        <v>10</v>
      </c>
      <c r="C1191" s="1892">
        <v>800000</v>
      </c>
      <c r="D1191" s="1892">
        <v>496137</v>
      </c>
      <c r="E1191" s="1892">
        <v>800000</v>
      </c>
    </row>
    <row r="1192" spans="1:5" s="2083" customFormat="1" ht="21" thickBot="1" x14ac:dyDescent="0.35">
      <c r="A1192" s="1993">
        <v>22020300</v>
      </c>
      <c r="B1192" s="2010" t="s">
        <v>66</v>
      </c>
      <c r="C1192" s="1994">
        <f>SUM(C1193:C1195)</f>
        <v>1080089</v>
      </c>
      <c r="D1192" s="2011">
        <f>SUM(D1193:D1195)</f>
        <v>629950</v>
      </c>
      <c r="E1192" s="2012">
        <f>SUM(E1193:E1195)</f>
        <v>1080089</v>
      </c>
    </row>
    <row r="1193" spans="1:5" s="2083" customFormat="1" x14ac:dyDescent="0.3">
      <c r="A1193" s="1861">
        <v>22020301</v>
      </c>
      <c r="B1193" s="151" t="s">
        <v>17</v>
      </c>
      <c r="C1193" s="152">
        <v>500000</v>
      </c>
      <c r="D1193" s="152">
        <v>366480</v>
      </c>
      <c r="E1193" s="152">
        <v>500000</v>
      </c>
    </row>
    <row r="1194" spans="1:5" s="2083" customFormat="1" x14ac:dyDescent="0.3">
      <c r="A1194" s="1861">
        <v>22020304</v>
      </c>
      <c r="B1194" s="151" t="s">
        <v>724</v>
      </c>
      <c r="C1194" s="152">
        <v>200000</v>
      </c>
      <c r="D1194" s="152">
        <v>0</v>
      </c>
      <c r="E1194" s="152">
        <v>200000</v>
      </c>
    </row>
    <row r="1195" spans="1:5" s="2083" customFormat="1" ht="21" thickBot="1" x14ac:dyDescent="0.35">
      <c r="A1195" s="1861">
        <v>22020307</v>
      </c>
      <c r="B1195" s="151" t="s">
        <v>725</v>
      </c>
      <c r="C1195" s="1892">
        <v>380089</v>
      </c>
      <c r="D1195" s="1892">
        <v>263470</v>
      </c>
      <c r="E1195" s="1892">
        <v>380089</v>
      </c>
    </row>
    <row r="1196" spans="1:5" s="2083" customFormat="1" ht="21" thickBot="1" x14ac:dyDescent="0.35">
      <c r="A1196" s="1993">
        <v>22020400</v>
      </c>
      <c r="B1196" s="2010" t="s">
        <v>67</v>
      </c>
      <c r="C1196" s="1994">
        <f>SUM(C1197:C1200)</f>
        <v>1545000</v>
      </c>
      <c r="D1196" s="2011">
        <f>SUM(D1197:D1200)</f>
        <v>1209724</v>
      </c>
      <c r="E1196" s="2012">
        <f>SUM(E1197:E1200)</f>
        <v>1545000</v>
      </c>
    </row>
    <row r="1197" spans="1:5" s="2083" customFormat="1" x14ac:dyDescent="0.3">
      <c r="A1197" s="1861">
        <v>22020401</v>
      </c>
      <c r="B1197" s="151" t="s">
        <v>79</v>
      </c>
      <c r="C1197" s="152">
        <v>400000</v>
      </c>
      <c r="D1197" s="152">
        <v>314967</v>
      </c>
      <c r="E1197" s="152">
        <v>400000</v>
      </c>
    </row>
    <row r="1198" spans="1:5" s="2083" customFormat="1" x14ac:dyDescent="0.3">
      <c r="A1198" s="1861">
        <v>22020402</v>
      </c>
      <c r="B1198" s="151" t="s">
        <v>182</v>
      </c>
      <c r="C1198" s="152">
        <v>350000</v>
      </c>
      <c r="D1198" s="152">
        <v>282787</v>
      </c>
      <c r="E1198" s="152">
        <v>350000</v>
      </c>
    </row>
    <row r="1199" spans="1:5" s="2083" customFormat="1" x14ac:dyDescent="0.3">
      <c r="A1199" s="1861">
        <v>22020406</v>
      </c>
      <c r="B1199" s="151" t="s">
        <v>29</v>
      </c>
      <c r="C1199" s="152">
        <v>350000</v>
      </c>
      <c r="D1199" s="152">
        <v>200000</v>
      </c>
      <c r="E1199" s="152">
        <v>350000</v>
      </c>
    </row>
    <row r="1200" spans="1:5" s="2083" customFormat="1" ht="21" thickBot="1" x14ac:dyDescent="0.35">
      <c r="A1200" s="1861">
        <v>22020406</v>
      </c>
      <c r="B1200" s="151" t="s">
        <v>224</v>
      </c>
      <c r="C1200" s="1892">
        <v>445000</v>
      </c>
      <c r="D1200" s="1892">
        <v>411970</v>
      </c>
      <c r="E1200" s="1892">
        <v>445000</v>
      </c>
    </row>
    <row r="1201" spans="1:5" s="2083" customFormat="1" ht="21" thickBot="1" x14ac:dyDescent="0.35">
      <c r="A1201" s="1993">
        <v>22020800</v>
      </c>
      <c r="B1201" s="2010" t="s">
        <v>71</v>
      </c>
      <c r="C1201" s="1994">
        <f>SUM(C1202:C1202)</f>
        <v>700000</v>
      </c>
      <c r="D1201" s="2011">
        <f>SUM(D1202:D1202)</f>
        <v>0</v>
      </c>
      <c r="E1201" s="2012">
        <f>SUM(E1202:E1202)</f>
        <v>300000</v>
      </c>
    </row>
    <row r="1202" spans="1:5" s="2083" customFormat="1" ht="21" thickBot="1" x14ac:dyDescent="0.35">
      <c r="A1202" s="1861">
        <v>22020803</v>
      </c>
      <c r="B1202" s="151" t="s">
        <v>115</v>
      </c>
      <c r="C1202" s="2037">
        <v>700000</v>
      </c>
      <c r="D1202" s="2037"/>
      <c r="E1202" s="2037">
        <v>300000</v>
      </c>
    </row>
    <row r="1203" spans="1:5" s="2083" customFormat="1" ht="21" thickBot="1" x14ac:dyDescent="0.35">
      <c r="A1203" s="1993">
        <v>22021000</v>
      </c>
      <c r="B1203" s="2010" t="s">
        <v>73</v>
      </c>
      <c r="C1203" s="1994">
        <f>SUM(C1204:C1204)</f>
        <v>300000</v>
      </c>
      <c r="D1203" s="2011">
        <f>SUM(D1204:D1204)</f>
        <v>160100</v>
      </c>
      <c r="E1203" s="2012">
        <f>SUM(E1204:E1204)</f>
        <v>300000</v>
      </c>
    </row>
    <row r="1204" spans="1:5" s="2083" customFormat="1" x14ac:dyDescent="0.3">
      <c r="A1204" s="1861">
        <v>22021008</v>
      </c>
      <c r="B1204" s="151" t="s">
        <v>45</v>
      </c>
      <c r="C1204" s="1892">
        <v>300000</v>
      </c>
      <c r="D1204" s="1892">
        <v>160100</v>
      </c>
      <c r="E1204" s="1892">
        <v>300000</v>
      </c>
    </row>
    <row r="1205" spans="1:5" s="2083" customFormat="1" ht="21" thickBot="1" x14ac:dyDescent="0.35">
      <c r="A1205" s="1993"/>
      <c r="B1205" s="2010"/>
      <c r="C1205" s="1892"/>
      <c r="D1205" s="1892"/>
      <c r="E1205" s="1892"/>
    </row>
    <row r="1206" spans="1:5" s="2083" customFormat="1" ht="21" thickBot="1" x14ac:dyDescent="0.35">
      <c r="A1206" s="2104"/>
      <c r="B1206" s="2187" t="s">
        <v>2611</v>
      </c>
      <c r="C1206" s="1994">
        <f>C1190+C1192+C1196+C1201+C1203</f>
        <v>4425089</v>
      </c>
      <c r="D1206" s="2011">
        <f>D1190+D1192+D1196+D1201+D1203</f>
        <v>2495911</v>
      </c>
      <c r="E1206" s="2012">
        <f>E1190+E1192+E1196+E1201+E1203</f>
        <v>4025089</v>
      </c>
    </row>
    <row r="1207" spans="1:5" s="2083" customFormat="1" x14ac:dyDescent="0.3">
      <c r="C1207" s="2132"/>
      <c r="E1207" s="2132"/>
    </row>
    <row r="1208" spans="1:5" s="2083" customFormat="1" x14ac:dyDescent="0.3">
      <c r="C1208" s="2132"/>
      <c r="E1208" s="2132"/>
    </row>
    <row r="1209" spans="1:5" s="2083" customFormat="1" x14ac:dyDescent="0.3">
      <c r="A1209" s="3477" t="s">
        <v>1855</v>
      </c>
      <c r="B1209" s="3477"/>
      <c r="C1209" s="3477"/>
      <c r="D1209" s="3477"/>
      <c r="E1209" s="3477"/>
    </row>
    <row r="1210" spans="1:5" s="2083" customFormat="1" x14ac:dyDescent="0.3">
      <c r="A1210" s="3477" t="s">
        <v>1045</v>
      </c>
      <c r="B1210" s="3477"/>
      <c r="C1210" s="3477"/>
      <c r="D1210" s="3477"/>
      <c r="E1210" s="3477"/>
    </row>
    <row r="1211" spans="1:5" s="2083" customFormat="1" ht="21" thickBot="1" x14ac:dyDescent="0.35">
      <c r="A1211" s="3476" t="s">
        <v>545</v>
      </c>
      <c r="B1211" s="3476"/>
      <c r="C1211" s="3476"/>
      <c r="D1211" s="3476"/>
      <c r="E1211" s="3476"/>
    </row>
    <row r="1212" spans="1:5" s="2083" customFormat="1" ht="81.75" thickBot="1" x14ac:dyDescent="0.35">
      <c r="A1212" s="2004" t="s">
        <v>1014</v>
      </c>
      <c r="B1212" s="2004" t="s">
        <v>282</v>
      </c>
      <c r="C1212" s="173" t="s">
        <v>1174</v>
      </c>
      <c r="D1212" s="173" t="s">
        <v>1145</v>
      </c>
      <c r="E1212" s="173" t="s">
        <v>3096</v>
      </c>
    </row>
    <row r="1213" spans="1:5" s="2083" customFormat="1" ht="21" thickBot="1" x14ac:dyDescent="0.35">
      <c r="A1213" s="3185"/>
      <c r="B1213" s="3185"/>
      <c r="C1213" s="3187"/>
      <c r="D1213" s="3187"/>
      <c r="E1213" s="3187"/>
    </row>
    <row r="1214" spans="1:5" ht="21" thickBot="1" x14ac:dyDescent="0.25">
      <c r="A1214" s="1993">
        <v>22020100</v>
      </c>
      <c r="B1214" s="2010" t="s">
        <v>64</v>
      </c>
      <c r="C1214" s="1994">
        <f>SUM(C1215:C1215)</f>
        <v>1468030</v>
      </c>
      <c r="D1214" s="2011">
        <f>SUM(D1215:D1215)</f>
        <v>650132</v>
      </c>
      <c r="E1214" s="1994">
        <f>SUM(E1215:E1215)</f>
        <v>2597185</v>
      </c>
    </row>
    <row r="1215" spans="1:5" s="2112" customFormat="1" ht="21" thickBot="1" x14ac:dyDescent="0.25">
      <c r="A1215" s="1861">
        <v>22020102</v>
      </c>
      <c r="B1215" s="151" t="s">
        <v>10</v>
      </c>
      <c r="C1215" s="152">
        <v>1468030</v>
      </c>
      <c r="D1215" s="152">
        <v>650132</v>
      </c>
      <c r="E1215" s="152">
        <v>2597185</v>
      </c>
    </row>
    <row r="1216" spans="1:5" s="2112" customFormat="1" x14ac:dyDescent="0.2">
      <c r="A1216" s="1993">
        <v>22020200</v>
      </c>
      <c r="B1216" s="2010" t="s">
        <v>65</v>
      </c>
      <c r="C1216" s="2128">
        <f>SUM(C1217:C1217)</f>
        <v>191590</v>
      </c>
      <c r="D1216" s="2336">
        <f>SUM(D1217:D1217)</f>
        <v>0</v>
      </c>
      <c r="E1216" s="2128">
        <f>SUM(E1217:E1217)</f>
        <v>291590</v>
      </c>
    </row>
    <row r="1217" spans="1:5" s="2112" customFormat="1" ht="21" thickBot="1" x14ac:dyDescent="0.25">
      <c r="A1217" s="1861">
        <v>22020203</v>
      </c>
      <c r="B1217" s="151" t="s">
        <v>1216</v>
      </c>
      <c r="C1217" s="152">
        <v>191590</v>
      </c>
      <c r="D1217" s="152"/>
      <c r="E1217" s="152">
        <v>291590</v>
      </c>
    </row>
    <row r="1218" spans="1:5" s="2112" customFormat="1" ht="21" thickBot="1" x14ac:dyDescent="0.25">
      <c r="A1218" s="1993">
        <v>22020300</v>
      </c>
      <c r="B1218" s="2030" t="s">
        <v>66</v>
      </c>
      <c r="C1218" s="1994">
        <f>SUM(C1219:C1220)</f>
        <v>1696225</v>
      </c>
      <c r="D1218" s="1994">
        <f>SUM(D1219:D1220)</f>
        <v>751185</v>
      </c>
      <c r="E1218" s="1994">
        <f>SUM(E1219:E1220)</f>
        <v>3423180</v>
      </c>
    </row>
    <row r="1219" spans="1:5" s="2112" customFormat="1" x14ac:dyDescent="0.2">
      <c r="A1219" s="1861">
        <v>22020301</v>
      </c>
      <c r="B1219" s="153" t="s">
        <v>17</v>
      </c>
      <c r="C1219" s="152">
        <v>639744</v>
      </c>
      <c r="D1219" s="152">
        <v>283316</v>
      </c>
      <c r="E1219" s="152">
        <v>1913920</v>
      </c>
    </row>
    <row r="1220" spans="1:5" s="2112" customFormat="1" ht="21" thickBot="1" x14ac:dyDescent="0.25">
      <c r="A1220" s="1861">
        <v>22020302</v>
      </c>
      <c r="B1220" s="153" t="s">
        <v>1213</v>
      </c>
      <c r="C1220" s="1892">
        <v>1056481</v>
      </c>
      <c r="D1220" s="1892">
        <v>467869</v>
      </c>
      <c r="E1220" s="1892">
        <v>1509260</v>
      </c>
    </row>
    <row r="1221" spans="1:5" s="2112" customFormat="1" ht="21" thickBot="1" x14ac:dyDescent="0.25">
      <c r="A1221" s="1993">
        <v>22020400</v>
      </c>
      <c r="B1221" s="2010" t="s">
        <v>67</v>
      </c>
      <c r="C1221" s="2018">
        <f>SUM(C1222:C1225)</f>
        <v>5507478</v>
      </c>
      <c r="D1221" s="2018">
        <f>SUM(D1222:D1225)</f>
        <v>2767025</v>
      </c>
      <c r="E1221" s="2018">
        <f>SUM(E1222:E1225)</f>
        <v>11067825</v>
      </c>
    </row>
    <row r="1222" spans="1:5" s="2112" customFormat="1" x14ac:dyDescent="0.2">
      <c r="A1222" s="1861">
        <v>22020401</v>
      </c>
      <c r="B1222" s="2024" t="s">
        <v>79</v>
      </c>
      <c r="C1222" s="152">
        <v>467478</v>
      </c>
      <c r="D1222" s="152">
        <v>207025</v>
      </c>
      <c r="E1222" s="152">
        <v>1867825</v>
      </c>
    </row>
    <row r="1223" spans="1:5" s="2112" customFormat="1" x14ac:dyDescent="0.2">
      <c r="A1223" s="1861">
        <v>22020404</v>
      </c>
      <c r="B1223" s="151" t="s">
        <v>711</v>
      </c>
      <c r="C1223" s="1892">
        <v>3840000</v>
      </c>
      <c r="D1223" s="1892">
        <v>1860000</v>
      </c>
      <c r="E1223" s="1892">
        <v>3000000</v>
      </c>
    </row>
    <row r="1224" spans="1:5" s="2112" customFormat="1" x14ac:dyDescent="0.2">
      <c r="A1224" s="1861">
        <v>22020405</v>
      </c>
      <c r="B1224" s="151" t="s">
        <v>1976</v>
      </c>
      <c r="C1224" s="1892"/>
      <c r="D1224" s="1892"/>
      <c r="E1224" s="1892">
        <v>5000000</v>
      </c>
    </row>
    <row r="1225" spans="1:5" s="2112" customFormat="1" ht="21" thickBot="1" x14ac:dyDescent="0.25">
      <c r="A1225" s="1861">
        <v>22020406</v>
      </c>
      <c r="B1225" s="151" t="s">
        <v>29</v>
      </c>
      <c r="C1225" s="152">
        <v>1200000</v>
      </c>
      <c r="D1225" s="152">
        <v>700000</v>
      </c>
      <c r="E1225" s="152">
        <v>1200000</v>
      </c>
    </row>
    <row r="1226" spans="1:5" s="2112" customFormat="1" ht="21" thickBot="1" x14ac:dyDescent="0.25">
      <c r="A1226" s="1993">
        <v>22020800</v>
      </c>
      <c r="B1226" s="2010" t="s">
        <v>71</v>
      </c>
      <c r="C1226" s="1994">
        <f>SUM(C1227:C1227)</f>
        <v>1680000</v>
      </c>
      <c r="D1226" s="2011">
        <f>SUM(D1227:D1227)</f>
        <v>744000</v>
      </c>
      <c r="E1226" s="1994">
        <f>SUM(E1227:E1227)</f>
        <v>2400000</v>
      </c>
    </row>
    <row r="1227" spans="1:5" s="2112" customFormat="1" ht="21" thickBot="1" x14ac:dyDescent="0.25">
      <c r="A1227" s="1861">
        <v>22020803</v>
      </c>
      <c r="B1227" s="151" t="s">
        <v>115</v>
      </c>
      <c r="C1227" s="1892">
        <v>1680000</v>
      </c>
      <c r="D1227" s="1892">
        <v>744000</v>
      </c>
      <c r="E1227" s="1892">
        <v>2400000</v>
      </c>
    </row>
    <row r="1228" spans="1:5" s="2112" customFormat="1" ht="21" thickBot="1" x14ac:dyDescent="0.25">
      <c r="A1228" s="1993">
        <v>22021000</v>
      </c>
      <c r="B1228" s="2010" t="s">
        <v>73</v>
      </c>
      <c r="C1228" s="2062">
        <f>SUM(C1229:C1231)</f>
        <v>8513820</v>
      </c>
      <c r="D1228" s="2018">
        <f>SUM(D1229:D1231)</f>
        <v>438406</v>
      </c>
      <c r="E1228" s="2018">
        <f>SUM(E1229:E1231)</f>
        <v>13162600</v>
      </c>
    </row>
    <row r="1229" spans="1:5" s="2112" customFormat="1" x14ac:dyDescent="0.2">
      <c r="A1229" s="1861">
        <v>22021001</v>
      </c>
      <c r="B1229" s="151" t="s">
        <v>41</v>
      </c>
      <c r="C1229" s="2075">
        <v>253820</v>
      </c>
      <c r="D1229" s="152">
        <v>50406</v>
      </c>
      <c r="E1229" s="152">
        <v>1162600</v>
      </c>
    </row>
    <row r="1230" spans="1:5" s="2112" customFormat="1" x14ac:dyDescent="0.2">
      <c r="A1230" s="1861">
        <v>22021021</v>
      </c>
      <c r="B1230" s="151" t="s">
        <v>2555</v>
      </c>
      <c r="C1230" s="2075">
        <v>7000000</v>
      </c>
      <c r="D1230" s="152">
        <v>388000</v>
      </c>
      <c r="E1230" s="152">
        <v>10000000</v>
      </c>
    </row>
    <row r="1231" spans="1:5" s="2112" customFormat="1" x14ac:dyDescent="0.2">
      <c r="A1231" s="1861">
        <v>22021041</v>
      </c>
      <c r="B1231" s="151" t="s">
        <v>1492</v>
      </c>
      <c r="C1231" s="2075">
        <v>1260000</v>
      </c>
      <c r="D1231" s="152"/>
      <c r="E1231" s="152">
        <v>2000000</v>
      </c>
    </row>
    <row r="1232" spans="1:5" ht="21" thickBot="1" x14ac:dyDescent="0.25">
      <c r="A1232" s="1861"/>
      <c r="B1232" s="2010"/>
      <c r="C1232" s="3165"/>
      <c r="D1232" s="2406"/>
      <c r="E1232" s="2406"/>
    </row>
    <row r="1233" spans="1:5" ht="21" thickBot="1" x14ac:dyDescent="0.25">
      <c r="A1233" s="2177"/>
      <c r="B1233" s="2105" t="s">
        <v>1349</v>
      </c>
      <c r="C1233" s="2062">
        <f>SUM(C1214,C1216,C1218,C1221,C1226,C1228)</f>
        <v>19057143</v>
      </c>
      <c r="D1233" s="2018">
        <f>SUM(D1214,D1216,D1218,D1221,D1226,D1228)</f>
        <v>5350748</v>
      </c>
      <c r="E1233" s="2018">
        <f>SUM(E1214,E1216,E1218,E1221,E1226,E1228)</f>
        <v>32942380</v>
      </c>
    </row>
    <row r="1234" spans="1:5" x14ac:dyDescent="0.2">
      <c r="A1234" s="3477"/>
      <c r="B1234" s="3477"/>
      <c r="C1234" s="3479"/>
      <c r="D1234" s="3479"/>
      <c r="E1234" s="3479"/>
    </row>
    <row r="1235" spans="1:5" x14ac:dyDescent="0.2">
      <c r="A1235" s="3477" t="s">
        <v>1856</v>
      </c>
      <c r="B1235" s="3477"/>
      <c r="C1235" s="3477"/>
      <c r="D1235" s="3477"/>
      <c r="E1235" s="3477"/>
    </row>
    <row r="1236" spans="1:5" x14ac:dyDescent="0.2">
      <c r="A1236" s="3477" t="s">
        <v>1046</v>
      </c>
      <c r="B1236" s="3477"/>
      <c r="C1236" s="3477"/>
      <c r="D1236" s="3477"/>
      <c r="E1236" s="3477"/>
    </row>
    <row r="1237" spans="1:5" ht="21" thickBot="1" x14ac:dyDescent="0.25">
      <c r="A1237" s="3476" t="s">
        <v>712</v>
      </c>
      <c r="B1237" s="3476"/>
      <c r="C1237" s="3476"/>
      <c r="D1237" s="3476"/>
      <c r="E1237" s="3476"/>
    </row>
    <row r="1238" spans="1:5" ht="81.75" thickBot="1" x14ac:dyDescent="0.35">
      <c r="A1238" s="2004" t="s">
        <v>1014</v>
      </c>
      <c r="B1238" s="2004" t="s">
        <v>282</v>
      </c>
      <c r="C1238" s="173" t="s">
        <v>1174</v>
      </c>
      <c r="D1238" s="173" t="s">
        <v>1145</v>
      </c>
      <c r="E1238" s="173" t="s">
        <v>3096</v>
      </c>
    </row>
    <row r="1239" spans="1:5" ht="21" thickBot="1" x14ac:dyDescent="0.35">
      <c r="A1239" s="3185"/>
      <c r="B1239" s="3185"/>
      <c r="C1239" s="3188"/>
      <c r="D1239" s="3189"/>
      <c r="E1239" s="3188"/>
    </row>
    <row r="1240" spans="1:5" ht="21" thickBot="1" x14ac:dyDescent="0.25">
      <c r="A1240" s="1993">
        <v>22020100</v>
      </c>
      <c r="B1240" s="2010" t="s">
        <v>700</v>
      </c>
      <c r="C1240" s="1994">
        <f>SUM(C1241:C1241)</f>
        <v>1351100</v>
      </c>
      <c r="D1240" s="2121">
        <f>SUM(D1241:D1241)</f>
        <v>757330</v>
      </c>
      <c r="E1240" s="2337">
        <v>1351100</v>
      </c>
    </row>
    <row r="1241" spans="1:5" ht="21" thickBot="1" x14ac:dyDescent="0.25">
      <c r="A1241" s="1861">
        <v>22020102</v>
      </c>
      <c r="B1241" s="151" t="s">
        <v>10</v>
      </c>
      <c r="C1241" s="152">
        <v>1351100</v>
      </c>
      <c r="D1241" s="2119">
        <v>757330</v>
      </c>
      <c r="E1241" s="2119">
        <v>1351100</v>
      </c>
    </row>
    <row r="1242" spans="1:5" ht="21" thickBot="1" x14ac:dyDescent="0.25">
      <c r="A1242" s="1993">
        <v>22020300</v>
      </c>
      <c r="B1242" s="2010" t="s">
        <v>66</v>
      </c>
      <c r="C1242" s="1994">
        <f>SUM(C1243:C1245)</f>
        <v>2027201</v>
      </c>
      <c r="D1242" s="2121">
        <f>SUM(D1243:D1245)</f>
        <v>897760</v>
      </c>
      <c r="E1242" s="2337">
        <f>SUM(E1243:E1245)</f>
        <v>2027201</v>
      </c>
    </row>
    <row r="1243" spans="1:5" x14ac:dyDescent="0.2">
      <c r="A1243" s="1861">
        <v>22020301</v>
      </c>
      <c r="B1243" s="151" t="s">
        <v>17</v>
      </c>
      <c r="C1243" s="152">
        <v>853300</v>
      </c>
      <c r="D1243" s="2119">
        <v>377890</v>
      </c>
      <c r="E1243" s="2119">
        <v>853300</v>
      </c>
    </row>
    <row r="1244" spans="1:5" x14ac:dyDescent="0.2">
      <c r="A1244" s="1861">
        <v>22020301</v>
      </c>
      <c r="B1244" s="151" t="s">
        <v>1214</v>
      </c>
      <c r="C1244" s="2000">
        <f>573297+254804</f>
        <v>828101</v>
      </c>
      <c r="D1244" s="2119">
        <v>519870</v>
      </c>
      <c r="E1244" s="2277">
        <f>573297+254804+345800</f>
        <v>1173901</v>
      </c>
    </row>
    <row r="1245" spans="1:5" ht="21" thickBot="1" x14ac:dyDescent="0.25">
      <c r="A1245" s="1861">
        <v>22020301</v>
      </c>
      <c r="B1245" s="151" t="s">
        <v>713</v>
      </c>
      <c r="C1245" s="1892">
        <v>345800</v>
      </c>
      <c r="D1245" s="2125"/>
      <c r="E1245" s="2125"/>
    </row>
    <row r="1246" spans="1:5" ht="21" thickBot="1" x14ac:dyDescent="0.25">
      <c r="A1246" s="1993">
        <v>22020400</v>
      </c>
      <c r="B1246" s="2010" t="s">
        <v>67</v>
      </c>
      <c r="C1246" s="2018">
        <f>SUM(C1247:C1250)</f>
        <v>8718206</v>
      </c>
      <c r="D1246" s="2127">
        <f>SUM(D1247:D1250)</f>
        <v>3867503</v>
      </c>
      <c r="E1246" s="2127">
        <f>SUM(E1247:E1250)</f>
        <v>8718206</v>
      </c>
    </row>
    <row r="1247" spans="1:5" x14ac:dyDescent="0.2">
      <c r="A1247" s="1861">
        <v>22020401</v>
      </c>
      <c r="B1247" s="2024" t="s">
        <v>79</v>
      </c>
      <c r="C1247" s="152">
        <v>3166795</v>
      </c>
      <c r="D1247" s="2119">
        <v>1240440</v>
      </c>
      <c r="E1247" s="152">
        <v>3166795</v>
      </c>
    </row>
    <row r="1248" spans="1:5" x14ac:dyDescent="0.2">
      <c r="A1248" s="1861">
        <v>22020403</v>
      </c>
      <c r="B1248" s="151" t="s">
        <v>1111</v>
      </c>
      <c r="C1248" s="2000">
        <v>3850487</v>
      </c>
      <c r="D1248" s="2119">
        <v>1927063</v>
      </c>
      <c r="E1248" s="2000">
        <v>3850487</v>
      </c>
    </row>
    <row r="1249" spans="1:5" x14ac:dyDescent="0.2">
      <c r="A1249" s="1861">
        <v>22020406</v>
      </c>
      <c r="B1249" s="151" t="s">
        <v>29</v>
      </c>
      <c r="C1249" s="152">
        <v>1200000</v>
      </c>
      <c r="D1249" s="2119">
        <v>700000</v>
      </c>
      <c r="E1249" s="152">
        <v>1200000</v>
      </c>
    </row>
    <row r="1250" spans="1:5" ht="21" thickBot="1" x14ac:dyDescent="0.25">
      <c r="A1250" s="1861">
        <v>22020406</v>
      </c>
      <c r="B1250" s="151" t="s">
        <v>2526</v>
      </c>
      <c r="C1250" s="152">
        <v>500924</v>
      </c>
      <c r="D1250" s="2119"/>
      <c r="E1250" s="152">
        <v>500924</v>
      </c>
    </row>
    <row r="1251" spans="1:5" ht="21" thickBot="1" x14ac:dyDescent="0.25">
      <c r="A1251" s="1993">
        <v>22021000</v>
      </c>
      <c r="B1251" s="2010" t="s">
        <v>73</v>
      </c>
      <c r="C1251" s="1994">
        <f>SUM(C1252:C1252)</f>
        <v>345800</v>
      </c>
      <c r="D1251" s="2011">
        <f>SUM(D1252:D1252)</f>
        <v>153140</v>
      </c>
      <c r="E1251" s="1994">
        <f>SUM(E1252:E1252)</f>
        <v>345800</v>
      </c>
    </row>
    <row r="1252" spans="1:5" ht="21" thickBot="1" x14ac:dyDescent="0.25">
      <c r="A1252" s="1861">
        <v>22021001</v>
      </c>
      <c r="B1252" s="151" t="s">
        <v>41</v>
      </c>
      <c r="C1252" s="1892">
        <v>345800</v>
      </c>
      <c r="D1252" s="2125">
        <v>153140</v>
      </c>
      <c r="E1252" s="2125">
        <v>345800</v>
      </c>
    </row>
    <row r="1253" spans="1:5" ht="21" thickBot="1" x14ac:dyDescent="0.25">
      <c r="A1253" s="1993">
        <v>22040100</v>
      </c>
      <c r="B1253" s="2010" t="s">
        <v>75</v>
      </c>
      <c r="C1253" s="2018">
        <f>SUM(C1254:C1255)</f>
        <v>26250904</v>
      </c>
      <c r="D1253" s="2018">
        <f>SUM(D1254:D1255)</f>
        <v>1727312</v>
      </c>
      <c r="E1253" s="2018">
        <f>SUM(E1254:E1255)</f>
        <v>29968724</v>
      </c>
    </row>
    <row r="1254" spans="1:5" x14ac:dyDescent="0.2">
      <c r="A1254" s="1861">
        <v>22040105</v>
      </c>
      <c r="B1254" s="151" t="s">
        <v>1945</v>
      </c>
      <c r="C1254" s="3326">
        <f>7000000</f>
        <v>7000000</v>
      </c>
      <c r="D1254" s="2125"/>
      <c r="E1254" s="2125">
        <v>10000000</v>
      </c>
    </row>
    <row r="1255" spans="1:5" ht="40.5" x14ac:dyDescent="0.2">
      <c r="A1255" s="1861">
        <v>22040105</v>
      </c>
      <c r="B1255" s="151" t="s">
        <v>2524</v>
      </c>
      <c r="C1255" s="3151">
        <v>19250904</v>
      </c>
      <c r="D1255" s="2000">
        <v>1727312</v>
      </c>
      <c r="E1255" s="2000">
        <v>19968724</v>
      </c>
    </row>
    <row r="1256" spans="1:5" ht="21" thickBot="1" x14ac:dyDescent="0.25">
      <c r="A1256" s="1861"/>
      <c r="B1256" s="2010"/>
      <c r="C1256" s="2072"/>
      <c r="D1256" s="2038"/>
      <c r="E1256" s="2038"/>
    </row>
    <row r="1257" spans="1:5" ht="21" thickBot="1" x14ac:dyDescent="0.25">
      <c r="A1257" s="2177"/>
      <c r="B1257" s="2105" t="s">
        <v>1350</v>
      </c>
      <c r="C1257" s="2062">
        <f>SUM(C1240,C1242,C1246,C1251,C1253)</f>
        <v>38693211</v>
      </c>
      <c r="D1257" s="2018">
        <f>SUM(D1240,D1242,D1246,D1251,D1253)</f>
        <v>7403045</v>
      </c>
      <c r="E1257" s="2018">
        <f>SUM(E1240,E1242,E1246,E1251,E1253)</f>
        <v>42411031</v>
      </c>
    </row>
    <row r="1258" spans="1:5" x14ac:dyDescent="0.2">
      <c r="A1258" s="3477"/>
      <c r="B1258" s="3477"/>
      <c r="C1258" s="3479"/>
      <c r="D1258" s="3479"/>
      <c r="E1258" s="3479"/>
    </row>
    <row r="1259" spans="1:5" x14ac:dyDescent="0.2">
      <c r="A1259" s="2073"/>
      <c r="B1259" s="2073"/>
      <c r="C1259" s="2073"/>
      <c r="D1259" s="2073"/>
      <c r="E1259" s="2073"/>
    </row>
    <row r="1260" spans="1:5" x14ac:dyDescent="0.2">
      <c r="A1260" s="3482" t="s">
        <v>1475</v>
      </c>
      <c r="B1260" s="3482"/>
      <c r="C1260" s="3482"/>
      <c r="D1260" s="3482"/>
      <c r="E1260" s="3482"/>
    </row>
    <row r="1261" spans="1:5" x14ac:dyDescent="0.2">
      <c r="A1261" s="3482" t="s">
        <v>1476</v>
      </c>
      <c r="B1261" s="3482"/>
      <c r="C1261" s="3482"/>
      <c r="D1261" s="3482"/>
      <c r="E1261" s="3482"/>
    </row>
    <row r="1262" spans="1:5" ht="21" thickBot="1" x14ac:dyDescent="0.25">
      <c r="A1262" s="3483" t="s">
        <v>2959</v>
      </c>
      <c r="B1262" s="3483"/>
      <c r="C1262" s="3483"/>
      <c r="D1262" s="3483"/>
      <c r="E1262" s="3483"/>
    </row>
    <row r="1263" spans="1:5" ht="81.75" thickBot="1" x14ac:dyDescent="0.35">
      <c r="A1263" s="2004" t="s">
        <v>1014</v>
      </c>
      <c r="B1263" s="2004" t="s">
        <v>282</v>
      </c>
      <c r="C1263" s="173" t="s">
        <v>1174</v>
      </c>
      <c r="D1263" s="173" t="s">
        <v>1145</v>
      </c>
      <c r="E1263" s="173" t="s">
        <v>3096</v>
      </c>
    </row>
    <row r="1264" spans="1:5" x14ac:dyDescent="0.3">
      <c r="A1264" s="3190"/>
      <c r="B1264" s="3190"/>
      <c r="C1264" s="3191"/>
      <c r="D1264" s="3191"/>
      <c r="E1264" s="3191"/>
    </row>
    <row r="1265" spans="1:5" s="2112" customFormat="1" ht="18.75" x14ac:dyDescent="0.2">
      <c r="A1265" s="2046">
        <v>22021000</v>
      </c>
      <c r="B1265" s="2191" t="s">
        <v>73</v>
      </c>
      <c r="C1265" s="2051"/>
      <c r="D1265" s="2051"/>
      <c r="E1265" s="2051"/>
    </row>
    <row r="1266" spans="1:5" s="2112" customFormat="1" x14ac:dyDescent="0.2">
      <c r="A1266" s="2049">
        <v>22021002</v>
      </c>
      <c r="B1266" s="2146" t="s">
        <v>3058</v>
      </c>
      <c r="C1266" s="152">
        <v>713029200</v>
      </c>
      <c r="D1266" s="2051"/>
      <c r="E1266" s="2119">
        <v>863029200</v>
      </c>
    </row>
    <row r="1267" spans="1:5" s="2112" customFormat="1" ht="21" thickBot="1" x14ac:dyDescent="0.25">
      <c r="A1267" s="2049"/>
      <c r="B1267" s="2342"/>
      <c r="C1267" s="1892"/>
      <c r="D1267" s="2194"/>
      <c r="E1267" s="2125"/>
    </row>
    <row r="1268" spans="1:5" s="2112" customFormat="1" ht="19.5" thickBot="1" x14ac:dyDescent="0.25">
      <c r="A1268" s="2049"/>
      <c r="B1268" s="2350" t="s">
        <v>2960</v>
      </c>
      <c r="C1268" s="2199">
        <f>SUM(C1266)</f>
        <v>713029200</v>
      </c>
      <c r="D1268" s="2393"/>
      <c r="E1268" s="2199">
        <f>SUM(E1266)</f>
        <v>863029200</v>
      </c>
    </row>
    <row r="1269" spans="1:5" s="2112" customFormat="1" ht="18.75" x14ac:dyDescent="0.2">
      <c r="A1269" s="2345"/>
      <c r="B1269" s="2346"/>
      <c r="C1269" s="2347"/>
      <c r="D1269" s="2347"/>
      <c r="E1269" s="2347"/>
    </row>
    <row r="1270" spans="1:5" s="2112" customFormat="1" ht="18.75" x14ac:dyDescent="0.2">
      <c r="A1270" s="2345"/>
      <c r="B1270" s="2346"/>
      <c r="C1270" s="2347"/>
      <c r="D1270" s="2347"/>
      <c r="E1270" s="2347"/>
    </row>
    <row r="1271" spans="1:5" x14ac:dyDescent="0.2">
      <c r="A1271" s="3482" t="s">
        <v>1475</v>
      </c>
      <c r="B1271" s="3482"/>
      <c r="C1271" s="3482"/>
      <c r="D1271" s="3482"/>
      <c r="E1271" s="3482"/>
    </row>
    <row r="1272" spans="1:5" x14ac:dyDescent="0.2">
      <c r="A1272" s="3482" t="s">
        <v>1476</v>
      </c>
      <c r="B1272" s="3482"/>
      <c r="C1272" s="3482"/>
      <c r="D1272" s="3482"/>
      <c r="E1272" s="3482"/>
    </row>
    <row r="1273" spans="1:5" ht="21" thickBot="1" x14ac:dyDescent="0.25">
      <c r="A1273" s="3483" t="s">
        <v>2715</v>
      </c>
      <c r="B1273" s="3483"/>
      <c r="C1273" s="3483"/>
      <c r="D1273" s="3483"/>
      <c r="E1273" s="3483"/>
    </row>
    <row r="1274" spans="1:5" ht="81.75" thickBot="1" x14ac:dyDescent="0.35">
      <c r="A1274" s="1985" t="s">
        <v>1014</v>
      </c>
      <c r="B1274" s="2004" t="s">
        <v>282</v>
      </c>
      <c r="C1274" s="173" t="s">
        <v>1174</v>
      </c>
      <c r="D1274" s="173" t="s">
        <v>1145</v>
      </c>
      <c r="E1274" s="173" t="s">
        <v>3096</v>
      </c>
    </row>
    <row r="1275" spans="1:5" s="2112" customFormat="1" ht="19.5" thickBot="1" x14ac:dyDescent="0.25">
      <c r="A1275" s="2046">
        <v>22020100</v>
      </c>
      <c r="B1275" s="2299" t="s">
        <v>64</v>
      </c>
      <c r="C1275" s="2343">
        <f>SUM(C1276:C1276)</f>
        <v>800000</v>
      </c>
      <c r="D1275" s="2344">
        <f>SUM(D1276:D1276)</f>
        <v>177680.1</v>
      </c>
      <c r="E1275" s="2344">
        <f>SUM(E1276:E1276)</f>
        <v>800000</v>
      </c>
    </row>
    <row r="1276" spans="1:5" s="2112" customFormat="1" ht="19.5" thickBot="1" x14ac:dyDescent="0.25">
      <c r="A1276" s="2049">
        <v>22020101</v>
      </c>
      <c r="B1276" s="2348" t="s">
        <v>2523</v>
      </c>
      <c r="C1276" s="2349">
        <v>800000</v>
      </c>
      <c r="D1276" s="2051">
        <v>177680.1</v>
      </c>
      <c r="E1276" s="2051">
        <v>800000</v>
      </c>
    </row>
    <row r="1277" spans="1:5" s="2112" customFormat="1" ht="19.5" thickBot="1" x14ac:dyDescent="0.25">
      <c r="A1277" s="2046">
        <v>22020300</v>
      </c>
      <c r="B1277" s="2339" t="s">
        <v>66</v>
      </c>
      <c r="C1277" s="2199">
        <f>SUM(C1278:C1278)</f>
        <v>450000</v>
      </c>
      <c r="D1277" s="2199">
        <f>SUM(D1278:D1278)</f>
        <v>160000</v>
      </c>
      <c r="E1277" s="2199">
        <f>SUM(E1278:E1278)</f>
        <v>450000</v>
      </c>
    </row>
    <row r="1278" spans="1:5" s="2112" customFormat="1" ht="19.5" thickBot="1" x14ac:dyDescent="0.25">
      <c r="A1278" s="2049">
        <v>22020301</v>
      </c>
      <c r="B1278" s="2342" t="s">
        <v>2519</v>
      </c>
      <c r="C1278" s="2194">
        <v>450000</v>
      </c>
      <c r="D1278" s="2194">
        <v>160000</v>
      </c>
      <c r="E1278" s="2194">
        <v>450000</v>
      </c>
    </row>
    <row r="1279" spans="1:5" s="2112" customFormat="1" ht="19.5" thickBot="1" x14ac:dyDescent="0.25">
      <c r="A1279" s="2046">
        <v>22020400</v>
      </c>
      <c r="B1279" s="2339" t="s">
        <v>67</v>
      </c>
      <c r="C1279" s="2352">
        <f>SUM(C1280:C1283)</f>
        <v>120758512</v>
      </c>
      <c r="D1279" s="2352">
        <f>SUM(D1280:D1283)</f>
        <v>54707055</v>
      </c>
      <c r="E1279" s="2352">
        <f>SUM(E1280:E1283)</f>
        <v>179901517</v>
      </c>
    </row>
    <row r="1280" spans="1:5" s="2112" customFormat="1" ht="18.75" x14ac:dyDescent="0.2">
      <c r="A1280" s="2049">
        <v>22020401</v>
      </c>
      <c r="B1280" s="2342" t="s">
        <v>2520</v>
      </c>
      <c r="C1280" s="2051">
        <v>900000</v>
      </c>
      <c r="D1280" s="2051">
        <v>600000</v>
      </c>
      <c r="E1280" s="2051">
        <v>1400000</v>
      </c>
    </row>
    <row r="1281" spans="1:5" s="2112" customFormat="1" ht="18.75" x14ac:dyDescent="0.2">
      <c r="A1281" s="2049">
        <v>22020402</v>
      </c>
      <c r="B1281" s="2342" t="s">
        <v>2521</v>
      </c>
      <c r="C1281" s="2051">
        <v>859512</v>
      </c>
      <c r="D1281" s="2051">
        <v>400000</v>
      </c>
      <c r="E1281" s="2051">
        <v>1501517</v>
      </c>
    </row>
    <row r="1282" spans="1:5" s="2112" customFormat="1" ht="18.75" x14ac:dyDescent="0.2">
      <c r="A1282" s="2049">
        <v>22020406</v>
      </c>
      <c r="B1282" s="2342" t="s">
        <v>3059</v>
      </c>
      <c r="C1282" s="2444">
        <v>83999000</v>
      </c>
      <c r="D1282" s="2444">
        <v>46315055</v>
      </c>
      <c r="E1282" s="2444">
        <v>120000000</v>
      </c>
    </row>
    <row r="1283" spans="1:5" s="2112" customFormat="1" ht="19.5" thickBot="1" x14ac:dyDescent="0.25">
      <c r="A1283" s="2049">
        <v>22020414</v>
      </c>
      <c r="B1283" s="2342" t="s">
        <v>3319</v>
      </c>
      <c r="C1283" s="2194">
        <v>35000000</v>
      </c>
      <c r="D1283" s="2194">
        <v>7392000</v>
      </c>
      <c r="E1283" s="2194">
        <v>57000000</v>
      </c>
    </row>
    <row r="1284" spans="1:5" s="2112" customFormat="1" ht="19.5" thickBot="1" x14ac:dyDescent="0.25">
      <c r="A1284" s="2046">
        <v>22020500</v>
      </c>
      <c r="B1284" s="2350" t="s">
        <v>68</v>
      </c>
      <c r="C1284" s="2199">
        <f>SUM(C1285:C1285)</f>
        <v>400000</v>
      </c>
      <c r="D1284" s="2199">
        <f>SUM(D1285:D1285)</f>
        <v>240000</v>
      </c>
      <c r="E1284" s="2199">
        <f>SUM(E1285:E1285)</f>
        <v>400000</v>
      </c>
    </row>
    <row r="1285" spans="1:5" s="2112" customFormat="1" ht="19.5" thickBot="1" x14ac:dyDescent="0.25">
      <c r="A1285" s="2049">
        <v>22020501</v>
      </c>
      <c r="B1285" s="2342" t="s">
        <v>2522</v>
      </c>
      <c r="C1285" s="2051">
        <v>400000</v>
      </c>
      <c r="D1285" s="2051">
        <v>240000</v>
      </c>
      <c r="E1285" s="2051">
        <v>400000</v>
      </c>
    </row>
    <row r="1286" spans="1:5" s="2048" customFormat="1" ht="19.5" thickBot="1" x14ac:dyDescent="0.25">
      <c r="A1286" s="2046">
        <v>22020800</v>
      </c>
      <c r="B1286" s="2339" t="s">
        <v>71</v>
      </c>
      <c r="C1286" s="2354">
        <f>SUM(C1287)</f>
        <v>35000000</v>
      </c>
      <c r="D1286" s="2355"/>
      <c r="E1286" s="2198">
        <f>SUM(E1287)</f>
        <v>35000000</v>
      </c>
    </row>
    <row r="1287" spans="1:5" s="2048" customFormat="1" ht="19.5" thickBot="1" x14ac:dyDescent="0.25">
      <c r="A1287" s="2049">
        <v>22020801</v>
      </c>
      <c r="B1287" s="2342" t="s">
        <v>2525</v>
      </c>
      <c r="C1287" s="2353">
        <v>35000000</v>
      </c>
      <c r="D1287" s="2194"/>
      <c r="E1287" s="2194">
        <v>35000000</v>
      </c>
    </row>
    <row r="1288" spans="1:5" s="2112" customFormat="1" ht="19.5" thickBot="1" x14ac:dyDescent="0.25">
      <c r="A1288" s="2046">
        <v>22021000</v>
      </c>
      <c r="B1288" s="2191" t="s">
        <v>73</v>
      </c>
      <c r="C1288" s="2352">
        <f>SUM(C1289:C1290)</f>
        <v>1835983</v>
      </c>
      <c r="D1288" s="2352">
        <f>SUM(D1289:D1290)</f>
        <v>240000</v>
      </c>
      <c r="E1288" s="2352">
        <f>SUM(E1289:E1290)</f>
        <v>1835850</v>
      </c>
    </row>
    <row r="1289" spans="1:5" s="2112" customFormat="1" ht="18.75" x14ac:dyDescent="0.2">
      <c r="A1289" s="2049">
        <v>22021001</v>
      </c>
      <c r="B1289" s="2146" t="s">
        <v>1754</v>
      </c>
      <c r="C1289" s="3155">
        <v>435983</v>
      </c>
      <c r="D1289" s="2051">
        <v>240000</v>
      </c>
      <c r="E1289" s="2051">
        <v>435850</v>
      </c>
    </row>
    <row r="1290" spans="1:5" s="2112" customFormat="1" ht="19.5" thickBot="1" x14ac:dyDescent="0.35">
      <c r="A1290" s="2049">
        <v>22021002</v>
      </c>
      <c r="B1290" s="2146" t="s">
        <v>1492</v>
      </c>
      <c r="C1290" s="3327">
        <v>1400000</v>
      </c>
      <c r="D1290" s="2357">
        <v>0</v>
      </c>
      <c r="E1290" s="2357">
        <v>1400000</v>
      </c>
    </row>
    <row r="1291" spans="1:5" s="2112" customFormat="1" ht="19.5" thickBot="1" x14ac:dyDescent="0.35">
      <c r="A1291" s="2445"/>
      <c r="B1291" s="2191"/>
      <c r="C1291" s="2358"/>
      <c r="D1291" s="2358"/>
      <c r="E1291" s="2358"/>
    </row>
    <row r="1292" spans="1:5" ht="21" thickBot="1" x14ac:dyDescent="0.25">
      <c r="A1292" s="3329"/>
      <c r="B1292" s="3330" t="s">
        <v>1033</v>
      </c>
      <c r="C1292" s="3328">
        <f>SUM(C1275,C1277,C1279,C1284,C1286,C1288)</f>
        <v>159244495</v>
      </c>
      <c r="D1292" s="2101">
        <f>SUM(D1275,D1277,D1279,D1284,D1286,D1288)</f>
        <v>55524735.100000001</v>
      </c>
      <c r="E1292" s="2101">
        <f>SUM(E1275,E1277,E1279,E1284,E1286,E1288)</f>
        <v>218387367</v>
      </c>
    </row>
    <row r="1293" spans="1:5" x14ac:dyDescent="0.2">
      <c r="A1293" s="2359"/>
      <c r="B1293" s="2360"/>
      <c r="C1293" s="2361"/>
      <c r="D1293" s="2361"/>
      <c r="E1293" s="2361"/>
    </row>
    <row r="1294" spans="1:5" x14ac:dyDescent="0.2">
      <c r="A1294" s="3477"/>
      <c r="B1294" s="3477"/>
      <c r="C1294" s="3477"/>
      <c r="D1294" s="3477"/>
      <c r="E1294" s="3477"/>
    </row>
    <row r="1295" spans="1:5" x14ac:dyDescent="0.2">
      <c r="A1295" s="3477" t="s">
        <v>1946</v>
      </c>
      <c r="B1295" s="3477"/>
      <c r="C1295" s="3477"/>
      <c r="D1295" s="3477"/>
      <c r="E1295" s="3477"/>
    </row>
    <row r="1296" spans="1:5" x14ac:dyDescent="0.2">
      <c r="A1296" s="3477" t="s">
        <v>1947</v>
      </c>
      <c r="B1296" s="3477"/>
      <c r="C1296" s="3477"/>
      <c r="D1296" s="3477"/>
      <c r="E1296" s="3477"/>
    </row>
    <row r="1297" spans="1:5" ht="21" thickBot="1" x14ac:dyDescent="0.25">
      <c r="A1297" s="3476" t="s">
        <v>141</v>
      </c>
      <c r="B1297" s="3476"/>
      <c r="C1297" s="3476"/>
      <c r="D1297" s="3476"/>
      <c r="E1297" s="3476"/>
    </row>
    <row r="1298" spans="1:5" ht="81.75" thickBot="1" x14ac:dyDescent="0.35">
      <c r="A1298" s="2004" t="s">
        <v>1014</v>
      </c>
      <c r="B1298" s="2004" t="s">
        <v>282</v>
      </c>
      <c r="C1298" s="2362" t="s">
        <v>1174</v>
      </c>
      <c r="D1298" s="2362" t="s">
        <v>1145</v>
      </c>
      <c r="E1298" s="2064" t="s">
        <v>3096</v>
      </c>
    </row>
    <row r="1299" spans="1:5" ht="21" thickBot="1" x14ac:dyDescent="0.35">
      <c r="A1299" s="3185"/>
      <c r="B1299" s="3185"/>
      <c r="C1299" s="3192"/>
      <c r="D1299" s="3193"/>
      <c r="E1299" s="3194"/>
    </row>
    <row r="1300" spans="1:5" ht="21" thickBot="1" x14ac:dyDescent="0.25">
      <c r="A1300" s="1993">
        <v>22020100</v>
      </c>
      <c r="B1300" s="2010" t="s">
        <v>64</v>
      </c>
      <c r="C1300" s="2337">
        <f>SUM(C1301:C1301)</f>
        <v>1260000</v>
      </c>
      <c r="D1300" s="2121">
        <f>SUM(D1301:D1301)</f>
        <v>486000</v>
      </c>
      <c r="E1300" s="2337">
        <f>SUM(E1301:E1301)</f>
        <v>1260000</v>
      </c>
    </row>
    <row r="1301" spans="1:5" ht="21" thickBot="1" x14ac:dyDescent="0.25">
      <c r="A1301" s="1861">
        <v>22020102</v>
      </c>
      <c r="B1301" s="151" t="s">
        <v>10</v>
      </c>
      <c r="C1301" s="2125">
        <v>1260000</v>
      </c>
      <c r="D1301" s="2125">
        <v>486000</v>
      </c>
      <c r="E1301" s="2125">
        <v>1260000</v>
      </c>
    </row>
    <row r="1302" spans="1:5" ht="21" thickBot="1" x14ac:dyDescent="0.25">
      <c r="A1302" s="1993">
        <v>22020300</v>
      </c>
      <c r="B1302" s="2010" t="s">
        <v>66</v>
      </c>
      <c r="C1302" s="2337">
        <f>SUM(C1303:C1304)</f>
        <v>1098510</v>
      </c>
      <c r="D1302" s="2121">
        <f>SUM(D1303:D1304)</f>
        <v>423711</v>
      </c>
      <c r="E1302" s="2337">
        <f>SUM(E1303:E1304)</f>
        <v>1098510</v>
      </c>
    </row>
    <row r="1303" spans="1:5" x14ac:dyDescent="0.2">
      <c r="A1303" s="1861">
        <v>22020301</v>
      </c>
      <c r="B1303" s="151" t="s">
        <v>17</v>
      </c>
      <c r="C1303" s="2119">
        <v>1072505</v>
      </c>
      <c r="D1303" s="2119">
        <v>413679</v>
      </c>
      <c r="E1303" s="2119">
        <v>1072505</v>
      </c>
    </row>
    <row r="1304" spans="1:5" ht="21" thickBot="1" x14ac:dyDescent="0.25">
      <c r="A1304" s="1861">
        <v>22020307</v>
      </c>
      <c r="B1304" s="151" t="s">
        <v>1948</v>
      </c>
      <c r="C1304" s="2125">
        <v>26005</v>
      </c>
      <c r="D1304" s="2125">
        <v>10032</v>
      </c>
      <c r="E1304" s="2125">
        <v>26005</v>
      </c>
    </row>
    <row r="1305" spans="1:5" ht="21" thickBot="1" x14ac:dyDescent="0.25">
      <c r="A1305" s="1993">
        <v>22020400</v>
      </c>
      <c r="B1305" s="2010" t="s">
        <v>67</v>
      </c>
      <c r="C1305" s="2337">
        <f>SUM(C1306:C1309)</f>
        <v>507070000</v>
      </c>
      <c r="D1305" s="2337">
        <f>SUM(D1306:D1309)</f>
        <v>272323032</v>
      </c>
      <c r="E1305" s="2337">
        <f>SUM(E1306:E1309)</f>
        <v>412615020</v>
      </c>
    </row>
    <row r="1306" spans="1:5" x14ac:dyDescent="0.2">
      <c r="A1306" s="1861">
        <v>22020401</v>
      </c>
      <c r="B1306" s="2024" t="s">
        <v>79</v>
      </c>
      <c r="C1306" s="2119">
        <v>5170000</v>
      </c>
      <c r="D1306" s="2119">
        <v>2133000</v>
      </c>
      <c r="E1306" s="2119">
        <v>5170000</v>
      </c>
    </row>
    <row r="1307" spans="1:5" x14ac:dyDescent="0.2">
      <c r="A1307" s="1861">
        <v>22020402</v>
      </c>
      <c r="B1307" s="151" t="s">
        <v>1949</v>
      </c>
      <c r="C1307" s="2338">
        <f>350000+350000</f>
        <v>700000</v>
      </c>
      <c r="D1307" s="2119">
        <v>319587</v>
      </c>
      <c r="E1307" s="2338">
        <v>2200000</v>
      </c>
    </row>
    <row r="1308" spans="1:5" x14ac:dyDescent="0.2">
      <c r="A1308" s="1861">
        <v>22020406</v>
      </c>
      <c r="B1308" s="151" t="s">
        <v>29</v>
      </c>
      <c r="C1308" s="2119">
        <v>1200000</v>
      </c>
      <c r="D1308" s="2119">
        <v>600000</v>
      </c>
      <c r="E1308" s="2119">
        <v>1200000</v>
      </c>
    </row>
    <row r="1309" spans="1:5" ht="21" thickBot="1" x14ac:dyDescent="0.25">
      <c r="A1309" s="1861">
        <v>22020414</v>
      </c>
      <c r="B1309" s="2024" t="s">
        <v>3320</v>
      </c>
      <c r="C1309" s="2278">
        <v>500000000</v>
      </c>
      <c r="D1309" s="2363">
        <v>269270445</v>
      </c>
      <c r="E1309" s="2278">
        <v>404045020</v>
      </c>
    </row>
    <row r="1310" spans="1:5" ht="21" thickBot="1" x14ac:dyDescent="0.25">
      <c r="A1310" s="1993">
        <v>22020800</v>
      </c>
      <c r="B1310" s="2010" t="s">
        <v>71</v>
      </c>
      <c r="C1310" s="3331">
        <f>SUM(C1311:C1311)</f>
        <v>436800000</v>
      </c>
      <c r="D1310" s="2121">
        <f>SUM(D1311:D1311)</f>
        <v>218500500</v>
      </c>
      <c r="E1310" s="2337">
        <f>SUM(E1311:E1311)</f>
        <v>540000000</v>
      </c>
    </row>
    <row r="1311" spans="1:5" ht="21" thickBot="1" x14ac:dyDescent="0.25">
      <c r="A1311" s="1861">
        <v>22020803</v>
      </c>
      <c r="B1311" s="151" t="s">
        <v>115</v>
      </c>
      <c r="C1311" s="3332">
        <v>436800000</v>
      </c>
      <c r="D1311" s="2125">
        <v>218500500</v>
      </c>
      <c r="E1311" s="2125">
        <v>540000000</v>
      </c>
    </row>
    <row r="1312" spans="1:5" ht="21" thickBot="1" x14ac:dyDescent="0.25">
      <c r="A1312" s="1993">
        <v>22021000</v>
      </c>
      <c r="B1312" s="2010" t="s">
        <v>73</v>
      </c>
      <c r="C1312" s="3331">
        <f>SUM(C1313:C1313)</f>
        <v>793559</v>
      </c>
      <c r="D1312" s="2121">
        <f>SUM(D1313:D1313)</f>
        <v>54000</v>
      </c>
      <c r="E1312" s="2337">
        <f>SUM(E1313:E1313)</f>
        <v>793559</v>
      </c>
    </row>
    <row r="1313" spans="1:5" x14ac:dyDescent="0.2">
      <c r="A1313" s="1861">
        <v>22021001</v>
      </c>
      <c r="B1313" s="151" t="s">
        <v>41</v>
      </c>
      <c r="C1313" s="3332">
        <v>793559</v>
      </c>
      <c r="D1313" s="2125">
        <v>54000</v>
      </c>
      <c r="E1313" s="2125">
        <v>793559</v>
      </c>
    </row>
    <row r="1314" spans="1:5" ht="21" thickBot="1" x14ac:dyDescent="0.25">
      <c r="A1314" s="1993"/>
      <c r="B1314" s="2010"/>
      <c r="C1314" s="3332"/>
      <c r="D1314" s="2125"/>
      <c r="E1314" s="2125"/>
    </row>
    <row r="1315" spans="1:5" ht="21" thickBot="1" x14ac:dyDescent="0.25">
      <c r="A1315" s="2177"/>
      <c r="B1315" s="2105" t="s">
        <v>2714</v>
      </c>
      <c r="C1315" s="3287">
        <f>SUM(C1300,C1302,C1305,C1310,C1312)</f>
        <v>947022069</v>
      </c>
      <c r="D1315" s="2127">
        <f>SUM(D1300,D1302,D1305,D1310,D1312)</f>
        <v>491787243</v>
      </c>
      <c r="E1315" s="2127">
        <f>SUM(E1300,E1302,E1305,E1310,E1312)</f>
        <v>955767089</v>
      </c>
    </row>
    <row r="1316" spans="1:5" s="2112" customFormat="1" ht="12.75" x14ac:dyDescent="0.2">
      <c r="C1316" s="2153"/>
      <c r="E1316" s="2153"/>
    </row>
    <row r="1317" spans="1:5" x14ac:dyDescent="0.2">
      <c r="A1317" s="3477"/>
      <c r="B1317" s="3477"/>
      <c r="C1317" s="3477"/>
      <c r="D1317" s="3477"/>
      <c r="E1317" s="3477"/>
    </row>
    <row r="1318" spans="1:5" s="2364" customFormat="1" ht="18.75" x14ac:dyDescent="0.2">
      <c r="A1318" s="3486" t="s">
        <v>80</v>
      </c>
      <c r="B1318" s="3486"/>
      <c r="C1318" s="3486"/>
      <c r="D1318" s="3486"/>
      <c r="E1318" s="3486"/>
    </row>
    <row r="1319" spans="1:5" s="2364" customFormat="1" ht="19.5" thickBot="1" x14ac:dyDescent="0.25">
      <c r="A1319" s="3486" t="s">
        <v>1959</v>
      </c>
      <c r="B1319" s="3486"/>
      <c r="C1319" s="3486"/>
      <c r="D1319" s="3486"/>
      <c r="E1319" s="3486"/>
    </row>
    <row r="1320" spans="1:5" s="2112" customFormat="1" ht="81.75" thickBot="1" x14ac:dyDescent="0.35">
      <c r="A1320" s="2113" t="s">
        <v>1014</v>
      </c>
      <c r="B1320" s="2365" t="s">
        <v>282</v>
      </c>
      <c r="C1320" s="2366" t="s">
        <v>1174</v>
      </c>
      <c r="D1320" s="2366" t="s">
        <v>1145</v>
      </c>
      <c r="E1320" s="2367" t="s">
        <v>3096</v>
      </c>
    </row>
    <row r="1321" spans="1:5" s="2112" customFormat="1" ht="21" thickBot="1" x14ac:dyDescent="0.35">
      <c r="A1321" s="3195"/>
      <c r="B1321" s="3196"/>
      <c r="C1321" s="3197"/>
      <c r="D1321" s="3197"/>
      <c r="E1321" s="2367"/>
    </row>
    <row r="1322" spans="1:5" s="2112" customFormat="1" ht="21" thickBot="1" x14ac:dyDescent="0.25">
      <c r="A1322" s="2368">
        <v>22020100</v>
      </c>
      <c r="B1322" s="2036" t="s">
        <v>64</v>
      </c>
      <c r="C1322" s="2337">
        <f>SUM(C1323:C1323)</f>
        <v>1700000</v>
      </c>
      <c r="D1322" s="2337">
        <f>SUM(D1323:D1323)</f>
        <v>810000</v>
      </c>
      <c r="E1322" s="2372">
        <f>SUM(E1323:E1323)</f>
        <v>1740000</v>
      </c>
    </row>
    <row r="1323" spans="1:5" s="2112" customFormat="1" ht="21" thickBot="1" x14ac:dyDescent="0.25">
      <c r="A1323" s="2369">
        <v>22020102</v>
      </c>
      <c r="B1323" s="151" t="s">
        <v>10</v>
      </c>
      <c r="C1323" s="2125">
        <v>1700000</v>
      </c>
      <c r="D1323" s="2125">
        <v>810000</v>
      </c>
      <c r="E1323" s="2371">
        <v>1740000</v>
      </c>
    </row>
    <row r="1324" spans="1:5" s="2112" customFormat="1" ht="21" thickBot="1" x14ac:dyDescent="0.25">
      <c r="A1324" s="2373">
        <v>22020200</v>
      </c>
      <c r="B1324" s="2010" t="s">
        <v>65</v>
      </c>
      <c r="C1324" s="2372">
        <f>SUM(C1325:C1326)</f>
        <v>700000</v>
      </c>
      <c r="D1324" s="2372">
        <f>SUM(D1325:D1326)</f>
        <v>486000</v>
      </c>
      <c r="E1324" s="2372">
        <f>SUM(E1325:E1326)</f>
        <v>2310000</v>
      </c>
    </row>
    <row r="1325" spans="1:5" s="2112" customFormat="1" x14ac:dyDescent="0.2">
      <c r="A1325" s="2369">
        <v>22020201</v>
      </c>
      <c r="B1325" s="151" t="s">
        <v>13</v>
      </c>
      <c r="C1325" s="2125"/>
      <c r="D1325" s="2125">
        <v>486000</v>
      </c>
      <c r="E1325" s="2125">
        <v>1610000</v>
      </c>
    </row>
    <row r="1326" spans="1:5" s="2112" customFormat="1" ht="21" thickBot="1" x14ac:dyDescent="0.25">
      <c r="A1326" s="2369">
        <v>22020202</v>
      </c>
      <c r="B1326" s="151" t="s">
        <v>15</v>
      </c>
      <c r="C1326" s="2370">
        <v>700000</v>
      </c>
      <c r="D1326" s="2125"/>
      <c r="E1326" s="2370">
        <v>700000</v>
      </c>
    </row>
    <row r="1327" spans="1:5" s="2112" customFormat="1" ht="21" thickBot="1" x14ac:dyDescent="0.25">
      <c r="A1327" s="2373">
        <v>22020300</v>
      </c>
      <c r="B1327" s="2010" t="s">
        <v>66</v>
      </c>
      <c r="C1327" s="2337">
        <f>SUM(C1328:C1328)</f>
        <v>1050000</v>
      </c>
      <c r="D1327" s="2337">
        <f>SUM(D1328:D1328)</f>
        <v>405000</v>
      </c>
      <c r="E1327" s="2372">
        <f>SUM(E1328:E1328)</f>
        <v>1050000</v>
      </c>
    </row>
    <row r="1328" spans="1:5" s="2112" customFormat="1" ht="21" thickBot="1" x14ac:dyDescent="0.25">
      <c r="A1328" s="2369">
        <v>22020301</v>
      </c>
      <c r="B1328" s="151" t="s">
        <v>1798</v>
      </c>
      <c r="C1328" s="2125">
        <v>1050000</v>
      </c>
      <c r="D1328" s="2125">
        <v>405000</v>
      </c>
      <c r="E1328" s="2371">
        <v>1050000</v>
      </c>
    </row>
    <row r="1329" spans="1:5" ht="21" thickBot="1" x14ac:dyDescent="0.25">
      <c r="A1329" s="1993">
        <v>22020400</v>
      </c>
      <c r="B1329" s="2010" t="s">
        <v>67</v>
      </c>
      <c r="C1329" s="2337">
        <f>SUM(C1330:C1332)</f>
        <v>4250000</v>
      </c>
      <c r="D1329" s="2337">
        <f>SUM(D1330:D1332)</f>
        <v>1300000</v>
      </c>
      <c r="E1329" s="2337">
        <f>SUM(E1330:E1332)</f>
        <v>4870000</v>
      </c>
    </row>
    <row r="1330" spans="1:5" x14ac:dyDescent="0.2">
      <c r="A1330" s="1861">
        <v>22020401</v>
      </c>
      <c r="B1330" s="2024" t="s">
        <v>79</v>
      </c>
      <c r="C1330" s="2119">
        <v>790000</v>
      </c>
      <c r="D1330" s="2119"/>
      <c r="E1330" s="2119">
        <v>1170000</v>
      </c>
    </row>
    <row r="1331" spans="1:5" s="2112" customFormat="1" x14ac:dyDescent="0.2">
      <c r="A1331" s="2369">
        <v>22020406</v>
      </c>
      <c r="B1331" s="151" t="s">
        <v>29</v>
      </c>
      <c r="C1331" s="2119">
        <v>1200000</v>
      </c>
      <c r="D1331" s="2119">
        <v>700000</v>
      </c>
      <c r="E1331" s="2370">
        <v>1200000</v>
      </c>
    </row>
    <row r="1332" spans="1:5" s="2112" customFormat="1" ht="21" thickBot="1" x14ac:dyDescent="0.25">
      <c r="A1332" s="2369">
        <v>22020407</v>
      </c>
      <c r="B1332" s="151" t="s">
        <v>2511</v>
      </c>
      <c r="C1332" s="2338">
        <f>1000000+1260000</f>
        <v>2260000</v>
      </c>
      <c r="D1332" s="2125">
        <v>600000</v>
      </c>
      <c r="E1332" s="2371">
        <v>2500000</v>
      </c>
    </row>
    <row r="1333" spans="1:5" s="2112" customFormat="1" ht="21" thickBot="1" x14ac:dyDescent="0.25">
      <c r="A1333" s="2373">
        <v>22021000</v>
      </c>
      <c r="B1333" s="2010" t="s">
        <v>73</v>
      </c>
      <c r="C1333" s="2337">
        <f>SUM(C1334:C1334)</f>
        <v>525000</v>
      </c>
      <c r="D1333" s="2337">
        <f>SUM(D1334:D1334)</f>
        <v>202500</v>
      </c>
      <c r="E1333" s="2372">
        <f>SUM(E1334:E1334)</f>
        <v>525000</v>
      </c>
    </row>
    <row r="1334" spans="1:5" s="2112" customFormat="1" x14ac:dyDescent="0.2">
      <c r="A1334" s="2369">
        <v>22021001</v>
      </c>
      <c r="B1334" s="151" t="s">
        <v>41</v>
      </c>
      <c r="C1334" s="2125">
        <v>525000</v>
      </c>
      <c r="D1334" s="2125">
        <v>202500</v>
      </c>
      <c r="E1334" s="2371">
        <v>525000</v>
      </c>
    </row>
    <row r="1335" spans="1:5" s="2112" customFormat="1" ht="21" thickBot="1" x14ac:dyDescent="0.35">
      <c r="A1335" s="2374"/>
      <c r="B1335" s="2010"/>
      <c r="C1335" s="3173"/>
      <c r="D1335" s="3173"/>
      <c r="E1335" s="3173"/>
    </row>
    <row r="1336" spans="1:5" s="2112" customFormat="1" ht="21" thickBot="1" x14ac:dyDescent="0.25">
      <c r="A1336" s="2375"/>
      <c r="B1336" s="2187" t="s">
        <v>4301</v>
      </c>
      <c r="C1336" s="2337">
        <f>SUM(C1322,C1324,C1327,C1329,C1333)</f>
        <v>8225000</v>
      </c>
      <c r="D1336" s="2121">
        <f>SUM(D1322,D1324,D1327,D1329,D1333)</f>
        <v>3203500</v>
      </c>
      <c r="E1336" s="2372">
        <f>SUM(E1322,E1324,E1327,E1329,E1333)</f>
        <v>10495000</v>
      </c>
    </row>
    <row r="1337" spans="1:5" s="2112" customFormat="1" ht="18.75" x14ac:dyDescent="0.2">
      <c r="A1337" s="3486"/>
      <c r="B1337" s="3486"/>
      <c r="C1337" s="3486"/>
      <c r="D1337" s="3486"/>
      <c r="E1337" s="3486"/>
    </row>
    <row r="1338" spans="1:5" s="2112" customFormat="1" x14ac:dyDescent="0.2">
      <c r="A1338" s="3482" t="s">
        <v>1476</v>
      </c>
      <c r="B1338" s="3482"/>
      <c r="C1338" s="3482"/>
      <c r="D1338" s="3482"/>
      <c r="E1338" s="3482"/>
    </row>
    <row r="1339" spans="1:5" s="2112" customFormat="1" ht="21" thickBot="1" x14ac:dyDescent="0.25">
      <c r="A1339" s="3483" t="s">
        <v>1972</v>
      </c>
      <c r="B1339" s="3483"/>
      <c r="C1339" s="3483"/>
      <c r="D1339" s="3483"/>
      <c r="E1339" s="3483"/>
    </row>
    <row r="1340" spans="1:5" s="2112" customFormat="1" ht="81.75" thickBot="1" x14ac:dyDescent="0.35">
      <c r="A1340" s="2113" t="s">
        <v>1014</v>
      </c>
      <c r="B1340" s="2365" t="s">
        <v>282</v>
      </c>
      <c r="C1340" s="2366" t="s">
        <v>1174</v>
      </c>
      <c r="D1340" s="2366" t="s">
        <v>1145</v>
      </c>
      <c r="E1340" s="2367" t="s">
        <v>3096</v>
      </c>
    </row>
    <row r="1341" spans="1:5" s="2112" customFormat="1" ht="19.5" thickBot="1" x14ac:dyDescent="0.25">
      <c r="A1341" s="2376"/>
      <c r="B1341" s="2134"/>
      <c r="C1341" s="2377"/>
      <c r="D1341" s="2378"/>
      <c r="E1341" s="2379"/>
    </row>
    <row r="1342" spans="1:5" s="2112" customFormat="1" ht="19.5" thickBot="1" x14ac:dyDescent="0.25">
      <c r="A1342" s="2046">
        <v>22020100</v>
      </c>
      <c r="B1342" s="2191" t="s">
        <v>64</v>
      </c>
      <c r="C1342" s="2382">
        <f>SUM(C1343:C1343)</f>
        <v>1032400</v>
      </c>
      <c r="D1342" s="2383">
        <f>SUM(D1343:D1343)</f>
        <v>248200</v>
      </c>
      <c r="E1342" s="2384">
        <f>SUM(E1343:E1343)</f>
        <v>1200000</v>
      </c>
    </row>
    <row r="1343" spans="1:5" s="2112" customFormat="1" ht="19.5" thickBot="1" x14ac:dyDescent="0.25">
      <c r="A1343" s="2049">
        <v>22020102</v>
      </c>
      <c r="B1343" s="2146" t="s">
        <v>10</v>
      </c>
      <c r="C1343" s="2381">
        <v>1032400</v>
      </c>
      <c r="D1343" s="2381">
        <v>248200</v>
      </c>
      <c r="E1343" s="2381">
        <v>1200000</v>
      </c>
    </row>
    <row r="1344" spans="1:5" s="2112" customFormat="1" ht="19.5" thickBot="1" x14ac:dyDescent="0.25">
      <c r="A1344" s="2046">
        <v>22020300</v>
      </c>
      <c r="B1344" s="2191" t="s">
        <v>66</v>
      </c>
      <c r="C1344" s="2382">
        <f>SUM(C1345:C1346)</f>
        <v>1477993</v>
      </c>
      <c r="D1344" s="2383">
        <f>SUM(D1345:D1346)</f>
        <v>414100</v>
      </c>
      <c r="E1344" s="2384">
        <f>SUM(E1345:E1346)</f>
        <v>1739281</v>
      </c>
    </row>
    <row r="1345" spans="1:5" s="2112" customFormat="1" ht="18.75" x14ac:dyDescent="0.2">
      <c r="A1345" s="2049">
        <v>22020301</v>
      </c>
      <c r="B1345" s="2146" t="s">
        <v>17</v>
      </c>
      <c r="C1345" s="2380">
        <v>1389281</v>
      </c>
      <c r="D1345" s="2380">
        <v>350000</v>
      </c>
      <c r="E1345" s="2380">
        <v>1389281</v>
      </c>
    </row>
    <row r="1346" spans="1:5" s="2112" customFormat="1" ht="19.5" thickBot="1" x14ac:dyDescent="0.25">
      <c r="A1346" s="2049">
        <v>22020307</v>
      </c>
      <c r="B1346" s="2146" t="s">
        <v>725</v>
      </c>
      <c r="C1346" s="2381">
        <v>88712</v>
      </c>
      <c r="D1346" s="2381">
        <v>64100</v>
      </c>
      <c r="E1346" s="2381">
        <v>350000</v>
      </c>
    </row>
    <row r="1347" spans="1:5" s="2112" customFormat="1" ht="19.5" thickBot="1" x14ac:dyDescent="0.25">
      <c r="A1347" s="2046">
        <v>22020400</v>
      </c>
      <c r="B1347" s="2191" t="s">
        <v>67</v>
      </c>
      <c r="C1347" s="2382">
        <f>SUM(C1348:C1349)</f>
        <v>2390861</v>
      </c>
      <c r="D1347" s="2383">
        <f>SUM(D1348:D1349)</f>
        <v>1168825</v>
      </c>
      <c r="E1347" s="2384">
        <f>SUM(E1348:E1349)</f>
        <v>2575957</v>
      </c>
    </row>
    <row r="1348" spans="1:5" s="2112" customFormat="1" ht="18.75" x14ac:dyDescent="0.2">
      <c r="A1348" s="2049">
        <v>22020401</v>
      </c>
      <c r="B1348" s="2146" t="s">
        <v>79</v>
      </c>
      <c r="C1348" s="2380">
        <v>1314904</v>
      </c>
      <c r="D1348" s="2380">
        <v>872000</v>
      </c>
      <c r="E1348" s="2380">
        <v>1500000</v>
      </c>
    </row>
    <row r="1349" spans="1:5" s="2112" customFormat="1" ht="19.5" thickBot="1" x14ac:dyDescent="0.25">
      <c r="A1349" s="2049">
        <v>22020402</v>
      </c>
      <c r="B1349" s="2146" t="s">
        <v>182</v>
      </c>
      <c r="C1349" s="2381">
        <v>1075957</v>
      </c>
      <c r="D1349" s="2381">
        <v>296825</v>
      </c>
      <c r="E1349" s="2381">
        <v>1075957</v>
      </c>
    </row>
    <row r="1350" spans="1:5" s="2112" customFormat="1" ht="19.5" thickBot="1" x14ac:dyDescent="0.25">
      <c r="A1350" s="2046">
        <v>22020800</v>
      </c>
      <c r="B1350" s="2191" t="s">
        <v>71</v>
      </c>
      <c r="C1350" s="2463">
        <f>SUM(C1351:C1351)</f>
        <v>1040000</v>
      </c>
      <c r="D1350" s="2383">
        <f>SUM(D1351:D1351)</f>
        <v>800000</v>
      </c>
      <c r="E1350" s="2384">
        <f>SUM(E1351:E1351)</f>
        <v>1040000</v>
      </c>
    </row>
    <row r="1351" spans="1:5" s="2112" customFormat="1" ht="18.75" x14ac:dyDescent="0.2">
      <c r="A1351" s="2049">
        <v>22020803</v>
      </c>
      <c r="B1351" s="2146" t="s">
        <v>115</v>
      </c>
      <c r="C1351" s="3333">
        <v>1040000</v>
      </c>
      <c r="D1351" s="2386">
        <v>800000</v>
      </c>
      <c r="E1351" s="2386">
        <v>1040000</v>
      </c>
    </row>
    <row r="1352" spans="1:5" s="2112" customFormat="1" ht="19.5" thickBot="1" x14ac:dyDescent="0.25">
      <c r="A1352" s="2046"/>
      <c r="B1352" s="2191"/>
      <c r="C1352" s="3231"/>
      <c r="D1352" s="3198"/>
      <c r="E1352" s="3198"/>
    </row>
    <row r="1353" spans="1:5" s="2112" customFormat="1" ht="19.5" thickBot="1" x14ac:dyDescent="0.25">
      <c r="A1353" s="2472"/>
      <c r="B1353" s="3158" t="s">
        <v>2512</v>
      </c>
      <c r="C1353" s="2438">
        <f>C1342+C1344+C1347+C1350</f>
        <v>5941254</v>
      </c>
      <c r="D1353" s="2437">
        <f>D1342+D1344+D1347+D1350</f>
        <v>2631125</v>
      </c>
      <c r="E1353" s="2437">
        <f>E1342+E1344+E1347+E1350</f>
        <v>6555238</v>
      </c>
    </row>
    <row r="1354" spans="1:5" x14ac:dyDescent="0.2">
      <c r="A1354" s="2073"/>
      <c r="B1354" s="2073"/>
      <c r="C1354" s="2387"/>
      <c r="D1354" s="2073"/>
      <c r="E1354" s="2387"/>
    </row>
    <row r="1355" spans="1:5" x14ac:dyDescent="0.2">
      <c r="A1355" s="2073"/>
      <c r="B1355" s="2073"/>
      <c r="C1355" s="2387"/>
      <c r="D1355" s="2388"/>
      <c r="E1355" s="2387"/>
    </row>
    <row r="1356" spans="1:5" x14ac:dyDescent="0.2">
      <c r="A1356" s="2073"/>
      <c r="B1356" s="2073"/>
      <c r="C1356" s="2387"/>
      <c r="D1356" s="2073"/>
      <c r="E1356" s="2387"/>
    </row>
    <row r="1357" spans="1:5" x14ac:dyDescent="0.2">
      <c r="A1357" s="3477" t="s">
        <v>1856</v>
      </c>
      <c r="B1357" s="3477"/>
      <c r="C1357" s="3477"/>
      <c r="D1357" s="3477"/>
      <c r="E1357" s="3477"/>
    </row>
    <row r="1358" spans="1:5" x14ac:dyDescent="0.2">
      <c r="A1358" s="3477" t="s">
        <v>1048</v>
      </c>
      <c r="B1358" s="3477"/>
      <c r="C1358" s="3477"/>
      <c r="D1358" s="3477"/>
      <c r="E1358" s="3477"/>
    </row>
    <row r="1359" spans="1:5" s="2063" customFormat="1" ht="21" thickBot="1" x14ac:dyDescent="0.25">
      <c r="A1359" s="3476" t="s">
        <v>152</v>
      </c>
      <c r="B1359" s="3476"/>
      <c r="C1359" s="3476"/>
      <c r="D1359" s="3476"/>
      <c r="E1359" s="3476"/>
    </row>
    <row r="1360" spans="1:5" s="2063" customFormat="1" ht="81.75" thickBot="1" x14ac:dyDescent="0.35">
      <c r="A1360" s="2004" t="s">
        <v>1014</v>
      </c>
      <c r="B1360" s="2004" t="s">
        <v>282</v>
      </c>
      <c r="C1360" s="173" t="s">
        <v>1174</v>
      </c>
      <c r="D1360" s="173" t="s">
        <v>1145</v>
      </c>
      <c r="E1360" s="173" t="s">
        <v>3096</v>
      </c>
    </row>
    <row r="1361" spans="1:5" s="2063" customFormat="1" ht="21" thickBot="1" x14ac:dyDescent="0.25">
      <c r="A1361" s="2019"/>
      <c r="B1361" s="2020"/>
      <c r="C1361" s="2021"/>
      <c r="D1361" s="2022"/>
      <c r="E1361" s="2023"/>
    </row>
    <row r="1362" spans="1:5" s="2063" customFormat="1" ht="21" thickBot="1" x14ac:dyDescent="0.25">
      <c r="A1362" s="1993">
        <v>22020100</v>
      </c>
      <c r="B1362" s="2010" t="s">
        <v>64</v>
      </c>
      <c r="C1362" s="1994">
        <f>SUM(C1363:C1364)</f>
        <v>3900000</v>
      </c>
      <c r="D1362" s="2121">
        <f>SUM(D1363:D1364)</f>
        <v>2614000</v>
      </c>
      <c r="E1362" s="2372">
        <f>SUM(E1363:E1364)</f>
        <v>3900000</v>
      </c>
    </row>
    <row r="1363" spans="1:5" s="2063" customFormat="1" x14ac:dyDescent="0.2">
      <c r="A1363" s="1861">
        <v>22020101</v>
      </c>
      <c r="B1363" s="151" t="s">
        <v>9</v>
      </c>
      <c r="C1363" s="152">
        <v>2000000</v>
      </c>
      <c r="D1363" s="2119">
        <v>1600000</v>
      </c>
      <c r="E1363" s="2119">
        <v>2000000</v>
      </c>
    </row>
    <row r="1364" spans="1:5" ht="21" thickBot="1" x14ac:dyDescent="0.25">
      <c r="A1364" s="1861">
        <v>22020102</v>
      </c>
      <c r="B1364" s="151" t="s">
        <v>10</v>
      </c>
      <c r="C1364" s="1892">
        <v>1900000</v>
      </c>
      <c r="D1364" s="2125">
        <v>1014000</v>
      </c>
      <c r="E1364" s="2125">
        <v>1900000</v>
      </c>
    </row>
    <row r="1365" spans="1:5" ht="21" thickBot="1" x14ac:dyDescent="0.25">
      <c r="A1365" s="1993">
        <v>22020200</v>
      </c>
      <c r="B1365" s="2010" t="s">
        <v>65</v>
      </c>
      <c r="C1365" s="1994">
        <f>SUM(C1366:C1367)</f>
        <v>900000</v>
      </c>
      <c r="D1365" s="2121">
        <f>SUM(D1366:D1367)</f>
        <v>810700</v>
      </c>
      <c r="E1365" s="2372">
        <f>SUM(E1366:E1367)</f>
        <v>900000</v>
      </c>
    </row>
    <row r="1366" spans="1:5" x14ac:dyDescent="0.2">
      <c r="A1366" s="1861">
        <v>22020201</v>
      </c>
      <c r="B1366" s="151" t="s">
        <v>13</v>
      </c>
      <c r="C1366" s="152">
        <v>400000</v>
      </c>
      <c r="D1366" s="2119">
        <v>310700</v>
      </c>
      <c r="E1366" s="2119">
        <v>400000</v>
      </c>
    </row>
    <row r="1367" spans="1:5" ht="21" thickBot="1" x14ac:dyDescent="0.25">
      <c r="A1367" s="1861">
        <v>22020204</v>
      </c>
      <c r="B1367" s="151" t="s">
        <v>1216</v>
      </c>
      <c r="C1367" s="1892">
        <v>500000</v>
      </c>
      <c r="D1367" s="2125">
        <v>500000</v>
      </c>
      <c r="E1367" s="2125">
        <v>500000</v>
      </c>
    </row>
    <row r="1368" spans="1:5" ht="21" thickBot="1" x14ac:dyDescent="0.25">
      <c r="A1368" s="1993">
        <v>22020300</v>
      </c>
      <c r="B1368" s="2010" t="s">
        <v>66</v>
      </c>
      <c r="C1368" s="1994">
        <f>SUM(C1369:C1371)</f>
        <v>5940000</v>
      </c>
      <c r="D1368" s="2121">
        <f>SUM(D1369:D1371)</f>
        <v>4399000</v>
      </c>
      <c r="E1368" s="2372">
        <f>SUM(E1369:E1371)</f>
        <v>5940000</v>
      </c>
    </row>
    <row r="1369" spans="1:5" x14ac:dyDescent="0.2">
      <c r="A1369" s="1861">
        <v>22020301</v>
      </c>
      <c r="B1369" s="151" t="s">
        <v>17</v>
      </c>
      <c r="C1369" s="152">
        <v>2840000</v>
      </c>
      <c r="D1369" s="2119">
        <v>1759000</v>
      </c>
      <c r="E1369" s="2119">
        <v>2840000</v>
      </c>
    </row>
    <row r="1370" spans="1:5" x14ac:dyDescent="0.2">
      <c r="A1370" s="1861">
        <v>22020305</v>
      </c>
      <c r="B1370" s="151" t="s">
        <v>20</v>
      </c>
      <c r="C1370" s="152">
        <v>2500000</v>
      </c>
      <c r="D1370" s="2119">
        <v>2040000</v>
      </c>
      <c r="E1370" s="2119">
        <v>2500000</v>
      </c>
    </row>
    <row r="1371" spans="1:5" ht="21" thickBot="1" x14ac:dyDescent="0.25">
      <c r="A1371" s="1861">
        <v>22020309</v>
      </c>
      <c r="B1371" s="151" t="s">
        <v>23</v>
      </c>
      <c r="C1371" s="1892">
        <v>600000</v>
      </c>
      <c r="D1371" s="2125">
        <v>600000</v>
      </c>
      <c r="E1371" s="2125">
        <v>600000</v>
      </c>
    </row>
    <row r="1372" spans="1:5" ht="21" thickBot="1" x14ac:dyDescent="0.25">
      <c r="A1372" s="1993">
        <v>22020400</v>
      </c>
      <c r="B1372" s="2010" t="s">
        <v>67</v>
      </c>
      <c r="C1372" s="1994">
        <f>SUM(C1373:C1374)</f>
        <v>5150175</v>
      </c>
      <c r="D1372" s="2121">
        <f>SUM(D1373:D1374)</f>
        <v>2610800</v>
      </c>
      <c r="E1372" s="2372">
        <f>SUM(E1373:E1374)</f>
        <v>5150175</v>
      </c>
    </row>
    <row r="1373" spans="1:5" x14ac:dyDescent="0.2">
      <c r="A1373" s="1861">
        <v>22020401</v>
      </c>
      <c r="B1373" s="2024" t="s">
        <v>79</v>
      </c>
      <c r="C1373" s="152">
        <v>3120175</v>
      </c>
      <c r="D1373" s="2119">
        <v>1845800</v>
      </c>
      <c r="E1373" s="2119">
        <v>3120175</v>
      </c>
    </row>
    <row r="1374" spans="1:5" ht="21" thickBot="1" x14ac:dyDescent="0.25">
      <c r="A1374" s="1861">
        <v>22020403</v>
      </c>
      <c r="B1374" s="151" t="s">
        <v>131</v>
      </c>
      <c r="C1374" s="1892">
        <v>2030000</v>
      </c>
      <c r="D1374" s="2125">
        <v>765000</v>
      </c>
      <c r="E1374" s="2125">
        <v>2030000</v>
      </c>
    </row>
    <row r="1375" spans="1:5" ht="21" thickBot="1" x14ac:dyDescent="0.25">
      <c r="A1375" s="1993">
        <v>22020500</v>
      </c>
      <c r="B1375" s="2010" t="s">
        <v>68</v>
      </c>
      <c r="C1375" s="1994">
        <f>SUM(C1376:C1377)</f>
        <v>20000000</v>
      </c>
      <c r="D1375" s="2121">
        <f>SUM(D1376:D1377)</f>
        <v>4152500</v>
      </c>
      <c r="E1375" s="2372">
        <f>SUM(E1376:E1377)</f>
        <v>20000000</v>
      </c>
    </row>
    <row r="1376" spans="1:5" x14ac:dyDescent="0.2">
      <c r="A1376" s="1861">
        <v>22020501</v>
      </c>
      <c r="B1376" s="151" t="s">
        <v>30</v>
      </c>
      <c r="C1376" s="152">
        <v>5000000</v>
      </c>
      <c r="D1376" s="2119">
        <v>4152500</v>
      </c>
      <c r="E1376" s="2119">
        <v>5000000</v>
      </c>
    </row>
    <row r="1377" spans="1:5" ht="21" thickBot="1" x14ac:dyDescent="0.25">
      <c r="A1377" s="1861">
        <v>22020502</v>
      </c>
      <c r="B1377" s="151" t="s">
        <v>114</v>
      </c>
      <c r="C1377" s="1892">
        <v>15000000</v>
      </c>
      <c r="D1377" s="2125"/>
      <c r="E1377" s="2125">
        <v>15000000</v>
      </c>
    </row>
    <row r="1378" spans="1:5" ht="21" thickBot="1" x14ac:dyDescent="0.25">
      <c r="A1378" s="1993">
        <v>22021000</v>
      </c>
      <c r="B1378" s="2010" t="s">
        <v>73</v>
      </c>
      <c r="C1378" s="1994">
        <f>SUM(C1379:C1379)</f>
        <v>1040000</v>
      </c>
      <c r="D1378" s="2121">
        <f>SUM(D1379:D1379)</f>
        <v>1008000</v>
      </c>
      <c r="E1378" s="2372">
        <f>SUM(E1379:E1379)</f>
        <v>1040000</v>
      </c>
    </row>
    <row r="1379" spans="1:5" x14ac:dyDescent="0.2">
      <c r="A1379" s="1861">
        <v>22021001</v>
      </c>
      <c r="B1379" s="151" t="s">
        <v>41</v>
      </c>
      <c r="C1379" s="1892">
        <v>1040000</v>
      </c>
      <c r="D1379" s="2125">
        <v>1008000</v>
      </c>
      <c r="E1379" s="2125">
        <v>1040000</v>
      </c>
    </row>
    <row r="1380" spans="1:5" ht="21" thickBot="1" x14ac:dyDescent="0.25">
      <c r="A1380" s="1861"/>
      <c r="B1380" s="2030"/>
      <c r="C1380" s="2406"/>
      <c r="D1380" s="3199"/>
      <c r="E1380" s="3199"/>
    </row>
    <row r="1381" spans="1:5" ht="21" thickBot="1" x14ac:dyDescent="0.25">
      <c r="A1381" s="2177"/>
      <c r="B1381" s="2187" t="s">
        <v>1353</v>
      </c>
      <c r="C1381" s="1994">
        <f>SUM(C1362,C1365,C1368,C1372,C1375,C1378)</f>
        <v>36930175</v>
      </c>
      <c r="D1381" s="2121">
        <f>SUM(D1362,D1365,D1368,D1372,D1375,D1378)</f>
        <v>15595000</v>
      </c>
      <c r="E1381" s="2372">
        <f>SUM(E1362,E1365,E1368,E1372,E1375,E1378)</f>
        <v>36930175</v>
      </c>
    </row>
    <row r="1382" spans="1:5" x14ac:dyDescent="0.2">
      <c r="A1382" s="3477" t="s">
        <v>1856</v>
      </c>
      <c r="B1382" s="3477"/>
      <c r="C1382" s="3477"/>
      <c r="D1382" s="3477"/>
      <c r="E1382" s="3477"/>
    </row>
    <row r="1383" spans="1:5" x14ac:dyDescent="0.2">
      <c r="A1383" s="3477" t="s">
        <v>147</v>
      </c>
      <c r="B1383" s="3477"/>
      <c r="C1383" s="3477"/>
      <c r="D1383" s="3477"/>
      <c r="E1383" s="3477"/>
    </row>
    <row r="1384" spans="1:5" ht="21" thickBot="1" x14ac:dyDescent="0.25">
      <c r="A1384" s="3476" t="s">
        <v>148</v>
      </c>
      <c r="B1384" s="3476"/>
      <c r="C1384" s="3476"/>
      <c r="D1384" s="3476"/>
      <c r="E1384" s="3476"/>
    </row>
    <row r="1385" spans="1:5" s="2260" customFormat="1" ht="32.25" thickBot="1" x14ac:dyDescent="0.3">
      <c r="A1385" s="2261" t="s">
        <v>1014</v>
      </c>
      <c r="B1385" s="2261" t="s">
        <v>282</v>
      </c>
      <c r="C1385" s="2262" t="s">
        <v>1174</v>
      </c>
      <c r="D1385" s="2262" t="s">
        <v>1145</v>
      </c>
      <c r="E1385" s="2262" t="s">
        <v>3096</v>
      </c>
    </row>
    <row r="1386" spans="1:5" s="2048" customFormat="1" ht="19.5" thickBot="1" x14ac:dyDescent="0.25">
      <c r="A1386" s="2046">
        <v>22020100</v>
      </c>
      <c r="B1386" s="2191" t="s">
        <v>64</v>
      </c>
      <c r="C1386" s="2196">
        <f>SUM(C1387:C1388)</f>
        <v>5600000</v>
      </c>
      <c r="D1386" s="2141">
        <f>SUM(D1387:D1388)</f>
        <v>1400000</v>
      </c>
      <c r="E1386" s="2199">
        <f>SUM(E1387:E1388)</f>
        <v>5600000</v>
      </c>
    </row>
    <row r="1387" spans="1:5" s="2048" customFormat="1" ht="18.75" x14ac:dyDescent="0.2">
      <c r="A1387" s="2049">
        <v>22020101</v>
      </c>
      <c r="B1387" s="2146" t="s">
        <v>9</v>
      </c>
      <c r="C1387" s="2051">
        <v>4000000</v>
      </c>
      <c r="D1387" s="2192">
        <v>1400000</v>
      </c>
      <c r="E1387" s="2051">
        <v>4000000</v>
      </c>
    </row>
    <row r="1388" spans="1:5" s="2048" customFormat="1" ht="19.5" thickBot="1" x14ac:dyDescent="0.25">
      <c r="A1388" s="2049">
        <v>22020102</v>
      </c>
      <c r="B1388" s="2146" t="s">
        <v>10</v>
      </c>
      <c r="C1388" s="2194">
        <v>1600000</v>
      </c>
      <c r="D1388" s="2194"/>
      <c r="E1388" s="2194">
        <v>1600000</v>
      </c>
    </row>
    <row r="1389" spans="1:5" s="2048" customFormat="1" ht="19.5" thickBot="1" x14ac:dyDescent="0.25">
      <c r="A1389" s="2046">
        <v>22020300</v>
      </c>
      <c r="B1389" s="2191" t="s">
        <v>66</v>
      </c>
      <c r="C1389" s="2196">
        <f>SUM(C1390:C1391)</f>
        <v>9100000</v>
      </c>
      <c r="D1389" s="2355">
        <f>SUM(D1390:D1391)</f>
        <v>680000</v>
      </c>
      <c r="E1389" s="2199">
        <f>SUM(E1390:E1391)</f>
        <v>9100000</v>
      </c>
    </row>
    <row r="1390" spans="1:5" s="2048" customFormat="1" ht="18.75" x14ac:dyDescent="0.2">
      <c r="A1390" s="2049">
        <v>22020301</v>
      </c>
      <c r="B1390" s="2146" t="s">
        <v>17</v>
      </c>
      <c r="C1390" s="2051">
        <v>1400000</v>
      </c>
      <c r="D1390" s="2192">
        <v>680000</v>
      </c>
      <c r="E1390" s="2051">
        <v>1400000</v>
      </c>
    </row>
    <row r="1391" spans="1:5" s="2048" customFormat="1" ht="19.5" thickBot="1" x14ac:dyDescent="0.25">
      <c r="A1391" s="2049">
        <v>22020309</v>
      </c>
      <c r="B1391" s="2146" t="s">
        <v>2973</v>
      </c>
      <c r="C1391" s="2194">
        <v>7700000</v>
      </c>
      <c r="D1391" s="2194"/>
      <c r="E1391" s="2194">
        <v>7700000</v>
      </c>
    </row>
    <row r="1392" spans="1:5" s="2048" customFormat="1" ht="19.5" thickBot="1" x14ac:dyDescent="0.25">
      <c r="A1392" s="2046">
        <v>22020400</v>
      </c>
      <c r="B1392" s="2191" t="s">
        <v>67</v>
      </c>
      <c r="C1392" s="2196">
        <f>SUM(C1393:C1395)</f>
        <v>5750000</v>
      </c>
      <c r="D1392" s="2196">
        <f>SUM(D1393:D1395)</f>
        <v>3075000</v>
      </c>
      <c r="E1392" s="2199">
        <f>SUM(E1393:E1395)</f>
        <v>5750000</v>
      </c>
    </row>
    <row r="1393" spans="1:5" s="2048" customFormat="1" ht="18.75" x14ac:dyDescent="0.2">
      <c r="A1393" s="2049">
        <v>22020401</v>
      </c>
      <c r="B1393" s="2309" t="s">
        <v>79</v>
      </c>
      <c r="C1393" s="2051">
        <v>3500000</v>
      </c>
      <c r="D1393" s="2192">
        <v>1750000</v>
      </c>
      <c r="E1393" s="2051">
        <v>3500000</v>
      </c>
    </row>
    <row r="1394" spans="1:5" s="2048" customFormat="1" ht="18.75" x14ac:dyDescent="0.2">
      <c r="A1394" s="2049">
        <v>22020403</v>
      </c>
      <c r="B1394" s="2050" t="s">
        <v>1217</v>
      </c>
      <c r="C1394" s="2051">
        <v>1050000</v>
      </c>
      <c r="D1394" s="2192">
        <v>525000</v>
      </c>
      <c r="E1394" s="2051">
        <v>1050000</v>
      </c>
    </row>
    <row r="1395" spans="1:5" s="2048" customFormat="1" ht="19.5" thickBot="1" x14ac:dyDescent="0.25">
      <c r="A1395" s="2049">
        <v>22020406</v>
      </c>
      <c r="B1395" s="2050" t="s">
        <v>29</v>
      </c>
      <c r="C1395" s="2051">
        <v>1200000</v>
      </c>
      <c r="D1395" s="2193">
        <v>800000</v>
      </c>
      <c r="E1395" s="2051">
        <v>1200000</v>
      </c>
    </row>
    <row r="1396" spans="1:5" s="2390" customFormat="1" ht="19.5" thickBot="1" x14ac:dyDescent="0.25">
      <c r="A1396" s="2305">
        <v>22020500</v>
      </c>
      <c r="B1396" s="2191" t="s">
        <v>68</v>
      </c>
      <c r="C1396" s="2196">
        <f>SUM(C1397:C1398)</f>
        <v>13640000</v>
      </c>
      <c r="D1396" s="2355">
        <f>SUM(D1397:D1398)</f>
        <v>2240000</v>
      </c>
      <c r="E1396" s="2196">
        <f>SUM(E1397:E1398)</f>
        <v>13640000</v>
      </c>
    </row>
    <row r="1397" spans="1:5" s="2048" customFormat="1" ht="18.75" x14ac:dyDescent="0.2">
      <c r="A1397" s="2391">
        <v>22020501</v>
      </c>
      <c r="B1397" s="2146" t="s">
        <v>30</v>
      </c>
      <c r="C1397" s="2051">
        <v>3500000</v>
      </c>
      <c r="D1397" s="2051"/>
      <c r="E1397" s="2051">
        <v>3500000</v>
      </c>
    </row>
    <row r="1398" spans="1:5" s="2048" customFormat="1" ht="19.5" thickBot="1" x14ac:dyDescent="0.25">
      <c r="A1398" s="2049">
        <v>22020502</v>
      </c>
      <c r="B1398" s="2146" t="s">
        <v>114</v>
      </c>
      <c r="C1398" s="2194">
        <v>10140000</v>
      </c>
      <c r="D1398" s="2193">
        <v>2240000</v>
      </c>
      <c r="E1398" s="2194">
        <v>10140000</v>
      </c>
    </row>
    <row r="1399" spans="1:5" s="2048" customFormat="1" ht="19.5" thickBot="1" x14ac:dyDescent="0.25">
      <c r="A1399" s="2046">
        <v>22020700</v>
      </c>
      <c r="B1399" s="2047" t="s">
        <v>36</v>
      </c>
      <c r="C1399" s="2196">
        <f>SUM(C1400:C1401)</f>
        <v>1207500000</v>
      </c>
      <c r="D1399" s="2196">
        <f>SUM(D1400:D1401)</f>
        <v>415000000</v>
      </c>
      <c r="E1399" s="2196">
        <f>SUM(E1400:E1401)</f>
        <v>1207500000</v>
      </c>
    </row>
    <row r="1400" spans="1:5" s="2048" customFormat="1" ht="18.75" x14ac:dyDescent="0.2">
      <c r="A1400" s="2049">
        <v>22020703</v>
      </c>
      <c r="B1400" s="2050" t="s">
        <v>2978</v>
      </c>
      <c r="C1400" s="2194">
        <v>1190000000</v>
      </c>
      <c r="D1400" s="2193">
        <v>415000000</v>
      </c>
      <c r="E1400" s="2194">
        <v>1190000000</v>
      </c>
    </row>
    <row r="1401" spans="1:5" s="2048" customFormat="1" ht="19.5" thickBot="1" x14ac:dyDescent="0.25">
      <c r="A1401" s="2049">
        <v>22020710</v>
      </c>
      <c r="B1401" s="2050" t="s">
        <v>3321</v>
      </c>
      <c r="C1401" s="2051">
        <v>17500000</v>
      </c>
      <c r="D1401" s="2052"/>
      <c r="E1401" s="2051">
        <v>17500000</v>
      </c>
    </row>
    <row r="1402" spans="1:5" s="2048" customFormat="1" ht="19.5" thickBot="1" x14ac:dyDescent="0.25">
      <c r="A1402" s="2046">
        <v>22021000</v>
      </c>
      <c r="B1402" s="2191" t="s">
        <v>73</v>
      </c>
      <c r="C1402" s="2196">
        <f>SUM(C1403:C1405)</f>
        <v>4200000</v>
      </c>
      <c r="D1402" s="2355">
        <f>SUM(D1403:D1405)</f>
        <v>350000</v>
      </c>
      <c r="E1402" s="2196">
        <f>SUM(E1403:E1405)</f>
        <v>4200000</v>
      </c>
    </row>
    <row r="1403" spans="1:5" s="2048" customFormat="1" ht="18.75" x14ac:dyDescent="0.2">
      <c r="A1403" s="2049">
        <v>22021001</v>
      </c>
      <c r="B1403" s="2146" t="s">
        <v>41</v>
      </c>
      <c r="C1403" s="2051">
        <v>350000</v>
      </c>
      <c r="D1403" s="2192">
        <v>175000</v>
      </c>
      <c r="E1403" s="2051">
        <v>350000</v>
      </c>
    </row>
    <row r="1404" spans="1:5" s="2048" customFormat="1" ht="18.75" x14ac:dyDescent="0.2">
      <c r="A1404" s="2049">
        <v>22021008</v>
      </c>
      <c r="B1404" s="2146" t="s">
        <v>45</v>
      </c>
      <c r="C1404" s="2051">
        <v>3500000</v>
      </c>
      <c r="D1404" s="2192"/>
      <c r="E1404" s="2051">
        <v>3500000</v>
      </c>
    </row>
    <row r="1405" spans="1:5" s="2048" customFormat="1" ht="19.5" thickBot="1" x14ac:dyDescent="0.25">
      <c r="A1405" s="2049">
        <v>22021041</v>
      </c>
      <c r="B1405" s="2146" t="s">
        <v>127</v>
      </c>
      <c r="C1405" s="2051">
        <v>350000</v>
      </c>
      <c r="D1405" s="2192">
        <v>175000</v>
      </c>
      <c r="E1405" s="2051">
        <v>350000</v>
      </c>
    </row>
    <row r="1406" spans="1:5" s="2048" customFormat="1" ht="19.5" thickBot="1" x14ac:dyDescent="0.25">
      <c r="A1406" s="2046">
        <v>220401</v>
      </c>
      <c r="B1406" s="2191" t="s">
        <v>75</v>
      </c>
      <c r="C1406" s="2352">
        <f>SUM(C1407:C1408)</f>
        <v>4900000</v>
      </c>
      <c r="D1406" s="2199">
        <f>SUM(D1407:D1408)</f>
        <v>0</v>
      </c>
      <c r="E1406" s="2352">
        <f>SUM(E1407:E1408)</f>
        <v>4900000</v>
      </c>
    </row>
    <row r="1407" spans="1:5" s="2048" customFormat="1" ht="18.75" x14ac:dyDescent="0.2">
      <c r="A1407" s="2049">
        <v>22040105</v>
      </c>
      <c r="B1407" s="2146" t="s">
        <v>1182</v>
      </c>
      <c r="C1407" s="2051">
        <v>1400000</v>
      </c>
      <c r="D1407" s="2051"/>
      <c r="E1407" s="2051">
        <v>1400000</v>
      </c>
    </row>
    <row r="1408" spans="1:5" s="2048" customFormat="1" ht="19.5" thickBot="1" x14ac:dyDescent="0.25">
      <c r="A1408" s="2049">
        <v>22040105</v>
      </c>
      <c r="B1408" s="2146" t="s">
        <v>1183</v>
      </c>
      <c r="C1408" s="2194">
        <v>3500000</v>
      </c>
      <c r="D1408" s="2194"/>
      <c r="E1408" s="2194">
        <v>3500000</v>
      </c>
    </row>
    <row r="1409" spans="1:5" s="2048" customFormat="1" ht="19.5" thickBot="1" x14ac:dyDescent="0.25">
      <c r="A1409" s="2392"/>
      <c r="B1409" s="2346"/>
      <c r="C1409" s="2393"/>
      <c r="D1409" s="2393"/>
      <c r="E1409" s="2393"/>
    </row>
    <row r="1410" spans="1:5" ht="21" thickBot="1" x14ac:dyDescent="0.25">
      <c r="A1410" s="2041"/>
      <c r="B1410" s="2042" t="s">
        <v>1354</v>
      </c>
      <c r="C1410" s="2018">
        <f>SUM(C1386,C1389,C1392,C1396,C1399,C1402,C1406)</f>
        <v>1250690000</v>
      </c>
      <c r="D1410" s="2018">
        <f>SUM(D1386,D1389,D1392,D1396,D1399,D1402,D1406)</f>
        <v>422745000</v>
      </c>
      <c r="E1410" s="2018">
        <f>SUM(E1386,E1389,E1392,E1396,E1399,E1402,E1406)</f>
        <v>1250690000</v>
      </c>
    </row>
    <row r="1411" spans="1:5" s="2260" customFormat="1" ht="15.75" x14ac:dyDescent="0.2">
      <c r="A1411" s="3497" t="s">
        <v>147</v>
      </c>
      <c r="B1411" s="3497"/>
      <c r="C1411" s="3497"/>
      <c r="D1411" s="3497"/>
      <c r="E1411" s="3497"/>
    </row>
    <row r="1412" spans="1:5" s="2260" customFormat="1" ht="16.5" thickBot="1" x14ac:dyDescent="0.25">
      <c r="A1412" s="3498" t="s">
        <v>1185</v>
      </c>
      <c r="B1412" s="3498"/>
      <c r="C1412" s="3498"/>
      <c r="D1412" s="3498"/>
      <c r="E1412" s="3498"/>
    </row>
    <row r="1413" spans="1:5" s="2260" customFormat="1" ht="32.25" thickBot="1" x14ac:dyDescent="0.3">
      <c r="A1413" s="2261" t="s">
        <v>1014</v>
      </c>
      <c r="B1413" s="2261" t="s">
        <v>282</v>
      </c>
      <c r="C1413" s="2262" t="s">
        <v>1174</v>
      </c>
      <c r="D1413" s="2262" t="s">
        <v>1145</v>
      </c>
      <c r="E1413" s="2262" t="s">
        <v>3096</v>
      </c>
    </row>
    <row r="1414" spans="1:5" s="2260" customFormat="1" ht="16.5" thickBot="1" x14ac:dyDescent="0.25">
      <c r="A1414" s="2263">
        <v>22020100</v>
      </c>
      <c r="B1414" s="2264" t="s">
        <v>64</v>
      </c>
      <c r="C1414" s="2396">
        <f>SUM(C1415:C1416)</f>
        <v>30000000</v>
      </c>
      <c r="D1414" s="2272">
        <f>SUM(D1415:D1416)</f>
        <v>20138617</v>
      </c>
      <c r="E1414" s="2396">
        <f>SUM(E1415:E1416)</f>
        <v>30000000</v>
      </c>
    </row>
    <row r="1415" spans="1:5" s="2260" customFormat="1" ht="15.75" x14ac:dyDescent="0.25">
      <c r="A1415" s="2266">
        <v>22020101</v>
      </c>
      <c r="B1415" s="2267" t="s">
        <v>9</v>
      </c>
      <c r="C1415" s="2268">
        <v>15000000</v>
      </c>
      <c r="D1415" s="2394">
        <v>5138617</v>
      </c>
      <c r="E1415" s="2268">
        <v>15000000</v>
      </c>
    </row>
    <row r="1416" spans="1:5" s="2260" customFormat="1" ht="16.5" thickBot="1" x14ac:dyDescent="0.25">
      <c r="A1416" s="2266">
        <v>22020102</v>
      </c>
      <c r="B1416" s="2267" t="s">
        <v>10</v>
      </c>
      <c r="C1416" s="2269">
        <v>15000000</v>
      </c>
      <c r="D1416" s="2395">
        <v>15000000</v>
      </c>
      <c r="E1416" s="2269">
        <v>15000000</v>
      </c>
    </row>
    <row r="1417" spans="1:5" s="2397" customFormat="1" ht="16.5" thickBot="1" x14ac:dyDescent="0.25">
      <c r="A1417" s="2273">
        <v>22020200</v>
      </c>
      <c r="B1417" s="2274" t="s">
        <v>65</v>
      </c>
      <c r="C1417" s="2396">
        <f>SUM(C1418:C1418)</f>
        <v>2400000</v>
      </c>
      <c r="D1417" s="2272">
        <f>SUM(D1418:D1418)</f>
        <v>2400000</v>
      </c>
      <c r="E1417" s="2396">
        <f>SUM(E1418:E1418)</f>
        <v>2400000</v>
      </c>
    </row>
    <row r="1418" spans="1:5" s="2397" customFormat="1" ht="16.5" thickBot="1" x14ac:dyDescent="0.3">
      <c r="A1418" s="2266">
        <v>22020201</v>
      </c>
      <c r="B1418" s="2267" t="s">
        <v>13</v>
      </c>
      <c r="C1418" s="2269">
        <v>2400000</v>
      </c>
      <c r="D1418" s="2398">
        <v>2400000</v>
      </c>
      <c r="E1418" s="2269">
        <v>2400000</v>
      </c>
    </row>
    <row r="1419" spans="1:5" s="2397" customFormat="1" ht="16.5" thickBot="1" x14ac:dyDescent="0.25">
      <c r="A1419" s="2273">
        <v>22020300</v>
      </c>
      <c r="B1419" s="2274" t="s">
        <v>66</v>
      </c>
      <c r="C1419" s="2396">
        <f>SUM(C1420:C1422)</f>
        <v>44250000</v>
      </c>
      <c r="D1419" s="2272">
        <f>SUM(D1420:D1422)</f>
        <v>43750694</v>
      </c>
      <c r="E1419" s="2396">
        <f>SUM(E1420:E1423)</f>
        <v>45250000</v>
      </c>
    </row>
    <row r="1420" spans="1:5" s="2260" customFormat="1" ht="15.75" x14ac:dyDescent="0.2">
      <c r="A1420" s="2266">
        <v>22020301</v>
      </c>
      <c r="B1420" s="2267" t="s">
        <v>17</v>
      </c>
      <c r="C1420" s="2268">
        <v>1200000</v>
      </c>
      <c r="D1420" s="2399">
        <v>1181636</v>
      </c>
      <c r="E1420" s="2268">
        <v>1200000</v>
      </c>
    </row>
    <row r="1421" spans="1:5" s="2260" customFormat="1" ht="15.75" x14ac:dyDescent="0.2">
      <c r="A1421" s="2266">
        <v>22020305</v>
      </c>
      <c r="B1421" s="2267" t="s">
        <v>20</v>
      </c>
      <c r="C1421" s="2268">
        <v>600000</v>
      </c>
      <c r="D1421" s="2399">
        <v>600000</v>
      </c>
      <c r="E1421" s="2268">
        <v>600000</v>
      </c>
    </row>
    <row r="1422" spans="1:5" s="2260" customFormat="1" ht="15.75" x14ac:dyDescent="0.2">
      <c r="A1422" s="2266">
        <v>22020309</v>
      </c>
      <c r="B1422" s="2267" t="s">
        <v>1724</v>
      </c>
      <c r="C1422" s="2268">
        <v>42450000</v>
      </c>
      <c r="D1422" s="2399">
        <v>41969058</v>
      </c>
      <c r="E1422" s="2268">
        <v>42450000</v>
      </c>
    </row>
    <row r="1423" spans="1:5" s="2260" customFormat="1" ht="16.5" thickBot="1" x14ac:dyDescent="0.25">
      <c r="A1423" s="2266">
        <v>22020309</v>
      </c>
      <c r="B1423" s="2267" t="s">
        <v>23</v>
      </c>
      <c r="C1423" s="2269"/>
      <c r="D1423" s="2269"/>
      <c r="E1423" s="2269">
        <v>1000000</v>
      </c>
    </row>
    <row r="1424" spans="1:5" s="2260" customFormat="1" ht="16.5" thickBot="1" x14ac:dyDescent="0.25">
      <c r="A1424" s="2273">
        <v>22020400</v>
      </c>
      <c r="B1424" s="2270" t="s">
        <v>67</v>
      </c>
      <c r="C1424" s="2275">
        <f>SUM(C1425:C1427)</f>
        <v>61600000</v>
      </c>
      <c r="D1424" s="2272">
        <f>SUM(D1425:D1427)</f>
        <v>45559935.780000001</v>
      </c>
      <c r="E1424" s="2396">
        <f>SUM(E1425:E1427)</f>
        <v>61600000</v>
      </c>
    </row>
    <row r="1425" spans="1:5" s="2260" customFormat="1" ht="15.75" x14ac:dyDescent="0.2">
      <c r="A1425" s="2266">
        <v>22020401</v>
      </c>
      <c r="B1425" s="2267" t="s">
        <v>79</v>
      </c>
      <c r="C1425" s="2268">
        <v>15000000</v>
      </c>
      <c r="D1425" s="2399">
        <v>9637696</v>
      </c>
      <c r="E1425" s="2268">
        <v>15000000</v>
      </c>
    </row>
    <row r="1426" spans="1:5" s="2260" customFormat="1" ht="15.75" x14ac:dyDescent="0.2">
      <c r="A1426" s="2266">
        <v>22020403</v>
      </c>
      <c r="B1426" s="2267" t="s">
        <v>1112</v>
      </c>
      <c r="C1426" s="2268">
        <v>40600000</v>
      </c>
      <c r="D1426" s="2399">
        <v>31140239.780000001</v>
      </c>
      <c r="E1426" s="2268">
        <v>40600000</v>
      </c>
    </row>
    <row r="1427" spans="1:5" s="2260" customFormat="1" ht="16.5" thickBot="1" x14ac:dyDescent="0.25">
      <c r="A1427" s="2266">
        <v>22020406</v>
      </c>
      <c r="B1427" s="2267" t="s">
        <v>29</v>
      </c>
      <c r="C1427" s="2269">
        <v>6000000</v>
      </c>
      <c r="D1427" s="2395">
        <v>4782000</v>
      </c>
      <c r="E1427" s="2269">
        <v>6000000</v>
      </c>
    </row>
    <row r="1428" spans="1:5" s="2260" customFormat="1" ht="16.5" thickBot="1" x14ac:dyDescent="0.25">
      <c r="A1428" s="2273">
        <v>22020500</v>
      </c>
      <c r="B1428" s="2274" t="s">
        <v>68</v>
      </c>
      <c r="C1428" s="2396">
        <f>SUM(C1429:C1430)</f>
        <v>73200000</v>
      </c>
      <c r="D1428" s="2272">
        <f>SUM(D1429:D1430)</f>
        <v>10362677.119999999</v>
      </c>
      <c r="E1428" s="2396">
        <f>SUM(E1429:E1430)</f>
        <v>73200000</v>
      </c>
    </row>
    <row r="1429" spans="1:5" s="2260" customFormat="1" ht="15.75" x14ac:dyDescent="0.2">
      <c r="A1429" s="2266">
        <v>22020501</v>
      </c>
      <c r="B1429" s="2267" t="s">
        <v>30</v>
      </c>
      <c r="C1429" s="2268">
        <v>13200000</v>
      </c>
      <c r="D1429" s="2399">
        <v>10362677.119999999</v>
      </c>
      <c r="E1429" s="2268">
        <v>13200000</v>
      </c>
    </row>
    <row r="1430" spans="1:5" s="2260" customFormat="1" ht="16.5" thickBot="1" x14ac:dyDescent="0.25">
      <c r="A1430" s="2266">
        <v>22020502</v>
      </c>
      <c r="B1430" s="2267" t="s">
        <v>114</v>
      </c>
      <c r="C1430" s="2269">
        <v>60000000</v>
      </c>
      <c r="D1430" s="2269"/>
      <c r="E1430" s="2269">
        <v>60000000</v>
      </c>
    </row>
    <row r="1431" spans="1:5" s="2260" customFormat="1" ht="16.5" thickBot="1" x14ac:dyDescent="0.25">
      <c r="A1431" s="2273">
        <v>220206</v>
      </c>
      <c r="B1431" s="2274" t="s">
        <v>69</v>
      </c>
      <c r="C1431" s="2396">
        <f>SUM(C1432,C1433)</f>
        <v>20180000</v>
      </c>
      <c r="D1431" s="2272">
        <f>SUM(D1432,D1433)</f>
        <v>180000</v>
      </c>
      <c r="E1431" s="2396">
        <f>SUM(E1432,E1433)</f>
        <v>20180000</v>
      </c>
    </row>
    <row r="1432" spans="1:5" s="2260" customFormat="1" ht="15.75" x14ac:dyDescent="0.2">
      <c r="A1432" s="2266">
        <v>22020601</v>
      </c>
      <c r="B1432" s="2267" t="s">
        <v>31</v>
      </c>
      <c r="C1432" s="2268">
        <v>20000000</v>
      </c>
      <c r="D1432" s="2268"/>
      <c r="E1432" s="2268">
        <v>20000000</v>
      </c>
    </row>
    <row r="1433" spans="1:5" s="2260" customFormat="1" ht="16.5" thickBot="1" x14ac:dyDescent="0.25">
      <c r="A1433" s="2266">
        <v>22020603</v>
      </c>
      <c r="B1433" s="2267" t="s">
        <v>32</v>
      </c>
      <c r="C1433" s="2269">
        <v>180000</v>
      </c>
      <c r="D1433" s="2395">
        <v>180000</v>
      </c>
      <c r="E1433" s="2269">
        <v>180000</v>
      </c>
    </row>
    <row r="1434" spans="1:5" s="2260" customFormat="1" ht="16.5" thickBot="1" x14ac:dyDescent="0.25">
      <c r="A1434" s="2273">
        <v>22021000</v>
      </c>
      <c r="B1434" s="2274" t="s">
        <v>73</v>
      </c>
      <c r="C1434" s="2275">
        <f>SUM(C1435:C1443)</f>
        <v>129420000</v>
      </c>
      <c r="D1434" s="2275">
        <f>SUM(D1435:D1443)</f>
        <v>66951409.730000004</v>
      </c>
      <c r="E1434" s="2275">
        <f>SUM(E1435:E1443)</f>
        <v>129420000</v>
      </c>
    </row>
    <row r="1435" spans="1:5" s="2260" customFormat="1" ht="15.75" x14ac:dyDescent="0.2">
      <c r="A1435" s="2266">
        <v>22021001</v>
      </c>
      <c r="B1435" s="2267" t="s">
        <v>41</v>
      </c>
      <c r="C1435" s="2268">
        <v>2460000</v>
      </c>
      <c r="D1435" s="2399">
        <v>1666745</v>
      </c>
      <c r="E1435" s="2268">
        <v>2460000</v>
      </c>
    </row>
    <row r="1436" spans="1:5" s="2260" customFormat="1" ht="15.75" x14ac:dyDescent="0.2">
      <c r="A1436" s="2266">
        <v>22021008</v>
      </c>
      <c r="B1436" s="2267" t="s">
        <v>45</v>
      </c>
      <c r="C1436" s="2268">
        <v>5000000</v>
      </c>
      <c r="D1436" s="2399">
        <v>4776000</v>
      </c>
      <c r="E1436" s="2268">
        <v>5000000</v>
      </c>
    </row>
    <row r="1437" spans="1:5" s="2260" customFormat="1" ht="15.75" x14ac:dyDescent="0.2">
      <c r="A1437" s="2266">
        <v>22021021</v>
      </c>
      <c r="B1437" s="2267" t="s">
        <v>78</v>
      </c>
      <c r="C1437" s="2268">
        <v>4000000</v>
      </c>
      <c r="D1437" s="2399"/>
      <c r="E1437" s="2268">
        <v>4000000</v>
      </c>
    </row>
    <row r="1438" spans="1:5" s="2260" customFormat="1" ht="15.75" x14ac:dyDescent="0.2">
      <c r="A1438" s="2266">
        <v>22021041</v>
      </c>
      <c r="B1438" s="2267" t="s">
        <v>127</v>
      </c>
      <c r="C1438" s="2268">
        <v>7560000</v>
      </c>
      <c r="D1438" s="2399">
        <v>3603000</v>
      </c>
      <c r="E1438" s="2268">
        <v>7560000</v>
      </c>
    </row>
    <row r="1439" spans="1:5" s="2260" customFormat="1" ht="15.75" x14ac:dyDescent="0.2">
      <c r="A1439" s="2266">
        <v>22021004</v>
      </c>
      <c r="B1439" s="2267" t="s">
        <v>709</v>
      </c>
      <c r="C1439" s="2268">
        <v>42100000</v>
      </c>
      <c r="D1439" s="2399">
        <v>34748750</v>
      </c>
      <c r="E1439" s="2268">
        <v>42100000</v>
      </c>
    </row>
    <row r="1440" spans="1:5" s="2260" customFormat="1" ht="15.75" x14ac:dyDescent="0.2">
      <c r="A1440" s="2266">
        <v>22021009</v>
      </c>
      <c r="B1440" s="2267" t="s">
        <v>46</v>
      </c>
      <c r="C1440" s="3170">
        <v>2400000</v>
      </c>
      <c r="D1440" s="2399">
        <v>1157700</v>
      </c>
      <c r="E1440" s="2268">
        <v>2400000</v>
      </c>
    </row>
    <row r="1441" spans="1:5" s="2260" customFormat="1" ht="15.75" x14ac:dyDescent="0.2">
      <c r="A1441" s="2266">
        <v>22021002</v>
      </c>
      <c r="B1441" s="3202" t="s">
        <v>2974</v>
      </c>
      <c r="C1441" s="3170">
        <v>52400000</v>
      </c>
      <c r="D1441" s="2399">
        <v>10416214.73</v>
      </c>
      <c r="E1441" s="2268">
        <v>52400000</v>
      </c>
    </row>
    <row r="1442" spans="1:5" s="2260" customFormat="1" ht="15.75" x14ac:dyDescent="0.2">
      <c r="A1442" s="2266">
        <v>22021003</v>
      </c>
      <c r="B1442" s="2267" t="s">
        <v>42</v>
      </c>
      <c r="C1442" s="3170">
        <v>1200000</v>
      </c>
      <c r="D1442" s="2399">
        <v>583000</v>
      </c>
      <c r="E1442" s="2268">
        <v>1200000</v>
      </c>
    </row>
    <row r="1443" spans="1:5" s="2260" customFormat="1" ht="15.75" x14ac:dyDescent="0.2">
      <c r="A1443" s="2266">
        <v>22021007</v>
      </c>
      <c r="B1443" s="2267" t="s">
        <v>44</v>
      </c>
      <c r="C1443" s="3170">
        <v>12300000</v>
      </c>
      <c r="D1443" s="2399">
        <v>10000000</v>
      </c>
      <c r="E1443" s="2268">
        <v>12300000</v>
      </c>
    </row>
    <row r="1444" spans="1:5" s="2260" customFormat="1" ht="16.5" thickBot="1" x14ac:dyDescent="0.25">
      <c r="A1444" s="2266"/>
      <c r="B1444" s="2274"/>
      <c r="C1444" s="3201"/>
      <c r="D1444" s="3200"/>
      <c r="E1444" s="3200"/>
    </row>
    <row r="1445" spans="1:5" ht="21" thickBot="1" x14ac:dyDescent="0.25">
      <c r="A1445" s="2177"/>
      <c r="B1445" s="2105" t="s">
        <v>1355</v>
      </c>
      <c r="C1445" s="2062">
        <f>SUM(C1414,C1417,C1419,C1424,C1428,C1431,C1434)</f>
        <v>361050000</v>
      </c>
      <c r="D1445" s="2018">
        <f>SUM(D1414,D1417,D1419,D1424,D1428,D1431,D1434)</f>
        <v>189343333.63</v>
      </c>
      <c r="E1445" s="2018">
        <f>SUM(E1414,E1417,E1419,E1424,E1428,E1431,E1434)</f>
        <v>362050000</v>
      </c>
    </row>
    <row r="1446" spans="1:5" x14ac:dyDescent="0.2">
      <c r="A1446" s="3477" t="s">
        <v>1184</v>
      </c>
      <c r="B1446" s="3477"/>
      <c r="C1446" s="3477"/>
      <c r="D1446" s="3477"/>
      <c r="E1446" s="3477"/>
    </row>
    <row r="1447" spans="1:5" ht="21" thickBot="1" x14ac:dyDescent="0.25">
      <c r="A1447" s="3476" t="s">
        <v>1186</v>
      </c>
      <c r="B1447" s="3476"/>
      <c r="C1447" s="3476"/>
      <c r="D1447" s="3476"/>
      <c r="E1447" s="3476"/>
    </row>
    <row r="1448" spans="1:5" s="2048" customFormat="1" ht="43.5" customHeight="1" x14ac:dyDescent="0.3">
      <c r="A1448" s="2760" t="s">
        <v>1014</v>
      </c>
      <c r="B1448" s="2760" t="s">
        <v>282</v>
      </c>
      <c r="C1448" s="3203" t="s">
        <v>1174</v>
      </c>
      <c r="D1448" s="3203" t="s">
        <v>1145</v>
      </c>
      <c r="E1448" s="3203" t="s">
        <v>3096</v>
      </c>
    </row>
    <row r="1449" spans="1:5" s="2048" customFormat="1" ht="21.75" customHeight="1" thickBot="1" x14ac:dyDescent="0.35">
      <c r="A1449" s="2553"/>
      <c r="B1449" s="2553"/>
      <c r="C1449" s="3204"/>
      <c r="D1449" s="3204"/>
      <c r="E1449" s="3204"/>
    </row>
    <row r="1450" spans="1:5" ht="21" thickBot="1" x14ac:dyDescent="0.25">
      <c r="A1450" s="2005">
        <v>22020100</v>
      </c>
      <c r="B1450" s="2061" t="s">
        <v>64</v>
      </c>
      <c r="C1450" s="1994">
        <f>SUM(C1451:C1451)</f>
        <v>6000000</v>
      </c>
      <c r="D1450" s="2121">
        <f>SUM(D1451:D1451)</f>
        <v>4000000</v>
      </c>
      <c r="E1450" s="2372">
        <f>SUM(E1451:E1451)</f>
        <v>7000000</v>
      </c>
    </row>
    <row r="1451" spans="1:5" ht="21" thickBot="1" x14ac:dyDescent="0.25">
      <c r="A1451" s="1861">
        <v>22020102</v>
      </c>
      <c r="B1451" s="151" t="s">
        <v>10</v>
      </c>
      <c r="C1451" s="2058">
        <v>6000000</v>
      </c>
      <c r="D1451" s="2363">
        <v>4000000</v>
      </c>
      <c r="E1451" s="2363">
        <v>7000000</v>
      </c>
    </row>
    <row r="1452" spans="1:5" ht="21" thickBot="1" x14ac:dyDescent="0.25">
      <c r="A1452" s="1993">
        <v>22020200</v>
      </c>
      <c r="B1452" s="2010" t="s">
        <v>65</v>
      </c>
      <c r="C1452" s="1994">
        <f>SUM(C1453:C1454)</f>
        <v>2400000</v>
      </c>
      <c r="D1452" s="2337">
        <f>SUM(D1453:D1454)</f>
        <v>1600000</v>
      </c>
      <c r="E1452" s="2337">
        <f>SUM(E1453:E1454)</f>
        <v>3400000</v>
      </c>
    </row>
    <row r="1453" spans="1:5" x14ac:dyDescent="0.2">
      <c r="A1453" s="1861">
        <v>22020201</v>
      </c>
      <c r="B1453" s="153" t="s">
        <v>13</v>
      </c>
      <c r="C1453" s="152">
        <v>1400000</v>
      </c>
      <c r="D1453" s="2119">
        <v>1300000</v>
      </c>
      <c r="E1453" s="2119">
        <v>1400000</v>
      </c>
    </row>
    <row r="1454" spans="1:5" ht="21" thickBot="1" x14ac:dyDescent="0.25">
      <c r="A1454" s="1861">
        <v>22020202</v>
      </c>
      <c r="B1454" s="153" t="s">
        <v>1216</v>
      </c>
      <c r="C1454" s="1892">
        <v>1000000</v>
      </c>
      <c r="D1454" s="2125">
        <v>300000</v>
      </c>
      <c r="E1454" s="2125">
        <v>2000000</v>
      </c>
    </row>
    <row r="1455" spans="1:5" ht="21" thickBot="1" x14ac:dyDescent="0.25">
      <c r="A1455" s="1993">
        <v>22020300</v>
      </c>
      <c r="B1455" s="2010" t="s">
        <v>66</v>
      </c>
      <c r="C1455" s="1994">
        <f>SUM(C1456:C1458)</f>
        <v>13230000</v>
      </c>
      <c r="D1455" s="2121">
        <f>SUM(D1456:D1458)</f>
        <v>11550000</v>
      </c>
      <c r="E1455" s="2372">
        <f>SUM(E1456:E1458)</f>
        <v>14730000</v>
      </c>
    </row>
    <row r="1456" spans="1:5" x14ac:dyDescent="0.2">
      <c r="A1456" s="1861">
        <v>22020301</v>
      </c>
      <c r="B1456" s="151" t="s">
        <v>17</v>
      </c>
      <c r="C1456" s="152">
        <v>2400000</v>
      </c>
      <c r="D1456" s="2119">
        <v>1520000</v>
      </c>
      <c r="E1456" s="2119">
        <v>3000000</v>
      </c>
    </row>
    <row r="1457" spans="1:5" x14ac:dyDescent="0.2">
      <c r="A1457" s="1861">
        <v>22020305</v>
      </c>
      <c r="B1457" s="151" t="s">
        <v>20</v>
      </c>
      <c r="C1457" s="152">
        <v>2400000</v>
      </c>
      <c r="D1457" s="2119">
        <v>1600000</v>
      </c>
      <c r="E1457" s="2119">
        <v>3000000</v>
      </c>
    </row>
    <row r="1458" spans="1:5" ht="21" thickBot="1" x14ac:dyDescent="0.25">
      <c r="A1458" s="1861">
        <v>22020309</v>
      </c>
      <c r="B1458" s="151" t="s">
        <v>23</v>
      </c>
      <c r="C1458" s="1892">
        <v>8430000</v>
      </c>
      <c r="D1458" s="2125">
        <v>8430000</v>
      </c>
      <c r="E1458" s="2125">
        <v>8730000</v>
      </c>
    </row>
    <row r="1459" spans="1:5" ht="21" thickBot="1" x14ac:dyDescent="0.25">
      <c r="A1459" s="1993">
        <v>22020400</v>
      </c>
      <c r="B1459" s="2010" t="s">
        <v>67</v>
      </c>
      <c r="C1459" s="1994">
        <f>SUM(C1460:C1461)</f>
        <v>21006330</v>
      </c>
      <c r="D1459" s="2121">
        <f>SUM(D1460:D1461)</f>
        <v>18190000</v>
      </c>
      <c r="E1459" s="2372">
        <f>SUM(E1460:E1461)</f>
        <v>22006330</v>
      </c>
    </row>
    <row r="1460" spans="1:5" x14ac:dyDescent="0.2">
      <c r="A1460" s="1861">
        <v>22020401</v>
      </c>
      <c r="B1460" s="2024" t="s">
        <v>79</v>
      </c>
      <c r="C1460" s="152">
        <v>5000000</v>
      </c>
      <c r="D1460" s="2119">
        <v>4420000</v>
      </c>
      <c r="E1460" s="2119">
        <v>6000000</v>
      </c>
    </row>
    <row r="1461" spans="1:5" ht="21" thickBot="1" x14ac:dyDescent="0.25">
      <c r="A1461" s="1861">
        <v>22020403</v>
      </c>
      <c r="B1461" s="151" t="s">
        <v>1111</v>
      </c>
      <c r="C1461" s="1892">
        <v>16006330</v>
      </c>
      <c r="D1461" s="2125">
        <v>13770000</v>
      </c>
      <c r="E1461" s="2125">
        <v>16006330</v>
      </c>
    </row>
    <row r="1462" spans="1:5" ht="21" thickBot="1" x14ac:dyDescent="0.25">
      <c r="A1462" s="1993">
        <v>22020500</v>
      </c>
      <c r="B1462" s="2010" t="s">
        <v>68</v>
      </c>
      <c r="C1462" s="1994">
        <f>SUM(C1463:C1464)</f>
        <v>35600000</v>
      </c>
      <c r="D1462" s="2121">
        <f>SUM(D1463:D1464)</f>
        <v>2700000</v>
      </c>
      <c r="E1462" s="2372">
        <f>SUM(E1463:E1464)</f>
        <v>36000000</v>
      </c>
    </row>
    <row r="1463" spans="1:5" x14ac:dyDescent="0.2">
      <c r="A1463" s="1861">
        <v>22020501</v>
      </c>
      <c r="B1463" s="151" t="s">
        <v>30</v>
      </c>
      <c r="C1463" s="152">
        <v>3600000</v>
      </c>
      <c r="D1463" s="2119">
        <v>2700000</v>
      </c>
      <c r="E1463" s="2119">
        <v>4000000</v>
      </c>
    </row>
    <row r="1464" spans="1:5" ht="21" thickBot="1" x14ac:dyDescent="0.25">
      <c r="A1464" s="1861">
        <v>22020502</v>
      </c>
      <c r="B1464" s="151" t="s">
        <v>114</v>
      </c>
      <c r="C1464" s="1892">
        <v>32000000</v>
      </c>
      <c r="D1464" s="2125"/>
      <c r="E1464" s="2125">
        <v>32000000</v>
      </c>
    </row>
    <row r="1465" spans="1:5" ht="21" thickBot="1" x14ac:dyDescent="0.25">
      <c r="A1465" s="1993">
        <v>22021000</v>
      </c>
      <c r="B1465" s="2010" t="s">
        <v>73</v>
      </c>
      <c r="C1465" s="2062">
        <f>SUM(C1466:C1470)</f>
        <v>40867800</v>
      </c>
      <c r="D1465" s="2127">
        <f>SUM(D1466:D1470)</f>
        <v>35166000</v>
      </c>
      <c r="E1465" s="2127">
        <f>SUM(E1466:E1470)</f>
        <v>42806800</v>
      </c>
    </row>
    <row r="1466" spans="1:5" x14ac:dyDescent="0.2">
      <c r="A1466" s="1861">
        <v>22021001</v>
      </c>
      <c r="B1466" s="151" t="s">
        <v>41</v>
      </c>
      <c r="C1466" s="152">
        <v>1006800</v>
      </c>
      <c r="D1466" s="2119">
        <v>880000</v>
      </c>
      <c r="E1466" s="2119">
        <v>1006800</v>
      </c>
    </row>
    <row r="1467" spans="1:5" x14ac:dyDescent="0.2">
      <c r="A1467" s="1861">
        <v>22021004</v>
      </c>
      <c r="B1467" s="151" t="s">
        <v>709</v>
      </c>
      <c r="C1467" s="152">
        <v>26500000</v>
      </c>
      <c r="D1467" s="2119">
        <v>23500000</v>
      </c>
      <c r="E1467" s="2119">
        <v>26500000</v>
      </c>
    </row>
    <row r="1468" spans="1:5" x14ac:dyDescent="0.2">
      <c r="A1468" s="1861">
        <v>22021008</v>
      </c>
      <c r="B1468" s="151" t="s">
        <v>45</v>
      </c>
      <c r="C1468" s="152">
        <v>600000</v>
      </c>
      <c r="D1468" s="2119">
        <v>550000</v>
      </c>
      <c r="E1468" s="2119">
        <v>1500000</v>
      </c>
    </row>
    <row r="1469" spans="1:5" x14ac:dyDescent="0.2">
      <c r="A1469" s="1861">
        <v>22021041</v>
      </c>
      <c r="B1469" s="151" t="s">
        <v>3322</v>
      </c>
      <c r="C1469" s="152">
        <v>1800000</v>
      </c>
      <c r="D1469" s="2119">
        <v>1556000</v>
      </c>
      <c r="E1469" s="152">
        <v>1800000</v>
      </c>
    </row>
    <row r="1470" spans="1:5" x14ac:dyDescent="0.2">
      <c r="A1470" s="1861">
        <v>22021007</v>
      </c>
      <c r="B1470" s="151" t="s">
        <v>44</v>
      </c>
      <c r="C1470" s="2075">
        <v>10961000</v>
      </c>
      <c r="D1470" s="2119">
        <v>8680000</v>
      </c>
      <c r="E1470" s="2119">
        <v>12000000</v>
      </c>
    </row>
    <row r="1471" spans="1:5" ht="21" thickBot="1" x14ac:dyDescent="0.25">
      <c r="A1471" s="1861"/>
      <c r="B1471" s="2010"/>
      <c r="C1471" s="3165"/>
      <c r="D1471" s="3199"/>
      <c r="E1471" s="3199"/>
    </row>
    <row r="1472" spans="1:5" ht="21" thickBot="1" x14ac:dyDescent="0.25">
      <c r="A1472" s="2177"/>
      <c r="B1472" s="2105" t="s">
        <v>1356</v>
      </c>
      <c r="C1472" s="2062">
        <f>SUM(C1450,C1452,C1455,C1459,C1462,C1465)</f>
        <v>119104130</v>
      </c>
      <c r="D1472" s="2127">
        <f>SUM(D1450,D1452,D1455,D1459,D1462,D1465)</f>
        <v>73206000</v>
      </c>
      <c r="E1472" s="2127">
        <f>SUM(E1450,E1452,E1455,E1459,E1462,E1465)</f>
        <v>125943130</v>
      </c>
    </row>
    <row r="1473" spans="1:5" x14ac:dyDescent="0.2">
      <c r="A1473" s="3477"/>
      <c r="B1473" s="3477"/>
      <c r="C1473" s="3477"/>
      <c r="D1473" s="3477"/>
      <c r="E1473" s="3477"/>
    </row>
    <row r="1474" spans="1:5" x14ac:dyDescent="0.2">
      <c r="A1474" s="3477" t="s">
        <v>1184</v>
      </c>
      <c r="B1474" s="3477"/>
      <c r="C1474" s="3477"/>
      <c r="D1474" s="3477"/>
      <c r="E1474" s="3477"/>
    </row>
    <row r="1475" spans="1:5" ht="21" thickBot="1" x14ac:dyDescent="0.25">
      <c r="A1475" s="3476" t="s">
        <v>2988</v>
      </c>
      <c r="B1475" s="3476"/>
      <c r="C1475" s="3476"/>
      <c r="D1475" s="3476"/>
      <c r="E1475" s="3476"/>
    </row>
    <row r="1476" spans="1:5" ht="81.75" thickBot="1" x14ac:dyDescent="0.35">
      <c r="A1476" s="2004" t="s">
        <v>1014</v>
      </c>
      <c r="B1476" s="2004" t="s">
        <v>282</v>
      </c>
      <c r="C1476" s="173" t="s">
        <v>1174</v>
      </c>
      <c r="D1476" s="173" t="s">
        <v>1145</v>
      </c>
      <c r="E1476" s="173" t="s">
        <v>3096</v>
      </c>
    </row>
    <row r="1477" spans="1:5" ht="21" thickBot="1" x14ac:dyDescent="0.25">
      <c r="A1477" s="2005"/>
      <c r="B1477" s="2061"/>
      <c r="C1477" s="2007"/>
      <c r="D1477" s="2015"/>
      <c r="E1477" s="2007"/>
    </row>
    <row r="1478" spans="1:5" s="2112" customFormat="1" ht="19.5" thickBot="1" x14ac:dyDescent="0.25">
      <c r="A1478" s="2046">
        <v>22020100</v>
      </c>
      <c r="B1478" s="2191" t="s">
        <v>64</v>
      </c>
      <c r="C1478" s="2199">
        <f>SUM(C1479:C1479)</f>
        <v>1557175</v>
      </c>
      <c r="D1478" s="2199">
        <f>SUM(D1479:D1479)</f>
        <v>1023457</v>
      </c>
      <c r="E1478" s="2199">
        <f>SUM(E1479:E1479)</f>
        <v>1549768</v>
      </c>
    </row>
    <row r="1479" spans="1:5" s="2112" customFormat="1" ht="19.5" thickBot="1" x14ac:dyDescent="0.25">
      <c r="A1479" s="2049">
        <v>22020102</v>
      </c>
      <c r="B1479" s="2146" t="s">
        <v>10</v>
      </c>
      <c r="C1479" s="2340">
        <v>1557175</v>
      </c>
      <c r="D1479" s="2400">
        <v>1023457</v>
      </c>
      <c r="E1479" s="2341">
        <v>1549768</v>
      </c>
    </row>
    <row r="1480" spans="1:5" s="2048" customFormat="1" ht="19.5" thickBot="1" x14ac:dyDescent="0.25">
      <c r="A1480" s="2046">
        <v>22020200</v>
      </c>
      <c r="B1480" s="2191" t="s">
        <v>65</v>
      </c>
      <c r="C1480" s="2196">
        <f>SUM(C1481:C1481)</f>
        <v>0</v>
      </c>
      <c r="D1480" s="2196">
        <f>SUM(D1481:D1481)</f>
        <v>0</v>
      </c>
      <c r="E1480" s="2196">
        <f>SUM(E1481:E1481)</f>
        <v>500000</v>
      </c>
    </row>
    <row r="1481" spans="1:5" s="2048" customFormat="1" ht="18.75" x14ac:dyDescent="0.2">
      <c r="A1481" s="2049">
        <v>22020202</v>
      </c>
      <c r="B1481" s="2050" t="s">
        <v>1216</v>
      </c>
      <c r="C1481" s="2194"/>
      <c r="D1481" s="2194"/>
      <c r="E1481" s="2194">
        <v>500000</v>
      </c>
    </row>
    <row r="1482" spans="1:5" s="2112" customFormat="1" ht="19.5" thickBot="1" x14ac:dyDescent="0.25">
      <c r="A1482" s="2046">
        <v>22020300</v>
      </c>
      <c r="B1482" s="2191" t="s">
        <v>66</v>
      </c>
      <c r="C1482" s="2343">
        <f>SUM(C1483:C1483)</f>
        <v>1000000</v>
      </c>
      <c r="D1482" s="2344">
        <f>SUM(D1483:D1483)</f>
        <v>782230</v>
      </c>
      <c r="E1482" s="2344">
        <f>SUM(E1483:E1483)</f>
        <v>1825205</v>
      </c>
    </row>
    <row r="1483" spans="1:5" s="2112" customFormat="1" ht="19.5" thickBot="1" x14ac:dyDescent="0.25">
      <c r="A1483" s="2049">
        <v>22020301</v>
      </c>
      <c r="B1483" s="2146" t="s">
        <v>17</v>
      </c>
      <c r="C1483" s="2051">
        <v>1000000</v>
      </c>
      <c r="D1483" s="2051">
        <v>782230</v>
      </c>
      <c r="E1483" s="2051">
        <v>1825205</v>
      </c>
    </row>
    <row r="1484" spans="1:5" s="2112" customFormat="1" ht="19.5" thickBot="1" x14ac:dyDescent="0.25">
      <c r="A1484" s="2046">
        <v>22020400</v>
      </c>
      <c r="B1484" s="2191" t="s">
        <v>67</v>
      </c>
      <c r="C1484" s="2199">
        <f>SUM(C1485:C1486)</f>
        <v>1000000</v>
      </c>
      <c r="D1484" s="2199">
        <f>SUM(D1485:D1486)</f>
        <v>509940</v>
      </c>
      <c r="E1484" s="2199">
        <f>SUM(E1485:E1486)</f>
        <v>2189860</v>
      </c>
    </row>
    <row r="1485" spans="1:5" s="2112" customFormat="1" ht="18.75" x14ac:dyDescent="0.2">
      <c r="A1485" s="2049">
        <v>22020401</v>
      </c>
      <c r="B1485" s="2146" t="s">
        <v>79</v>
      </c>
      <c r="C1485" s="2051">
        <v>1000000</v>
      </c>
      <c r="D1485" s="2051">
        <v>509940</v>
      </c>
      <c r="E1485" s="2051">
        <v>1189860</v>
      </c>
    </row>
    <row r="1486" spans="1:5" s="2112" customFormat="1" ht="19.5" thickBot="1" x14ac:dyDescent="0.25">
      <c r="A1486" s="2049">
        <v>22020406</v>
      </c>
      <c r="B1486" s="2146" t="s">
        <v>29</v>
      </c>
      <c r="C1486" s="2340"/>
      <c r="D1486" s="2340"/>
      <c r="E1486" s="2341">
        <v>1000000</v>
      </c>
    </row>
    <row r="1487" spans="1:5" s="2112" customFormat="1" ht="18.75" x14ac:dyDescent="0.2">
      <c r="A1487" s="3205">
        <v>22021000</v>
      </c>
      <c r="B1487" s="3206" t="s">
        <v>73</v>
      </c>
      <c r="C1487" s="3207">
        <f>SUM(C1488:C1490)</f>
        <v>3200000</v>
      </c>
      <c r="D1487" s="2358">
        <f>SUM(D1488:D1490)</f>
        <v>0</v>
      </c>
      <c r="E1487" s="2358">
        <f>SUM(E1488:E1490)</f>
        <v>14000000</v>
      </c>
    </row>
    <row r="1488" spans="1:5" s="2112" customFormat="1" ht="18.75" x14ac:dyDescent="0.2">
      <c r="A1488" s="2049">
        <v>22021008</v>
      </c>
      <c r="B1488" s="2146" t="s">
        <v>2487</v>
      </c>
      <c r="C1488" s="2051">
        <v>2200000</v>
      </c>
      <c r="D1488" s="2051">
        <v>0</v>
      </c>
      <c r="E1488" s="2051">
        <v>2200000</v>
      </c>
    </row>
    <row r="1489" spans="1:5" s="2112" customFormat="1" ht="18.75" x14ac:dyDescent="0.2">
      <c r="A1489" s="2049">
        <v>22021041</v>
      </c>
      <c r="B1489" s="2146" t="s">
        <v>2488</v>
      </c>
      <c r="C1489" s="2051">
        <v>1000000</v>
      </c>
      <c r="D1489" s="2051">
        <v>0</v>
      </c>
      <c r="E1489" s="2051">
        <v>1800000</v>
      </c>
    </row>
    <row r="1490" spans="1:5" s="2403" customFormat="1" ht="18.75" x14ac:dyDescent="0.3">
      <c r="A1490" s="2049">
        <v>22021041</v>
      </c>
      <c r="B1490" s="2402" t="s">
        <v>3060</v>
      </c>
      <c r="C1490" s="3154"/>
      <c r="D1490" s="2444"/>
      <c r="E1490" s="2444">
        <v>10000000</v>
      </c>
    </row>
    <row r="1491" spans="1:5" s="2112" customFormat="1" ht="19.5" thickBot="1" x14ac:dyDescent="0.25">
      <c r="A1491" s="2046"/>
      <c r="B1491" s="2191"/>
      <c r="C1491" s="3209"/>
      <c r="D1491" s="3208"/>
      <c r="E1491" s="3208"/>
    </row>
    <row r="1492" spans="1:5" ht="21" thickBot="1" x14ac:dyDescent="0.25">
      <c r="A1492" s="2177"/>
      <c r="B1492" s="2105" t="s">
        <v>2989</v>
      </c>
      <c r="C1492" s="2062">
        <f>SUM(C1478,C1480,C1482,C1484,C1487)</f>
        <v>6757175</v>
      </c>
      <c r="D1492" s="2018">
        <f>SUM(D1478,D1480,D1482,D1484,D1487)</f>
        <v>2315627</v>
      </c>
      <c r="E1492" s="2018">
        <f>SUM(E1478,E1480,E1482,E1484,E1487)</f>
        <v>20064833</v>
      </c>
    </row>
    <row r="1493" spans="1:5" x14ac:dyDescent="0.2">
      <c r="A1493" s="2073"/>
      <c r="B1493" s="2073"/>
      <c r="C1493" s="2387"/>
      <c r="D1493" s="2073"/>
      <c r="E1493" s="2387"/>
    </row>
    <row r="1494" spans="1:5" x14ac:dyDescent="0.2">
      <c r="A1494" s="2073"/>
      <c r="B1494" s="2073"/>
      <c r="C1494" s="2387"/>
      <c r="D1494" s="2073"/>
      <c r="E1494" s="2387"/>
    </row>
    <row r="1495" spans="1:5" x14ac:dyDescent="0.2">
      <c r="A1495" s="3477" t="s">
        <v>1856</v>
      </c>
      <c r="B1495" s="3477"/>
      <c r="C1495" s="3477"/>
      <c r="D1495" s="3477"/>
      <c r="E1495" s="3477"/>
    </row>
    <row r="1496" spans="1:5" x14ac:dyDescent="0.2">
      <c r="A1496" s="3477" t="s">
        <v>1049</v>
      </c>
      <c r="B1496" s="3477"/>
      <c r="C1496" s="3477"/>
      <c r="D1496" s="3477"/>
      <c r="E1496" s="3477"/>
    </row>
    <row r="1497" spans="1:5" ht="21" thickBot="1" x14ac:dyDescent="0.25">
      <c r="A1497" s="3476" t="s">
        <v>718</v>
      </c>
      <c r="B1497" s="3476"/>
      <c r="C1497" s="3476"/>
      <c r="D1497" s="3476"/>
      <c r="E1497" s="3476"/>
    </row>
    <row r="1498" spans="1:5" ht="81.75" thickBot="1" x14ac:dyDescent="0.35">
      <c r="A1498" s="2004" t="s">
        <v>1014</v>
      </c>
      <c r="B1498" s="2004" t="s">
        <v>282</v>
      </c>
      <c r="C1498" s="2064" t="s">
        <v>1174</v>
      </c>
      <c r="D1498" s="173" t="s">
        <v>1145</v>
      </c>
      <c r="E1498" s="2064" t="s">
        <v>3096</v>
      </c>
    </row>
    <row r="1499" spans="1:5" s="2203" customFormat="1" thickBot="1" x14ac:dyDescent="0.25">
      <c r="A1499" s="2204">
        <v>22020100</v>
      </c>
      <c r="B1499" s="2205" t="s">
        <v>64</v>
      </c>
      <c r="C1499" s="2214">
        <f>SUM(C1500:C1500)</f>
        <v>1199100</v>
      </c>
      <c r="D1499" s="2222">
        <f>SUM(D1500:D1500)</f>
        <v>462000</v>
      </c>
      <c r="E1499" s="2214">
        <f>SUM(E1500:E1500)</f>
        <v>1199100</v>
      </c>
    </row>
    <row r="1500" spans="1:5" s="2203" customFormat="1" thickBot="1" x14ac:dyDescent="0.25">
      <c r="A1500" s="2207">
        <v>22020102</v>
      </c>
      <c r="B1500" s="2208" t="s">
        <v>10</v>
      </c>
      <c r="C1500" s="2206">
        <v>1199100</v>
      </c>
      <c r="D1500" s="2206">
        <v>462000</v>
      </c>
      <c r="E1500" s="2206">
        <v>1199100</v>
      </c>
    </row>
    <row r="1501" spans="1:5" s="2203" customFormat="1" thickBot="1" x14ac:dyDescent="0.25">
      <c r="A1501" s="2204">
        <v>22020300</v>
      </c>
      <c r="B1501" s="2205" t="s">
        <v>66</v>
      </c>
      <c r="C1501" s="2214">
        <f>SUM(C1502:C1502)</f>
        <v>342720</v>
      </c>
      <c r="D1501" s="2222">
        <f>SUM(D1502:D1502)</f>
        <v>132372</v>
      </c>
      <c r="E1501" s="2214">
        <f>SUM(E1502:E1502)</f>
        <v>342720</v>
      </c>
    </row>
    <row r="1502" spans="1:5" s="2203" customFormat="1" thickBot="1" x14ac:dyDescent="0.25">
      <c r="A1502" s="2207">
        <v>22020301</v>
      </c>
      <c r="B1502" s="2208" t="s">
        <v>17</v>
      </c>
      <c r="C1502" s="2206">
        <v>342720</v>
      </c>
      <c r="D1502" s="2206">
        <v>132372</v>
      </c>
      <c r="E1502" s="2206">
        <v>342720</v>
      </c>
    </row>
    <row r="1503" spans="1:5" s="2218" customFormat="1" thickBot="1" x14ac:dyDescent="0.25">
      <c r="A1503" s="2204">
        <v>22020400</v>
      </c>
      <c r="B1503" s="2205" t="s">
        <v>67</v>
      </c>
      <c r="C1503" s="2214">
        <f>SUM(C1504:C1506)</f>
        <v>9128200</v>
      </c>
      <c r="D1503" s="2222">
        <f>SUM(D1504:D1506)</f>
        <v>6124683</v>
      </c>
      <c r="E1503" s="2545">
        <f>SUM(E1504:E1506)</f>
        <v>12128200</v>
      </c>
    </row>
    <row r="1504" spans="1:5" s="2203" customFormat="1" ht="19.5" x14ac:dyDescent="0.2">
      <c r="A1504" s="2207">
        <v>22020401</v>
      </c>
      <c r="B1504" s="2219" t="s">
        <v>79</v>
      </c>
      <c r="C1504" s="2206">
        <v>928200</v>
      </c>
      <c r="D1504" s="2206">
        <v>358020</v>
      </c>
      <c r="E1504" s="2206">
        <v>928200</v>
      </c>
    </row>
    <row r="1505" spans="1:5" s="2203" customFormat="1" ht="19.5" x14ac:dyDescent="0.2">
      <c r="A1505" s="2207">
        <v>22020403</v>
      </c>
      <c r="B1505" s="2208" t="s">
        <v>583</v>
      </c>
      <c r="C1505" s="2206">
        <v>7000000</v>
      </c>
      <c r="D1505" s="2206">
        <v>5166663</v>
      </c>
      <c r="E1505" s="2206">
        <v>10000000</v>
      </c>
    </row>
    <row r="1506" spans="1:5" s="2203" customFormat="1" thickBot="1" x14ac:dyDescent="0.25">
      <c r="A1506" s="2207">
        <v>22020406</v>
      </c>
      <c r="B1506" s="2208" t="s">
        <v>29</v>
      </c>
      <c r="C1506" s="2221">
        <v>1200000</v>
      </c>
      <c r="D1506" s="2221">
        <v>600000</v>
      </c>
      <c r="E1506" s="2221">
        <v>1200000</v>
      </c>
    </row>
    <row r="1507" spans="1:5" s="2203" customFormat="1" thickBot="1" x14ac:dyDescent="0.25">
      <c r="A1507" s="2315">
        <v>22020500</v>
      </c>
      <c r="B1507" s="2316" t="s">
        <v>68</v>
      </c>
      <c r="C1507" s="2214">
        <f>SUM(C1508:C1508)</f>
        <v>7000000</v>
      </c>
      <c r="D1507" s="2222">
        <f>SUM(D1508:D1508)</f>
        <v>249300</v>
      </c>
      <c r="E1507" s="2214">
        <f>SUM(E1508:E1508)</f>
        <v>7000000</v>
      </c>
    </row>
    <row r="1508" spans="1:5" s="2203" customFormat="1" thickBot="1" x14ac:dyDescent="0.25">
      <c r="A1508" s="2207">
        <v>22020501</v>
      </c>
      <c r="B1508" s="2208" t="s">
        <v>30</v>
      </c>
      <c r="C1508" s="2206">
        <v>7000000</v>
      </c>
      <c r="D1508" s="2206">
        <v>249300</v>
      </c>
      <c r="E1508" s="2206">
        <v>7000000</v>
      </c>
    </row>
    <row r="1509" spans="1:5" s="2203" customFormat="1" thickBot="1" x14ac:dyDescent="0.25">
      <c r="A1509" s="2204">
        <v>22020700</v>
      </c>
      <c r="B1509" s="2205" t="s">
        <v>70</v>
      </c>
      <c r="C1509" s="2214">
        <f>SUM(C1510)</f>
        <v>74970</v>
      </c>
      <c r="D1509" s="2222">
        <f>SUM(D1510)</f>
        <v>28917</v>
      </c>
      <c r="E1509" s="2214">
        <f>SUM(E1510)</f>
        <v>74970</v>
      </c>
    </row>
    <row r="1510" spans="1:5" s="2203" customFormat="1" thickBot="1" x14ac:dyDescent="0.25">
      <c r="A1510" s="2207">
        <v>22020701</v>
      </c>
      <c r="B1510" s="3264" t="s">
        <v>34</v>
      </c>
      <c r="C1510" s="2221">
        <v>74970</v>
      </c>
      <c r="D1510" s="2221">
        <v>28917</v>
      </c>
      <c r="E1510" s="2221">
        <v>74970</v>
      </c>
    </row>
    <row r="1511" spans="1:5" s="3270" customFormat="1" thickBot="1" x14ac:dyDescent="0.25">
      <c r="A1511" s="2204">
        <v>22021000</v>
      </c>
      <c r="B1511" s="2205" t="s">
        <v>73</v>
      </c>
      <c r="C1511" s="2214">
        <f>SUM(C1512:C1522)</f>
        <v>392167190</v>
      </c>
      <c r="D1511" s="2214">
        <f>SUM(D1512:D1522)</f>
        <v>325593228</v>
      </c>
      <c r="E1511" s="2214">
        <f>SUM(E1512:E1522)</f>
        <v>452827190</v>
      </c>
    </row>
    <row r="1512" spans="1:5" s="3270" customFormat="1" ht="19.5" x14ac:dyDescent="0.2">
      <c r="A1512" s="2207">
        <v>22021001</v>
      </c>
      <c r="B1512" s="2208" t="s">
        <v>41</v>
      </c>
      <c r="C1512" s="2206">
        <v>856800</v>
      </c>
      <c r="D1512" s="2206">
        <v>330480</v>
      </c>
      <c r="E1512" s="2206">
        <v>856800</v>
      </c>
    </row>
    <row r="1513" spans="1:5" s="3270" customFormat="1" ht="19.5" x14ac:dyDescent="0.2">
      <c r="A1513" s="2207">
        <v>22021002</v>
      </c>
      <c r="B1513" s="2208" t="s">
        <v>3323</v>
      </c>
      <c r="C1513" s="2206">
        <v>840000</v>
      </c>
      <c r="D1513" s="2206"/>
      <c r="E1513" s="2206">
        <v>840000</v>
      </c>
    </row>
    <row r="1514" spans="1:5" s="2203" customFormat="1" ht="19.5" x14ac:dyDescent="0.2">
      <c r="A1514" s="2207">
        <v>22021002</v>
      </c>
      <c r="B1514" s="2208" t="s">
        <v>1506</v>
      </c>
      <c r="C1514" s="2221">
        <v>0</v>
      </c>
      <c r="D1514" s="2221"/>
      <c r="E1514" s="2221">
        <v>8000000</v>
      </c>
    </row>
    <row r="1515" spans="1:5" s="2203" customFormat="1" ht="19.5" x14ac:dyDescent="0.2">
      <c r="A1515" s="2207">
        <v>22021009</v>
      </c>
      <c r="B1515" s="2208" t="s">
        <v>1505</v>
      </c>
      <c r="C1515" s="2206">
        <v>52500000</v>
      </c>
      <c r="D1515" s="2206">
        <v>52500000</v>
      </c>
      <c r="E1515" s="2206">
        <v>60000000</v>
      </c>
    </row>
    <row r="1516" spans="1:5" s="2203" customFormat="1" ht="19.5" x14ac:dyDescent="0.2">
      <c r="A1516" s="2207">
        <v>22021021</v>
      </c>
      <c r="B1516" s="2219" t="s">
        <v>585</v>
      </c>
      <c r="C1516" s="2206">
        <v>15400000</v>
      </c>
      <c r="D1516" s="2206"/>
      <c r="E1516" s="2206">
        <v>22000000</v>
      </c>
    </row>
    <row r="1517" spans="1:5" s="2203" customFormat="1" ht="19.5" x14ac:dyDescent="0.2">
      <c r="A1517" s="2207">
        <v>22021021</v>
      </c>
      <c r="B1517" s="2208" t="s">
        <v>586</v>
      </c>
      <c r="C1517" s="2206">
        <v>4900000</v>
      </c>
      <c r="D1517" s="2206"/>
      <c r="E1517" s="2206">
        <v>7000000</v>
      </c>
    </row>
    <row r="1518" spans="1:5" s="2203" customFormat="1" ht="19.5" x14ac:dyDescent="0.2">
      <c r="A1518" s="2207">
        <v>22021021</v>
      </c>
      <c r="B1518" s="2208" t="s">
        <v>1177</v>
      </c>
      <c r="C1518" s="2221">
        <v>3500000</v>
      </c>
      <c r="D1518" s="2221">
        <v>3000000</v>
      </c>
      <c r="E1518" s="2221">
        <v>3500000</v>
      </c>
    </row>
    <row r="1519" spans="1:5" s="2203" customFormat="1" ht="19.5" x14ac:dyDescent="0.2">
      <c r="A1519" s="2207">
        <v>22021015</v>
      </c>
      <c r="B1519" s="2208" t="s">
        <v>582</v>
      </c>
      <c r="C1519" s="2206">
        <v>286640000</v>
      </c>
      <c r="D1519" s="2206">
        <v>253863500</v>
      </c>
      <c r="E1519" s="2206">
        <v>300000000</v>
      </c>
    </row>
    <row r="1520" spans="1:5" s="2203" customFormat="1" ht="19.5" x14ac:dyDescent="0.2">
      <c r="A1520" s="2207">
        <v>22021016</v>
      </c>
      <c r="B1520" s="2208" t="s">
        <v>584</v>
      </c>
      <c r="C1520" s="2206">
        <v>810390</v>
      </c>
      <c r="D1520" s="2206">
        <v>312579</v>
      </c>
      <c r="E1520" s="2206">
        <v>810390</v>
      </c>
    </row>
    <row r="1521" spans="1:5" s="2203" customFormat="1" ht="19.5" x14ac:dyDescent="0.2">
      <c r="A1521" s="2207">
        <v>22021017</v>
      </c>
      <c r="B1521" s="2208" t="s">
        <v>1504</v>
      </c>
      <c r="C1521" s="2206">
        <v>21720000</v>
      </c>
      <c r="D1521" s="2206">
        <v>12670000</v>
      </c>
      <c r="E1521" s="2206">
        <v>39820000</v>
      </c>
    </row>
    <row r="1522" spans="1:5" s="2203" customFormat="1" thickBot="1" x14ac:dyDescent="0.25">
      <c r="A1522" s="2207">
        <v>22021018</v>
      </c>
      <c r="B1522" s="2208" t="s">
        <v>587</v>
      </c>
      <c r="C1522" s="2215">
        <v>5000000</v>
      </c>
      <c r="D1522" s="2206">
        <v>2916669</v>
      </c>
      <c r="E1522" s="2215">
        <v>10000000</v>
      </c>
    </row>
    <row r="1523" spans="1:5" s="2203" customFormat="1" thickBot="1" x14ac:dyDescent="0.25">
      <c r="A1523" s="2204">
        <v>22040100</v>
      </c>
      <c r="B1523" s="2205" t="s">
        <v>75</v>
      </c>
      <c r="C1523" s="3260">
        <f>SUM(C1524:C1525)</f>
        <v>17784000</v>
      </c>
      <c r="D1523" s="2222">
        <f>SUM(D1524:D1525)</f>
        <v>927000</v>
      </c>
      <c r="E1523" s="2535">
        <f>SUM(E1524:E1525)</f>
        <v>29784000</v>
      </c>
    </row>
    <row r="1524" spans="1:5" s="2203" customFormat="1" ht="19.5" x14ac:dyDescent="0.2">
      <c r="A1524" s="2207">
        <v>22040105</v>
      </c>
      <c r="B1524" s="2208" t="s">
        <v>2489</v>
      </c>
      <c r="C1524" s="3244">
        <v>14284000</v>
      </c>
      <c r="D1524" s="2206">
        <v>927000</v>
      </c>
      <c r="E1524" s="2220">
        <f>14284000+12000000</f>
        <v>26284000</v>
      </c>
    </row>
    <row r="1525" spans="1:5" s="2203" customFormat="1" ht="19.5" x14ac:dyDescent="0.2">
      <c r="A1525" s="2207">
        <v>22040105</v>
      </c>
      <c r="B1525" s="2208" t="s">
        <v>1121</v>
      </c>
      <c r="C1525" s="3244">
        <v>3500000</v>
      </c>
      <c r="D1525" s="2206"/>
      <c r="E1525" s="2206">
        <v>3500000</v>
      </c>
    </row>
    <row r="1526" spans="1:5" s="2203" customFormat="1" thickBot="1" x14ac:dyDescent="0.25">
      <c r="A1526" s="2207"/>
      <c r="B1526" s="3267"/>
      <c r="C1526" s="3334"/>
      <c r="D1526" s="3335"/>
      <c r="E1526" s="3335"/>
    </row>
    <row r="1527" spans="1:5" ht="21" thickBot="1" x14ac:dyDescent="0.25">
      <c r="A1527" s="2177"/>
      <c r="B1527" s="2105" t="s">
        <v>1358</v>
      </c>
      <c r="C1527" s="2062">
        <f>SUM(C1499,C1501,C1503,C1507,C1509,C1511,C1523,C1526)</f>
        <v>427696180</v>
      </c>
      <c r="D1527" s="2018">
        <f>SUM(D1499,D1501,D1503,D1507,D1509,D1511,D1523,D1526)</f>
        <v>333517500</v>
      </c>
      <c r="E1527" s="2018">
        <f>SUM(E1499,E1501,E1503,E1507,E1509,E1511,E1523,E1526)</f>
        <v>503356180</v>
      </c>
    </row>
    <row r="1528" spans="1:5" x14ac:dyDescent="0.2">
      <c r="A1528" s="2002"/>
      <c r="B1528" s="2059"/>
      <c r="C1528" s="2003"/>
      <c r="D1528" s="2003"/>
      <c r="E1528" s="2003"/>
    </row>
    <row r="1529" spans="1:5" x14ac:dyDescent="0.2">
      <c r="A1529" s="3477" t="s">
        <v>1475</v>
      </c>
      <c r="B1529" s="3477"/>
      <c r="C1529" s="3477"/>
      <c r="D1529" s="3477"/>
      <c r="E1529" s="3477"/>
    </row>
    <row r="1530" spans="1:5" x14ac:dyDescent="0.2">
      <c r="A1530" s="3477" t="s">
        <v>1050</v>
      </c>
      <c r="B1530" s="3477"/>
      <c r="C1530" s="3477"/>
      <c r="D1530" s="3477"/>
      <c r="E1530" s="3477"/>
    </row>
    <row r="1531" spans="1:5" ht="21" thickBot="1" x14ac:dyDescent="0.25">
      <c r="A1531" s="3476" t="s">
        <v>1515</v>
      </c>
      <c r="B1531" s="3476"/>
      <c r="C1531" s="3476"/>
      <c r="D1531" s="3476"/>
      <c r="E1531" s="3476"/>
    </row>
    <row r="1532" spans="1:5" ht="81.75" thickBot="1" x14ac:dyDescent="0.35">
      <c r="A1532" s="2004" t="s">
        <v>1014</v>
      </c>
      <c r="B1532" s="2004" t="s">
        <v>282</v>
      </c>
      <c r="C1532" s="173" t="s">
        <v>1174</v>
      </c>
      <c r="D1532" s="173" t="s">
        <v>1145</v>
      </c>
      <c r="E1532" s="173" t="s">
        <v>3096</v>
      </c>
    </row>
    <row r="1533" spans="1:5" ht="21" thickBot="1" x14ac:dyDescent="0.25">
      <c r="A1533" s="2024"/>
      <c r="B1533" s="2084"/>
      <c r="C1533" s="1893"/>
      <c r="D1533" s="1893"/>
      <c r="E1533" s="1893"/>
    </row>
    <row r="1534" spans="1:5" ht="21" thickBot="1" x14ac:dyDescent="0.25">
      <c r="A1534" s="1993">
        <v>22020100</v>
      </c>
      <c r="B1534" s="2010" t="s">
        <v>64</v>
      </c>
      <c r="C1534" s="2106">
        <f>SUM(C1535:C1536)</f>
        <v>600000</v>
      </c>
      <c r="D1534" s="2011">
        <f>SUM(D1535:D1536)</f>
        <v>232300</v>
      </c>
      <c r="E1534" s="2012">
        <f>SUM(E1535:E1536)</f>
        <v>600000</v>
      </c>
    </row>
    <row r="1535" spans="1:5" x14ac:dyDescent="0.2">
      <c r="A1535" s="1861">
        <v>22020101</v>
      </c>
      <c r="B1535" s="151" t="s">
        <v>9</v>
      </c>
      <c r="C1535" s="2075">
        <v>300000</v>
      </c>
      <c r="D1535" s="152">
        <v>232300</v>
      </c>
      <c r="E1535" s="152">
        <v>300000</v>
      </c>
    </row>
    <row r="1536" spans="1:5" ht="21" thickBot="1" x14ac:dyDescent="0.25">
      <c r="A1536" s="1861">
        <v>22020102</v>
      </c>
      <c r="B1536" s="151" t="s">
        <v>10</v>
      </c>
      <c r="C1536" s="2075">
        <v>300000</v>
      </c>
      <c r="D1536" s="1892"/>
      <c r="E1536" s="152">
        <v>300000</v>
      </c>
    </row>
    <row r="1537" spans="1:5" s="2063" customFormat="1" x14ac:dyDescent="0.2">
      <c r="A1537" s="1993">
        <v>22020300</v>
      </c>
      <c r="B1537" s="2010" t="s">
        <v>66</v>
      </c>
      <c r="C1537" s="3161">
        <f>SUM(C1538:C1538)</f>
        <v>300000</v>
      </c>
      <c r="D1537" s="2336">
        <f>SUM(D1538:D1538)</f>
        <v>197800</v>
      </c>
      <c r="E1537" s="3148">
        <f>SUM(E1538:E1538)</f>
        <v>300000</v>
      </c>
    </row>
    <row r="1538" spans="1:5" s="2083" customFormat="1" ht="21" thickBot="1" x14ac:dyDescent="0.35">
      <c r="A1538" s="1861">
        <v>22020301</v>
      </c>
      <c r="B1538" s="151" t="s">
        <v>17</v>
      </c>
      <c r="C1538" s="152">
        <v>300000</v>
      </c>
      <c r="D1538" s="152">
        <v>197800</v>
      </c>
      <c r="E1538" s="152">
        <v>300000</v>
      </c>
    </row>
    <row r="1539" spans="1:5" s="2083" customFormat="1" ht="21" thickBot="1" x14ac:dyDescent="0.35">
      <c r="A1539" s="1993">
        <v>22020400</v>
      </c>
      <c r="B1539" s="2030" t="s">
        <v>67</v>
      </c>
      <c r="C1539" s="1994">
        <f>SUM(C1540:C1541)</f>
        <v>23955701</v>
      </c>
      <c r="D1539" s="2011">
        <f>SUM(D1540:D1541)</f>
        <v>671900</v>
      </c>
      <c r="E1539" s="2012">
        <f>SUM(E1540:E1541)</f>
        <v>23955701</v>
      </c>
    </row>
    <row r="1540" spans="1:5" x14ac:dyDescent="0.2">
      <c r="A1540" s="1861">
        <v>22020401</v>
      </c>
      <c r="B1540" s="151" t="s">
        <v>79</v>
      </c>
      <c r="C1540" s="2075">
        <v>800000</v>
      </c>
      <c r="D1540" s="152">
        <v>138400</v>
      </c>
      <c r="E1540" s="152">
        <v>800000</v>
      </c>
    </row>
    <row r="1541" spans="1:5" s="2083" customFormat="1" ht="21" thickBot="1" x14ac:dyDescent="0.35">
      <c r="A1541" s="1861">
        <v>22020406</v>
      </c>
      <c r="B1541" s="151" t="s">
        <v>1516</v>
      </c>
      <c r="C1541" s="2161">
        <v>23155701</v>
      </c>
      <c r="D1541" s="152">
        <v>533500</v>
      </c>
      <c r="E1541" s="2161">
        <v>23155701</v>
      </c>
    </row>
    <row r="1542" spans="1:5" s="2083" customFormat="1" ht="21" thickBot="1" x14ac:dyDescent="0.35">
      <c r="A1542" s="1993">
        <v>22020500</v>
      </c>
      <c r="B1542" s="2030" t="s">
        <v>68</v>
      </c>
      <c r="C1542" s="1994">
        <f>SUM(C1543:C1543)</f>
        <v>200912</v>
      </c>
      <c r="D1542" s="2011">
        <f>SUM(D1543:D1543)</f>
        <v>20000</v>
      </c>
      <c r="E1542" s="2012">
        <f>SUM(E1543:E1543)</f>
        <v>200912</v>
      </c>
    </row>
    <row r="1543" spans="1:5" s="2083" customFormat="1" ht="21" thickBot="1" x14ac:dyDescent="0.35">
      <c r="A1543" s="1861">
        <v>22020501</v>
      </c>
      <c r="B1543" s="151" t="s">
        <v>30</v>
      </c>
      <c r="C1543" s="1893">
        <v>200912</v>
      </c>
      <c r="D1543" s="1893">
        <v>20000</v>
      </c>
      <c r="E1543" s="1893">
        <v>200912</v>
      </c>
    </row>
    <row r="1544" spans="1:5" s="2083" customFormat="1" ht="21" thickBot="1" x14ac:dyDescent="0.35">
      <c r="A1544" s="1993">
        <v>22021000</v>
      </c>
      <c r="B1544" s="2030" t="s">
        <v>73</v>
      </c>
      <c r="C1544" s="1994">
        <f>SUM(C1545:C1546)</f>
        <v>1786652</v>
      </c>
      <c r="D1544" s="1994">
        <f t="shared" ref="D1544:E1544" si="14">SUM(D1545:D1546)</f>
        <v>2210020</v>
      </c>
      <c r="E1544" s="1994">
        <f t="shared" si="14"/>
        <v>1786652</v>
      </c>
    </row>
    <row r="1545" spans="1:5" s="2083" customFormat="1" x14ac:dyDescent="0.3">
      <c r="A1545" s="1861">
        <v>22021001</v>
      </c>
      <c r="B1545" s="151" t="s">
        <v>41</v>
      </c>
      <c r="C1545" s="2075">
        <v>400000</v>
      </c>
      <c r="D1545" s="152">
        <v>115020</v>
      </c>
      <c r="E1545" s="152">
        <v>400000</v>
      </c>
    </row>
    <row r="1546" spans="1:5" s="2083" customFormat="1" x14ac:dyDescent="0.3">
      <c r="A1546" s="1861">
        <v>22021041</v>
      </c>
      <c r="B1546" s="151" t="s">
        <v>127</v>
      </c>
      <c r="C1546" s="2076">
        <v>1386652</v>
      </c>
      <c r="D1546" s="1892">
        <v>2095000</v>
      </c>
      <c r="E1546" s="1892">
        <v>1386652</v>
      </c>
    </row>
    <row r="1547" spans="1:5" s="2083" customFormat="1" ht="21" thickBot="1" x14ac:dyDescent="0.35">
      <c r="A1547" s="2131"/>
      <c r="B1547" s="2010"/>
      <c r="C1547" s="2406"/>
      <c r="D1547" s="2406"/>
      <c r="E1547" s="2406"/>
    </row>
    <row r="1548" spans="1:5" s="2083" customFormat="1" ht="21" thickBot="1" x14ac:dyDescent="0.35">
      <c r="A1548" s="2130"/>
      <c r="B1548" s="2034" t="s">
        <v>2619</v>
      </c>
      <c r="C1548" s="2001">
        <f>C1534+C1537+C1539+C1542+C1544+C1547</f>
        <v>26843265</v>
      </c>
      <c r="D1548" s="2018">
        <f>D1534+D1537+D1539+D1542+D1544+D1547</f>
        <v>3332020</v>
      </c>
      <c r="E1548" s="2062">
        <f>E1534+E1537+E1539+E1542+E1544+E1547</f>
        <v>26843265</v>
      </c>
    </row>
    <row r="1549" spans="1:5" s="2083" customFormat="1" x14ac:dyDescent="0.3">
      <c r="A1549" s="2043"/>
      <c r="B1549" s="2044"/>
      <c r="C1549" s="2003"/>
      <c r="D1549" s="2003"/>
      <c r="E1549" s="2003"/>
    </row>
    <row r="1550" spans="1:5" s="2083" customFormat="1" x14ac:dyDescent="0.3">
      <c r="A1550" s="3477" t="s">
        <v>1856</v>
      </c>
      <c r="B1550" s="3477"/>
      <c r="C1550" s="3477"/>
      <c r="D1550" s="3477"/>
      <c r="E1550" s="3477"/>
    </row>
    <row r="1551" spans="1:5" s="2083" customFormat="1" x14ac:dyDescent="0.3">
      <c r="A1551" s="3477" t="s">
        <v>1049</v>
      </c>
      <c r="B1551" s="3477"/>
      <c r="C1551" s="3477"/>
      <c r="D1551" s="3477"/>
      <c r="E1551" s="3477"/>
    </row>
    <row r="1552" spans="1:5" s="2083" customFormat="1" ht="21" thickBot="1" x14ac:dyDescent="0.35">
      <c r="A1552" s="3476" t="s">
        <v>1175</v>
      </c>
      <c r="B1552" s="3476"/>
      <c r="C1552" s="3476"/>
      <c r="D1552" s="3476"/>
      <c r="E1552" s="3476"/>
    </row>
    <row r="1553" spans="1:5" s="2083" customFormat="1" ht="81.75" thickBot="1" x14ac:dyDescent="0.35">
      <c r="A1553" s="2004" t="s">
        <v>1014</v>
      </c>
      <c r="B1553" s="2004" t="s">
        <v>282</v>
      </c>
      <c r="C1553" s="173" t="s">
        <v>1174</v>
      </c>
      <c r="D1553" s="173" t="s">
        <v>1145</v>
      </c>
      <c r="E1553" s="173" t="s">
        <v>3096</v>
      </c>
    </row>
    <row r="1554" spans="1:5" s="2083" customFormat="1" ht="21" thickBot="1" x14ac:dyDescent="0.35">
      <c r="A1554" s="3185"/>
      <c r="B1554" s="3185"/>
      <c r="C1554" s="3188"/>
      <c r="D1554" s="3189"/>
      <c r="E1554" s="3188"/>
    </row>
    <row r="1555" spans="1:5" s="2083" customFormat="1" ht="21" thickBot="1" x14ac:dyDescent="0.35">
      <c r="A1555" s="1993">
        <v>22020100</v>
      </c>
      <c r="B1555" s="2010" t="s">
        <v>64</v>
      </c>
      <c r="C1555" s="1994">
        <f>SUM(C1556:C1556)</f>
        <v>943103</v>
      </c>
      <c r="D1555" s="2407">
        <v>417663</v>
      </c>
      <c r="E1555" s="1994">
        <f>SUM(E1556:E1556)</f>
        <v>943103</v>
      </c>
    </row>
    <row r="1556" spans="1:5" s="2083" customFormat="1" ht="21" thickBot="1" x14ac:dyDescent="0.35">
      <c r="A1556" s="1861">
        <v>22020102</v>
      </c>
      <c r="B1556" s="151" t="s">
        <v>10</v>
      </c>
      <c r="C1556" s="152">
        <v>943103</v>
      </c>
      <c r="D1556" s="152"/>
      <c r="E1556" s="152">
        <v>943103</v>
      </c>
    </row>
    <row r="1557" spans="1:5" s="2083" customFormat="1" ht="21" thickBot="1" x14ac:dyDescent="0.35">
      <c r="A1557" s="1993">
        <v>22020300</v>
      </c>
      <c r="B1557" s="2030" t="s">
        <v>66</v>
      </c>
      <c r="C1557" s="1994">
        <f>SUM(C1558:C1558)</f>
        <v>1285200</v>
      </c>
      <c r="D1557" s="2011">
        <f>SUM(D1558:D1558)</f>
        <v>569160</v>
      </c>
      <c r="E1557" s="1994">
        <f>SUM(E1558:E1558)</f>
        <v>1285200</v>
      </c>
    </row>
    <row r="1558" spans="1:5" ht="21" thickBot="1" x14ac:dyDescent="0.25">
      <c r="A1558" s="1861">
        <v>22020301</v>
      </c>
      <c r="B1558" s="151" t="s">
        <v>17</v>
      </c>
      <c r="C1558" s="1893">
        <v>1285200</v>
      </c>
      <c r="D1558" s="2408">
        <v>569160</v>
      </c>
      <c r="E1558" s="1893">
        <v>1285200</v>
      </c>
    </row>
    <row r="1559" spans="1:5" ht="21" thickBot="1" x14ac:dyDescent="0.25">
      <c r="A1559" s="1993">
        <v>22020400</v>
      </c>
      <c r="B1559" s="2010" t="s">
        <v>67</v>
      </c>
      <c r="C1559" s="1994">
        <f>SUM(C1560:C1562)</f>
        <v>4056000</v>
      </c>
      <c r="D1559" s="2011">
        <f>SUM(D1560:D1562)</f>
        <v>1964800</v>
      </c>
      <c r="E1559" s="1994">
        <f>SUM(E1560:E1562)</f>
        <v>4056000</v>
      </c>
    </row>
    <row r="1560" spans="1:5" x14ac:dyDescent="0.2">
      <c r="A1560" s="1861">
        <v>22020401</v>
      </c>
      <c r="B1560" s="2024" t="s">
        <v>79</v>
      </c>
      <c r="C1560" s="152">
        <v>1428000</v>
      </c>
      <c r="D1560" s="2099">
        <v>632400</v>
      </c>
      <c r="E1560" s="152">
        <v>1428000</v>
      </c>
    </row>
    <row r="1561" spans="1:5" x14ac:dyDescent="0.2">
      <c r="A1561" s="1861">
        <v>22020402</v>
      </c>
      <c r="B1561" s="2024" t="s">
        <v>719</v>
      </c>
      <c r="C1561" s="1892">
        <v>1428000</v>
      </c>
      <c r="D1561" s="2099">
        <v>632400</v>
      </c>
      <c r="E1561" s="1892">
        <v>1428000</v>
      </c>
    </row>
    <row r="1562" spans="1:5" ht="21" thickBot="1" x14ac:dyDescent="0.25">
      <c r="A1562" s="1861">
        <v>22020406</v>
      </c>
      <c r="B1562" s="2024" t="s">
        <v>29</v>
      </c>
      <c r="C1562" s="2075">
        <v>1200000</v>
      </c>
      <c r="D1562" s="2100">
        <v>700000</v>
      </c>
      <c r="E1562" s="152">
        <v>1200000</v>
      </c>
    </row>
    <row r="1563" spans="1:5" ht="21" thickBot="1" x14ac:dyDescent="0.25">
      <c r="A1563" s="1993">
        <v>22020500</v>
      </c>
      <c r="B1563" s="2010" t="s">
        <v>68</v>
      </c>
      <c r="C1563" s="2106">
        <f>SUM(C1564:C1564)</f>
        <v>925155</v>
      </c>
      <c r="D1563" s="2011">
        <f>SUM(D1564:D1564)</f>
        <v>0</v>
      </c>
      <c r="E1563" s="1994">
        <f>SUM(E1564:E1564)</f>
        <v>925155</v>
      </c>
    </row>
    <row r="1564" spans="1:5" ht="21" thickBot="1" x14ac:dyDescent="0.25">
      <c r="A1564" s="1861">
        <v>22020501</v>
      </c>
      <c r="B1564" s="151" t="s">
        <v>30</v>
      </c>
      <c r="C1564" s="3151">
        <f>353955+571200</f>
        <v>925155</v>
      </c>
      <c r="D1564" s="152">
        <v>0</v>
      </c>
      <c r="E1564" s="2000">
        <f>353955+571200</f>
        <v>925155</v>
      </c>
    </row>
    <row r="1565" spans="1:5" ht="21" thickBot="1" x14ac:dyDescent="0.25">
      <c r="A1565" s="1993">
        <v>22021000</v>
      </c>
      <c r="B1565" s="2010" t="s">
        <v>73</v>
      </c>
      <c r="C1565" s="2106">
        <f>SUM(C1566:C1568)</f>
        <v>3327096</v>
      </c>
      <c r="D1565" s="2011">
        <f>SUM(D1566:D1568)</f>
        <v>2250460</v>
      </c>
      <c r="E1565" s="1994">
        <f>SUM(E1566:E1568)</f>
        <v>3327096</v>
      </c>
    </row>
    <row r="1566" spans="1:5" x14ac:dyDescent="0.2">
      <c r="A1566" s="1861">
        <v>22021001</v>
      </c>
      <c r="B1566" s="151" t="s">
        <v>41</v>
      </c>
      <c r="C1566" s="2075">
        <v>474096</v>
      </c>
      <c r="D1566" s="2099">
        <v>252960</v>
      </c>
      <c r="E1566" s="152">
        <v>474096</v>
      </c>
    </row>
    <row r="1567" spans="1:5" x14ac:dyDescent="0.2">
      <c r="A1567" s="1861">
        <v>22021002</v>
      </c>
      <c r="B1567" s="178" t="s">
        <v>720</v>
      </c>
      <c r="C1567" s="2075">
        <v>2139000</v>
      </c>
      <c r="D1567" s="2099">
        <v>1997500</v>
      </c>
      <c r="E1567" s="152">
        <v>2139000</v>
      </c>
    </row>
    <row r="1568" spans="1:5" ht="21" thickBot="1" x14ac:dyDescent="0.35">
      <c r="A1568" s="1861">
        <v>22021021</v>
      </c>
      <c r="B1568" s="151" t="s">
        <v>126</v>
      </c>
      <c r="C1568" s="3160">
        <v>714000</v>
      </c>
      <c r="D1568" s="2409"/>
      <c r="E1568" s="180">
        <v>714000</v>
      </c>
    </row>
    <row r="1569" spans="1:5" ht="21" thickBot="1" x14ac:dyDescent="0.25">
      <c r="A1569" s="1993">
        <v>220401</v>
      </c>
      <c r="B1569" s="2010" t="s">
        <v>75</v>
      </c>
      <c r="C1569" s="2062">
        <f>SUM(C1570:C1570)</f>
        <v>1785000</v>
      </c>
      <c r="D1569" s="2018">
        <f>SUM(D1570:D1570)</f>
        <v>0</v>
      </c>
      <c r="E1569" s="2018">
        <f>SUM(E1570:E1570)</f>
        <v>1785000</v>
      </c>
    </row>
    <row r="1570" spans="1:5" x14ac:dyDescent="0.3">
      <c r="A1570" s="1861">
        <v>22040105</v>
      </c>
      <c r="B1570" s="197" t="s">
        <v>721</v>
      </c>
      <c r="C1570" s="2075">
        <v>1785000</v>
      </c>
      <c r="D1570" s="152"/>
      <c r="E1570" s="152">
        <v>1785000</v>
      </c>
    </row>
    <row r="1571" spans="1:5" ht="21" thickBot="1" x14ac:dyDescent="0.25">
      <c r="A1571" s="1861"/>
      <c r="B1571" s="2010"/>
      <c r="C1571" s="2078"/>
      <c r="D1571" s="2060"/>
      <c r="E1571" s="2060"/>
    </row>
    <row r="1572" spans="1:5" ht="21" thickBot="1" x14ac:dyDescent="0.25">
      <c r="A1572" s="2177"/>
      <c r="B1572" s="2105" t="s">
        <v>1359</v>
      </c>
      <c r="C1572" s="2062">
        <f>SUM(C1555,C1557,C1559,C1563,C1565,C1569)</f>
        <v>12321554</v>
      </c>
      <c r="D1572" s="2018">
        <f>SUM(D1555,D1557,D1559,D1563,D1565,D1569)</f>
        <v>5202083</v>
      </c>
      <c r="E1572" s="2018">
        <f>SUM(E1555,E1557,E1559,E1563,E1565,E1569)</f>
        <v>12321554</v>
      </c>
    </row>
    <row r="1573" spans="1:5" x14ac:dyDescent="0.2">
      <c r="A1573" s="2073"/>
      <c r="B1573" s="2073"/>
      <c r="C1573" s="2387"/>
      <c r="D1573" s="2073"/>
      <c r="E1573" s="2387"/>
    </row>
    <row r="1574" spans="1:5" x14ac:dyDescent="0.2">
      <c r="A1574" s="3477"/>
      <c r="B1574" s="3477"/>
      <c r="C1574" s="3477"/>
      <c r="D1574" s="3477"/>
      <c r="E1574" s="3477"/>
    </row>
    <row r="1575" spans="1:5" x14ac:dyDescent="0.2">
      <c r="A1575" s="3477" t="s">
        <v>1855</v>
      </c>
      <c r="B1575" s="3477"/>
      <c r="C1575" s="3477"/>
      <c r="D1575" s="3477"/>
      <c r="E1575" s="3477"/>
    </row>
    <row r="1576" spans="1:5" x14ac:dyDescent="0.2">
      <c r="A1576" s="3477" t="s">
        <v>1049</v>
      </c>
      <c r="B1576" s="3477"/>
      <c r="C1576" s="3477"/>
      <c r="D1576" s="3477"/>
      <c r="E1576" s="3477"/>
    </row>
    <row r="1577" spans="1:5" ht="21" thickBot="1" x14ac:dyDescent="0.25">
      <c r="A1577" s="3476" t="s">
        <v>1219</v>
      </c>
      <c r="B1577" s="3476"/>
      <c r="C1577" s="3476"/>
      <c r="D1577" s="3476"/>
      <c r="E1577" s="3476"/>
    </row>
    <row r="1578" spans="1:5" ht="81.75" thickBot="1" x14ac:dyDescent="0.35">
      <c r="A1578" s="2004" t="s">
        <v>1014</v>
      </c>
      <c r="B1578" s="2004" t="s">
        <v>282</v>
      </c>
      <c r="C1578" s="173" t="s">
        <v>1174</v>
      </c>
      <c r="D1578" s="173" t="s">
        <v>1145</v>
      </c>
      <c r="E1578" s="173" t="s">
        <v>3096</v>
      </c>
    </row>
    <row r="1579" spans="1:5" ht="21" thickBot="1" x14ac:dyDescent="0.25">
      <c r="A1579" s="1993">
        <v>22020100</v>
      </c>
      <c r="B1579" s="2010" t="s">
        <v>64</v>
      </c>
      <c r="C1579" s="1994">
        <f>SUM(C1580:C1581)</f>
        <v>714000</v>
      </c>
      <c r="D1579" s="2011">
        <f>SUM(D1580:D1581)</f>
        <v>357000</v>
      </c>
      <c r="E1579" s="1994">
        <f>SUM(E1580:E1581)</f>
        <v>714000</v>
      </c>
    </row>
    <row r="1580" spans="1:5" x14ac:dyDescent="0.2">
      <c r="A1580" s="1861">
        <v>22020101</v>
      </c>
      <c r="B1580" s="151" t="s">
        <v>9</v>
      </c>
      <c r="C1580" s="152"/>
      <c r="D1580" s="2099">
        <v>178500</v>
      </c>
      <c r="E1580" s="152">
        <v>400000</v>
      </c>
    </row>
    <row r="1581" spans="1:5" ht="21" thickBot="1" x14ac:dyDescent="0.25">
      <c r="A1581" s="1861">
        <v>22020102</v>
      </c>
      <c r="B1581" s="151" t="s">
        <v>10</v>
      </c>
      <c r="C1581" s="152">
        <v>714000</v>
      </c>
      <c r="D1581" s="2099">
        <v>178500</v>
      </c>
      <c r="E1581" s="152">
        <v>314000</v>
      </c>
    </row>
    <row r="1582" spans="1:5" ht="21" thickBot="1" x14ac:dyDescent="0.25">
      <c r="A1582" s="1993">
        <v>22020300</v>
      </c>
      <c r="B1582" s="2010" t="s">
        <v>66</v>
      </c>
      <c r="C1582" s="1994">
        <f>SUM(C1583:C1583)</f>
        <v>328440</v>
      </c>
      <c r="D1582" s="2011">
        <f>SUM(D1583:D1583)</f>
        <v>164220</v>
      </c>
      <c r="E1582" s="1994">
        <f>SUM(E1583:E1583)</f>
        <v>328440</v>
      </c>
    </row>
    <row r="1583" spans="1:5" ht="21" thickBot="1" x14ac:dyDescent="0.25">
      <c r="A1583" s="1861">
        <v>22020301</v>
      </c>
      <c r="B1583" s="151" t="s">
        <v>17</v>
      </c>
      <c r="C1583" s="152">
        <v>328440</v>
      </c>
      <c r="D1583" s="2099">
        <v>164220</v>
      </c>
      <c r="E1583" s="152">
        <v>328440</v>
      </c>
    </row>
    <row r="1584" spans="1:5" ht="21" thickBot="1" x14ac:dyDescent="0.25">
      <c r="A1584" s="1993">
        <v>22020400</v>
      </c>
      <c r="B1584" s="2010" t="s">
        <v>67</v>
      </c>
      <c r="C1584" s="1994">
        <f>SUM(C1585:C1587)</f>
        <v>2379024</v>
      </c>
      <c r="D1584" s="2011">
        <f>SUM(D1585:D1587)</f>
        <v>1389513</v>
      </c>
      <c r="E1584" s="1994">
        <f>SUM(E1585:E1587)</f>
        <v>2379024</v>
      </c>
    </row>
    <row r="1585" spans="1:5" x14ac:dyDescent="0.2">
      <c r="A1585" s="1861">
        <v>22020401</v>
      </c>
      <c r="B1585" s="2024" t="s">
        <v>79</v>
      </c>
      <c r="C1585" s="152">
        <v>714000</v>
      </c>
      <c r="D1585" s="2099">
        <v>357000</v>
      </c>
      <c r="E1585" s="152">
        <v>714000</v>
      </c>
    </row>
    <row r="1586" spans="1:5" x14ac:dyDescent="0.2">
      <c r="A1586" s="1861">
        <v>22020402</v>
      </c>
      <c r="B1586" s="151" t="s">
        <v>2490</v>
      </c>
      <c r="C1586" s="152">
        <v>465024</v>
      </c>
      <c r="D1586" s="2099">
        <v>232513</v>
      </c>
      <c r="E1586" s="152">
        <v>465024</v>
      </c>
    </row>
    <row r="1587" spans="1:5" ht="21" thickBot="1" x14ac:dyDescent="0.25">
      <c r="A1587" s="1861">
        <v>22020406</v>
      </c>
      <c r="B1587" s="151" t="s">
        <v>29</v>
      </c>
      <c r="C1587" s="1892">
        <v>1200000</v>
      </c>
      <c r="D1587" s="2100">
        <v>800000</v>
      </c>
      <c r="E1587" s="1892">
        <v>1200000</v>
      </c>
    </row>
    <row r="1588" spans="1:5" ht="21" thickBot="1" x14ac:dyDescent="0.25">
      <c r="A1588" s="1993">
        <v>22020500</v>
      </c>
      <c r="B1588" s="2010" t="s">
        <v>68</v>
      </c>
      <c r="C1588" s="2106">
        <f>SUM(C1589:C1589)</f>
        <v>711000</v>
      </c>
      <c r="D1588" s="2011">
        <f>SUM(D1589:D1589)</f>
        <v>0</v>
      </c>
      <c r="E1588" s="1994">
        <f>SUM(E1589:E1589)</f>
        <v>711000</v>
      </c>
    </row>
    <row r="1589" spans="1:5" ht="21" thickBot="1" x14ac:dyDescent="0.25">
      <c r="A1589" s="1861">
        <v>22020501</v>
      </c>
      <c r="B1589" s="151" t="s">
        <v>30</v>
      </c>
      <c r="C1589" s="3151">
        <f>357000+354000</f>
        <v>711000</v>
      </c>
      <c r="D1589" s="152"/>
      <c r="E1589" s="2000">
        <f>357000+354000</f>
        <v>711000</v>
      </c>
    </row>
    <row r="1590" spans="1:5" ht="21" thickBot="1" x14ac:dyDescent="0.25">
      <c r="A1590" s="1993">
        <v>22021000</v>
      </c>
      <c r="B1590" s="2010" t="s">
        <v>73</v>
      </c>
      <c r="C1590" s="2106">
        <f>SUM(C1591:C1594)</f>
        <v>9401560</v>
      </c>
      <c r="D1590" s="1994">
        <f>SUM(D1591:D1594)</f>
        <v>4522258</v>
      </c>
      <c r="E1590" s="1994">
        <f>SUM(E1591:E1594)</f>
        <v>9401560</v>
      </c>
    </row>
    <row r="1591" spans="1:5" x14ac:dyDescent="0.2">
      <c r="A1591" s="1861">
        <v>22021001</v>
      </c>
      <c r="B1591" s="151" t="s">
        <v>41</v>
      </c>
      <c r="C1591" s="2075">
        <v>321440</v>
      </c>
      <c r="D1591" s="2099">
        <v>160690</v>
      </c>
      <c r="E1591" s="152">
        <v>321440</v>
      </c>
    </row>
    <row r="1592" spans="1:5" x14ac:dyDescent="0.2">
      <c r="A1592" s="1861">
        <v>22021021</v>
      </c>
      <c r="B1592" s="151" t="s">
        <v>126</v>
      </c>
      <c r="C1592" s="2075">
        <v>357000</v>
      </c>
      <c r="D1592" s="152"/>
      <c r="E1592" s="152">
        <v>357000</v>
      </c>
    </row>
    <row r="1593" spans="1:5" x14ac:dyDescent="0.2">
      <c r="A1593" s="1861">
        <v>22021015</v>
      </c>
      <c r="B1593" s="151" t="s">
        <v>1220</v>
      </c>
      <c r="C1593" s="2076">
        <v>7000000</v>
      </c>
      <c r="D1593" s="2100">
        <v>380949</v>
      </c>
      <c r="E1593" s="1892">
        <v>7000000</v>
      </c>
    </row>
    <row r="1594" spans="1:5" x14ac:dyDescent="0.2">
      <c r="A1594" s="1861">
        <v>22021016</v>
      </c>
      <c r="B1594" s="151" t="s">
        <v>1221</v>
      </c>
      <c r="C1594" s="2075">
        <v>1723120</v>
      </c>
      <c r="D1594" s="2099">
        <v>3980619</v>
      </c>
      <c r="E1594" s="152">
        <v>1723120</v>
      </c>
    </row>
    <row r="1595" spans="1:5" ht="21" thickBot="1" x14ac:dyDescent="0.25">
      <c r="A1595" s="1861"/>
      <c r="B1595" s="151"/>
      <c r="C1595" s="2076"/>
      <c r="D1595" s="1892"/>
      <c r="E1595" s="1892"/>
    </row>
    <row r="1596" spans="1:5" ht="21" thickBot="1" x14ac:dyDescent="0.25">
      <c r="A1596" s="2177"/>
      <c r="B1596" s="2105" t="s">
        <v>1360</v>
      </c>
      <c r="C1596" s="2062">
        <f>SUM(C1579,C1582,C1584,C1588,C1590)</f>
        <v>13534024</v>
      </c>
      <c r="D1596" s="2018">
        <f>SUM(D1579,D1582,D1584,D1588,D1590)</f>
        <v>6432991</v>
      </c>
      <c r="E1596" s="2018">
        <f>SUM(E1579,E1582,E1584,E1588,E1590)</f>
        <v>13534024</v>
      </c>
    </row>
    <row r="1597" spans="1:5" x14ac:dyDescent="0.2">
      <c r="A1597" s="2043"/>
      <c r="B1597" s="2044"/>
      <c r="C1597" s="2045"/>
      <c r="D1597" s="2045"/>
      <c r="E1597" s="2045"/>
    </row>
    <row r="1598" spans="1:5" x14ac:dyDescent="0.2">
      <c r="A1598" s="3477" t="s">
        <v>1856</v>
      </c>
      <c r="B1598" s="3477"/>
      <c r="C1598" s="3477"/>
      <c r="D1598" s="3477"/>
      <c r="E1598" s="3477"/>
    </row>
    <row r="1599" spans="1:5" x14ac:dyDescent="0.2">
      <c r="A1599" s="3477" t="s">
        <v>1050</v>
      </c>
      <c r="B1599" s="3477"/>
      <c r="C1599" s="3477"/>
      <c r="D1599" s="3477"/>
      <c r="E1599" s="3477"/>
    </row>
    <row r="1600" spans="1:5" ht="21" thickBot="1" x14ac:dyDescent="0.25">
      <c r="A1600" s="3476" t="s">
        <v>1226</v>
      </c>
      <c r="B1600" s="3476"/>
      <c r="C1600" s="3476"/>
      <c r="D1600" s="3476"/>
      <c r="E1600" s="3476"/>
    </row>
    <row r="1601" spans="1:5" ht="81.75" thickBot="1" x14ac:dyDescent="0.35">
      <c r="A1601" s="2004" t="s">
        <v>1014</v>
      </c>
      <c r="B1601" s="2004" t="s">
        <v>282</v>
      </c>
      <c r="C1601" s="173" t="s">
        <v>1174</v>
      </c>
      <c r="D1601" s="173" t="s">
        <v>1145</v>
      </c>
      <c r="E1601" s="173" t="s">
        <v>3096</v>
      </c>
    </row>
    <row r="1602" spans="1:5" ht="21" thickBot="1" x14ac:dyDescent="0.25">
      <c r="A1602" s="1993">
        <v>22020100</v>
      </c>
      <c r="B1602" s="2010" t="s">
        <v>64</v>
      </c>
      <c r="C1602" s="1994">
        <f>SUM(C1603)</f>
        <v>700000</v>
      </c>
      <c r="D1602" s="1994">
        <f>SUM(D1603)</f>
        <v>583329</v>
      </c>
      <c r="E1602" s="1994">
        <f>SUM(E1603)</f>
        <v>1000000</v>
      </c>
    </row>
    <row r="1603" spans="1:5" s="2112" customFormat="1" ht="21" thickBot="1" x14ac:dyDescent="0.25">
      <c r="A1603" s="1861">
        <v>22020102</v>
      </c>
      <c r="B1603" s="151" t="s">
        <v>10</v>
      </c>
      <c r="C1603" s="152">
        <v>700000</v>
      </c>
      <c r="D1603" s="152">
        <v>583329</v>
      </c>
      <c r="E1603" s="152">
        <v>1000000</v>
      </c>
    </row>
    <row r="1604" spans="1:5" s="2112" customFormat="1" ht="21" thickBot="1" x14ac:dyDescent="0.25">
      <c r="A1604" s="1993">
        <v>22020300</v>
      </c>
      <c r="B1604" s="2010" t="s">
        <v>66</v>
      </c>
      <c r="C1604" s="1994">
        <f>SUM(C1605:C1606)</f>
        <v>12245000</v>
      </c>
      <c r="D1604" s="1994">
        <f>SUM(D1605:D1606)</f>
        <v>8714670</v>
      </c>
      <c r="E1604" s="1994">
        <f>SUM(E1605:E1606)</f>
        <v>15350000</v>
      </c>
    </row>
    <row r="1605" spans="1:5" s="2112" customFormat="1" x14ac:dyDescent="0.2">
      <c r="A1605" s="1861">
        <v>22020301</v>
      </c>
      <c r="B1605" s="151" t="s">
        <v>17</v>
      </c>
      <c r="C1605" s="152">
        <v>245000</v>
      </c>
      <c r="D1605" s="152">
        <v>216671</v>
      </c>
      <c r="E1605" s="152">
        <v>350000</v>
      </c>
    </row>
    <row r="1606" spans="1:5" s="2112" customFormat="1" ht="21" thickBot="1" x14ac:dyDescent="0.25">
      <c r="A1606" s="1861">
        <v>22020311</v>
      </c>
      <c r="B1606" s="151" t="s">
        <v>25</v>
      </c>
      <c r="C1606" s="1892">
        <v>12000000</v>
      </c>
      <c r="D1606" s="1892">
        <v>8497999</v>
      </c>
      <c r="E1606" s="1892">
        <v>15000000</v>
      </c>
    </row>
    <row r="1607" spans="1:5" s="2112" customFormat="1" ht="21" thickBot="1" x14ac:dyDescent="0.25">
      <c r="A1607" s="1993">
        <v>22020400</v>
      </c>
      <c r="B1607" s="2010" t="s">
        <v>67</v>
      </c>
      <c r="C1607" s="1994">
        <f>SUM(C1608:C1610)</f>
        <v>2652500</v>
      </c>
      <c r="D1607" s="1994">
        <f>SUM(D1608:D1610)</f>
        <v>1922913</v>
      </c>
      <c r="E1607" s="1994">
        <f>SUM(E1608:E1610)</f>
        <v>3700000</v>
      </c>
    </row>
    <row r="1608" spans="1:5" s="2112" customFormat="1" x14ac:dyDescent="0.2">
      <c r="A1608" s="1861">
        <v>22020401</v>
      </c>
      <c r="B1608" s="2024" t="s">
        <v>79</v>
      </c>
      <c r="C1608" s="152">
        <v>350000</v>
      </c>
      <c r="D1608" s="152">
        <v>204163</v>
      </c>
      <c r="E1608" s="152">
        <v>500000</v>
      </c>
    </row>
    <row r="1609" spans="1:5" s="2112" customFormat="1" x14ac:dyDescent="0.2">
      <c r="A1609" s="1861">
        <v>22020402</v>
      </c>
      <c r="B1609" s="153" t="s">
        <v>1189</v>
      </c>
      <c r="C1609" s="152">
        <v>1102500</v>
      </c>
      <c r="D1609" s="152">
        <v>918750</v>
      </c>
      <c r="E1609" s="152">
        <v>2000000</v>
      </c>
    </row>
    <row r="1610" spans="1:5" s="2112" customFormat="1" x14ac:dyDescent="0.2">
      <c r="A1610" s="1861">
        <v>22020406</v>
      </c>
      <c r="B1610" s="153" t="s">
        <v>29</v>
      </c>
      <c r="C1610" s="1892">
        <v>1200000</v>
      </c>
      <c r="D1610" s="1892">
        <v>800000</v>
      </c>
      <c r="E1610" s="1892">
        <v>1200000</v>
      </c>
    </row>
    <row r="1611" spans="1:5" s="2112" customFormat="1" ht="21" thickBot="1" x14ac:dyDescent="0.25">
      <c r="A1611" s="1861">
        <v>22021000</v>
      </c>
      <c r="B1611" s="2010" t="s">
        <v>73</v>
      </c>
      <c r="C1611" s="2072">
        <f>SUM(C1612:C1617)</f>
        <v>16435000</v>
      </c>
      <c r="D1611" s="2038">
        <f>SUM(D1612:D1617)</f>
        <v>11846632</v>
      </c>
      <c r="E1611" s="2038">
        <f>SUM(E1612:E1617)</f>
        <v>22410000</v>
      </c>
    </row>
    <row r="1612" spans="1:5" s="2112" customFormat="1" x14ac:dyDescent="0.2">
      <c r="A1612" s="1861">
        <v>22021001</v>
      </c>
      <c r="B1612" s="151" t="s">
        <v>41</v>
      </c>
      <c r="C1612" s="152">
        <v>350000</v>
      </c>
      <c r="D1612" s="152">
        <v>291662</v>
      </c>
      <c r="E1612" s="152">
        <v>410000</v>
      </c>
    </row>
    <row r="1613" spans="1:5" s="2112" customFormat="1" x14ac:dyDescent="0.2">
      <c r="A1613" s="1861">
        <v>22021002</v>
      </c>
      <c r="B1613" s="153" t="s">
        <v>1203</v>
      </c>
      <c r="C1613" s="1892">
        <v>2785000</v>
      </c>
      <c r="D1613" s="1892">
        <v>1808300</v>
      </c>
      <c r="E1613" s="1892">
        <v>2000000</v>
      </c>
    </row>
    <row r="1614" spans="1:5" s="2112" customFormat="1" x14ac:dyDescent="0.2">
      <c r="A1614" s="1861">
        <v>22021007</v>
      </c>
      <c r="B1614" s="151" t="s">
        <v>1227</v>
      </c>
      <c r="C1614" s="152">
        <v>7000000</v>
      </c>
      <c r="D1614" s="152">
        <v>6555000</v>
      </c>
      <c r="E1614" s="152">
        <v>7000000</v>
      </c>
    </row>
    <row r="1615" spans="1:5" s="2112" customFormat="1" ht="39.75" customHeight="1" x14ac:dyDescent="0.2">
      <c r="A1615" s="1861">
        <v>22021021</v>
      </c>
      <c r="B1615" s="151" t="s">
        <v>2491</v>
      </c>
      <c r="C1615" s="3151">
        <f>4200000+350000</f>
        <v>4550000</v>
      </c>
      <c r="D1615" s="152">
        <v>3000000</v>
      </c>
      <c r="E1615" s="2000">
        <v>7500000</v>
      </c>
    </row>
    <row r="1616" spans="1:5" s="2112" customFormat="1" x14ac:dyDescent="0.2">
      <c r="A1616" s="1861">
        <v>22021009</v>
      </c>
      <c r="B1616" s="151" t="s">
        <v>2492</v>
      </c>
      <c r="C1616" s="2075">
        <v>350000</v>
      </c>
      <c r="D1616" s="152">
        <v>191670</v>
      </c>
      <c r="E1616" s="152">
        <v>500000</v>
      </c>
    </row>
    <row r="1617" spans="1:5" s="2112" customFormat="1" ht="21" thickBot="1" x14ac:dyDescent="0.25">
      <c r="A1617" s="1861">
        <v>22021041</v>
      </c>
      <c r="B1617" s="151" t="s">
        <v>2493</v>
      </c>
      <c r="C1617" s="2075">
        <v>1400000</v>
      </c>
      <c r="D1617" s="152">
        <v>0</v>
      </c>
      <c r="E1617" s="152">
        <v>5000000</v>
      </c>
    </row>
    <row r="1618" spans="1:5" ht="21" thickBot="1" x14ac:dyDescent="0.25">
      <c r="A1618" s="1861"/>
      <c r="B1618" s="2010"/>
      <c r="C1618" s="2062"/>
      <c r="D1618" s="2018"/>
      <c r="E1618" s="2018"/>
    </row>
    <row r="1619" spans="1:5" ht="21" thickBot="1" x14ac:dyDescent="0.25">
      <c r="A1619" s="2177"/>
      <c r="B1619" s="2105" t="s">
        <v>1362</v>
      </c>
      <c r="C1619" s="2062">
        <f>SUM(C1602,C1604,C1607,C1611)</f>
        <v>32032500</v>
      </c>
      <c r="D1619" s="2018">
        <f>SUM(D1602,D1604,D1607,D1611)</f>
        <v>23067544</v>
      </c>
      <c r="E1619" s="2018">
        <f>SUM(E1602,E1604,E1607,E1611)</f>
        <v>42460000</v>
      </c>
    </row>
    <row r="1620" spans="1:5" x14ac:dyDescent="0.2">
      <c r="A1620" s="2043"/>
      <c r="B1620" s="2044"/>
      <c r="C1620" s="2045"/>
      <c r="D1620" s="2045"/>
      <c r="E1620" s="2045"/>
    </row>
    <row r="1621" spans="1:5" x14ac:dyDescent="0.2">
      <c r="A1621" s="3477"/>
      <c r="B1621" s="3477"/>
      <c r="C1621" s="3477"/>
      <c r="D1621" s="3477"/>
      <c r="E1621" s="3477"/>
    </row>
    <row r="1622" spans="1:5" x14ac:dyDescent="0.2">
      <c r="A1622" s="3477" t="s">
        <v>1856</v>
      </c>
      <c r="B1622" s="3477"/>
      <c r="C1622" s="3477"/>
      <c r="D1622" s="3477"/>
      <c r="E1622" s="3477"/>
    </row>
    <row r="1623" spans="1:5" x14ac:dyDescent="0.2">
      <c r="A1623" s="3477" t="s">
        <v>81</v>
      </c>
      <c r="B1623" s="3477"/>
      <c r="C1623" s="3477"/>
      <c r="D1623" s="3477"/>
      <c r="E1623" s="3477"/>
    </row>
    <row r="1624" spans="1:5" ht="21" thickBot="1" x14ac:dyDescent="0.25">
      <c r="A1624" s="3476" t="s">
        <v>1315</v>
      </c>
      <c r="B1624" s="3476"/>
      <c r="C1624" s="3476"/>
      <c r="D1624" s="3476"/>
      <c r="E1624" s="3476"/>
    </row>
    <row r="1625" spans="1:5" ht="81.75" thickBot="1" x14ac:dyDescent="0.35">
      <c r="A1625" s="2004" t="s">
        <v>1014</v>
      </c>
      <c r="B1625" s="2004" t="s">
        <v>282</v>
      </c>
      <c r="C1625" s="173" t="s">
        <v>1174</v>
      </c>
      <c r="D1625" s="173" t="s">
        <v>1145</v>
      </c>
      <c r="E1625" s="173" t="s">
        <v>3096</v>
      </c>
    </row>
    <row r="1626" spans="1:5" ht="21" thickBot="1" x14ac:dyDescent="0.25">
      <c r="A1626" s="2019"/>
      <c r="B1626" s="2020"/>
      <c r="C1626" s="2021"/>
      <c r="D1626" s="2022"/>
      <c r="E1626" s="2023"/>
    </row>
    <row r="1627" spans="1:5" ht="21" thickBot="1" x14ac:dyDescent="0.25">
      <c r="A1627" s="1993">
        <v>22020100</v>
      </c>
      <c r="B1627" s="2010" t="s">
        <v>64</v>
      </c>
      <c r="C1627" s="1994">
        <f>SUM(C1628:C1629)</f>
        <v>5285000</v>
      </c>
      <c r="D1627" s="2011">
        <f>SUM(D1628:D1629)</f>
        <v>1554000</v>
      </c>
      <c r="E1627" s="1994">
        <f>SUM(E1628:E1629)</f>
        <v>5285000</v>
      </c>
    </row>
    <row r="1628" spans="1:5" x14ac:dyDescent="0.2">
      <c r="A1628" s="1861">
        <v>22020101</v>
      </c>
      <c r="B1628" s="151" t="s">
        <v>3313</v>
      </c>
      <c r="C1628" s="1892">
        <v>3500000</v>
      </c>
      <c r="D1628" s="1892">
        <v>840000</v>
      </c>
      <c r="E1628" s="1892">
        <v>3500000</v>
      </c>
    </row>
    <row r="1629" spans="1:5" ht="21" thickBot="1" x14ac:dyDescent="0.25">
      <c r="A1629" s="1861">
        <v>22020102</v>
      </c>
      <c r="B1629" s="151" t="s">
        <v>10</v>
      </c>
      <c r="C1629" s="152">
        <v>1785000</v>
      </c>
      <c r="D1629" s="152">
        <v>714000</v>
      </c>
      <c r="E1629" s="152">
        <v>1785000</v>
      </c>
    </row>
    <row r="1630" spans="1:5" ht="21" thickBot="1" x14ac:dyDescent="0.25">
      <c r="A1630" s="1993">
        <v>22020300</v>
      </c>
      <c r="B1630" s="2010" t="s">
        <v>66</v>
      </c>
      <c r="C1630" s="1994">
        <f>SUM(C1631:C1632)</f>
        <v>3585400</v>
      </c>
      <c r="D1630" s="2011">
        <f>SUM(D1631:D1632)</f>
        <v>314160</v>
      </c>
      <c r="E1630" s="1994">
        <f>SUM(E1631:E1632)</f>
        <v>3585400</v>
      </c>
    </row>
    <row r="1631" spans="1:5" x14ac:dyDescent="0.2">
      <c r="A1631" s="1861">
        <v>22020301</v>
      </c>
      <c r="B1631" s="153" t="s">
        <v>17</v>
      </c>
      <c r="C1631" s="152">
        <v>785400</v>
      </c>
      <c r="D1631" s="152">
        <v>314160</v>
      </c>
      <c r="E1631" s="152">
        <v>785400</v>
      </c>
    </row>
    <row r="1632" spans="1:5" ht="21" thickBot="1" x14ac:dyDescent="0.25">
      <c r="A1632" s="1861">
        <v>22020310</v>
      </c>
      <c r="B1632" s="153" t="s">
        <v>1223</v>
      </c>
      <c r="C1632" s="1892">
        <v>2800000</v>
      </c>
      <c r="D1632" s="1892"/>
      <c r="E1632" s="1892">
        <v>2800000</v>
      </c>
    </row>
    <row r="1633" spans="1:5" ht="21" thickBot="1" x14ac:dyDescent="0.25">
      <c r="A1633" s="1993">
        <v>22020400</v>
      </c>
      <c r="B1633" s="2010" t="s">
        <v>67</v>
      </c>
      <c r="C1633" s="2018">
        <f>SUM(C1634:C1636)</f>
        <v>11838708</v>
      </c>
      <c r="D1633" s="2018">
        <f t="shared" ref="D1633:E1633" si="15">SUM(D1634:D1636)</f>
        <v>13374032</v>
      </c>
      <c r="E1633" s="2018">
        <f t="shared" si="15"/>
        <v>11838708</v>
      </c>
    </row>
    <row r="1634" spans="1:5" x14ac:dyDescent="0.2">
      <c r="A1634" s="1861">
        <v>22020401</v>
      </c>
      <c r="B1634" s="2024" t="s">
        <v>79</v>
      </c>
      <c r="C1634" s="152">
        <v>1240575</v>
      </c>
      <c r="D1634" s="152">
        <v>496232</v>
      </c>
      <c r="E1634" s="152">
        <v>1240575</v>
      </c>
    </row>
    <row r="1635" spans="1:5" x14ac:dyDescent="0.2">
      <c r="A1635" s="1861">
        <v>22020406</v>
      </c>
      <c r="B1635" s="151" t="s">
        <v>704</v>
      </c>
      <c r="C1635" s="152">
        <v>1200000</v>
      </c>
      <c r="D1635" s="152">
        <v>600000</v>
      </c>
      <c r="E1635" s="152">
        <v>1200000</v>
      </c>
    </row>
    <row r="1636" spans="1:5" ht="21" thickBot="1" x14ac:dyDescent="0.25">
      <c r="A1636" s="1861">
        <v>22020410</v>
      </c>
      <c r="B1636" s="178" t="s">
        <v>222</v>
      </c>
      <c r="C1636" s="1892">
        <v>9398133</v>
      </c>
      <c r="D1636" s="1892">
        <v>12277800</v>
      </c>
      <c r="E1636" s="1892">
        <v>9398133</v>
      </c>
    </row>
    <row r="1637" spans="1:5" s="2112" customFormat="1" ht="21" thickBot="1" x14ac:dyDescent="0.25">
      <c r="A1637" s="1861">
        <v>22021000</v>
      </c>
      <c r="B1637" s="2010" t="s">
        <v>73</v>
      </c>
      <c r="C1637" s="1994">
        <f>SUM(C1638:C1639)</f>
        <v>16100000</v>
      </c>
      <c r="D1637" s="2011">
        <f>SUM(D1638:D1639)</f>
        <v>6440000</v>
      </c>
      <c r="E1637" s="2018">
        <f>SUM(E1638:E1639)</f>
        <v>16100000</v>
      </c>
    </row>
    <row r="1638" spans="1:5" x14ac:dyDescent="0.2">
      <c r="A1638" s="1861">
        <v>22021015</v>
      </c>
      <c r="B1638" s="178" t="s">
        <v>3324</v>
      </c>
      <c r="C1638" s="2075">
        <v>10500000</v>
      </c>
      <c r="D1638" s="152">
        <v>4200000</v>
      </c>
      <c r="E1638" s="152">
        <v>10500000</v>
      </c>
    </row>
    <row r="1639" spans="1:5" x14ac:dyDescent="0.2">
      <c r="A1639" s="1861">
        <v>22021016</v>
      </c>
      <c r="B1639" s="178" t="s">
        <v>722</v>
      </c>
      <c r="C1639" s="2075">
        <v>5600000</v>
      </c>
      <c r="D1639" s="152">
        <v>2240000</v>
      </c>
      <c r="E1639" s="152">
        <v>5600000</v>
      </c>
    </row>
    <row r="1640" spans="1:5" ht="21" thickBot="1" x14ac:dyDescent="0.25">
      <c r="A1640" s="1861"/>
      <c r="B1640" s="151"/>
      <c r="C1640" s="2008"/>
      <c r="D1640" s="2015"/>
      <c r="E1640" s="2007"/>
    </row>
    <row r="1641" spans="1:5" s="2410" customFormat="1" ht="23.25" customHeight="1" thickBot="1" x14ac:dyDescent="0.25">
      <c r="A1641" s="2177"/>
      <c r="B1641" s="2105" t="s">
        <v>1580</v>
      </c>
      <c r="C1641" s="2062">
        <f>SUM(C1627,C1630,C1633,C1637)</f>
        <v>36809108</v>
      </c>
      <c r="D1641" s="2018">
        <f>SUM(D1627,D1630,D1633,D1637)</f>
        <v>21682192</v>
      </c>
      <c r="E1641" s="2018">
        <f>SUM(E1627,E1630,E1633,E1637)</f>
        <v>36809108</v>
      </c>
    </row>
    <row r="1642" spans="1:5" x14ac:dyDescent="0.2">
      <c r="A1642" s="2043"/>
      <c r="B1642" s="2044"/>
      <c r="C1642" s="2045"/>
      <c r="D1642" s="2045"/>
      <c r="E1642" s="2045"/>
    </row>
    <row r="1643" spans="1:5" s="2048" customFormat="1" ht="18.75" x14ac:dyDescent="0.2">
      <c r="A1643" s="3492" t="s">
        <v>1856</v>
      </c>
      <c r="B1643" s="3492"/>
      <c r="C1643" s="3492"/>
      <c r="D1643" s="3492"/>
      <c r="E1643" s="3492"/>
    </row>
    <row r="1644" spans="1:5" s="2048" customFormat="1" ht="18.75" x14ac:dyDescent="0.2">
      <c r="A1644" s="3492" t="s">
        <v>1050</v>
      </c>
      <c r="B1644" s="3492"/>
      <c r="C1644" s="3492"/>
      <c r="D1644" s="3492"/>
      <c r="E1644" s="3492"/>
    </row>
    <row r="1645" spans="1:5" s="2048" customFormat="1" ht="19.5" thickBot="1" x14ac:dyDescent="0.25">
      <c r="A1645" s="3499" t="s">
        <v>143</v>
      </c>
      <c r="B1645" s="3499"/>
      <c r="C1645" s="3499"/>
      <c r="D1645" s="3499"/>
      <c r="E1645" s="3499"/>
    </row>
    <row r="1646" spans="1:5" s="2048" customFormat="1" ht="39" customHeight="1" thickBot="1" x14ac:dyDescent="0.35">
      <c r="A1646" s="2290" t="s">
        <v>1014</v>
      </c>
      <c r="B1646" s="2290" t="s">
        <v>282</v>
      </c>
      <c r="C1646" s="2291" t="s">
        <v>1174</v>
      </c>
      <c r="D1646" s="2291" t="s">
        <v>1145</v>
      </c>
      <c r="E1646" s="2291" t="s">
        <v>3096</v>
      </c>
    </row>
    <row r="1647" spans="1:5" s="2235" customFormat="1" ht="18" thickBot="1" x14ac:dyDescent="0.25">
      <c r="A1647" s="2238">
        <v>22020100</v>
      </c>
      <c r="B1647" s="2239" t="s">
        <v>64</v>
      </c>
      <c r="C1647" s="2251">
        <f>SUM(C1648:C1650)</f>
        <v>7840000</v>
      </c>
      <c r="D1647" s="2251">
        <f>SUM(D1648:D1650)</f>
        <v>3354000</v>
      </c>
      <c r="E1647" s="2246">
        <f>SUM(E1648:E1650)</f>
        <v>7840000</v>
      </c>
    </row>
    <row r="1648" spans="1:5" s="2235" customFormat="1" ht="17.25" x14ac:dyDescent="0.2">
      <c r="A1648" s="2241">
        <v>22020101</v>
      </c>
      <c r="B1648" s="2242" t="s">
        <v>9</v>
      </c>
      <c r="C1648" s="2250">
        <v>3860000</v>
      </c>
      <c r="D1648" s="2250">
        <v>600000</v>
      </c>
      <c r="E1648" s="2250">
        <v>3860000</v>
      </c>
    </row>
    <row r="1649" spans="1:5" s="2235" customFormat="1" ht="17.25" x14ac:dyDescent="0.2">
      <c r="A1649" s="2241">
        <v>22020102</v>
      </c>
      <c r="B1649" s="2242" t="s">
        <v>10</v>
      </c>
      <c r="C1649" s="2250">
        <v>3000000</v>
      </c>
      <c r="D1649" s="2250">
        <v>2646000</v>
      </c>
      <c r="E1649" s="2250">
        <v>3000000</v>
      </c>
    </row>
    <row r="1650" spans="1:5" s="2235" customFormat="1" ht="18" thickBot="1" x14ac:dyDescent="0.25">
      <c r="A1650" s="2241">
        <v>22020103</v>
      </c>
      <c r="B1650" s="2293" t="s">
        <v>223</v>
      </c>
      <c r="C1650" s="2252">
        <f>280000+700000</f>
        <v>980000</v>
      </c>
      <c r="D1650" s="2250">
        <v>108000</v>
      </c>
      <c r="E1650" s="2252">
        <f>280000+700000</f>
        <v>980000</v>
      </c>
    </row>
    <row r="1651" spans="1:5" s="2235" customFormat="1" ht="18" thickBot="1" x14ac:dyDescent="0.25">
      <c r="A1651" s="2247">
        <v>22020300</v>
      </c>
      <c r="B1651" s="2248" t="s">
        <v>66</v>
      </c>
      <c r="C1651" s="2251">
        <f>SUM(C1652:C1657)</f>
        <v>393400000</v>
      </c>
      <c r="D1651" s="2251">
        <f>SUM(D1652:D1657)</f>
        <v>102374075</v>
      </c>
      <c r="E1651" s="2251">
        <f>SUM(E1652:E1657)</f>
        <v>393400000</v>
      </c>
    </row>
    <row r="1652" spans="1:5" s="2235" customFormat="1" ht="17.25" x14ac:dyDescent="0.2">
      <c r="A1652" s="2241">
        <v>22020301</v>
      </c>
      <c r="B1652" s="2242" t="s">
        <v>17</v>
      </c>
      <c r="C1652" s="2250">
        <v>5250000</v>
      </c>
      <c r="D1652" s="2250">
        <v>2025000</v>
      </c>
      <c r="E1652" s="2250">
        <v>5250000</v>
      </c>
    </row>
    <row r="1653" spans="1:5" s="2235" customFormat="1" ht="17.25" x14ac:dyDescent="0.2">
      <c r="A1653" s="2241">
        <v>22020302</v>
      </c>
      <c r="B1653" s="2242" t="s">
        <v>18</v>
      </c>
      <c r="C1653" s="3336">
        <f>350000+2800000</f>
        <v>3150000</v>
      </c>
      <c r="D1653" s="2250">
        <v>1911775</v>
      </c>
      <c r="E1653" s="3336">
        <f>350000+2800000</f>
        <v>3150000</v>
      </c>
    </row>
    <row r="1654" spans="1:5" s="2235" customFormat="1" ht="17.25" x14ac:dyDescent="0.2">
      <c r="A1654" s="2241">
        <v>22020307</v>
      </c>
      <c r="B1654" s="2242" t="s">
        <v>725</v>
      </c>
      <c r="C1654" s="2252">
        <f>1400000</f>
        <v>1400000</v>
      </c>
      <c r="D1654" s="2250">
        <v>540000</v>
      </c>
      <c r="E1654" s="2252">
        <f>1400000</f>
        <v>1400000</v>
      </c>
    </row>
    <row r="1655" spans="1:5" s="2235" customFormat="1" ht="17.25" x14ac:dyDescent="0.2">
      <c r="A1655" s="2241">
        <v>22020310</v>
      </c>
      <c r="B1655" s="2242" t="s">
        <v>24</v>
      </c>
      <c r="C1655" s="2252">
        <f>700000+3500000+2800000+700000+1400000</f>
        <v>9100000</v>
      </c>
      <c r="D1655" s="2250">
        <v>1350000</v>
      </c>
      <c r="E1655" s="2252">
        <f>700000+3500000+2800000+700000+1400000</f>
        <v>9100000</v>
      </c>
    </row>
    <row r="1656" spans="1:5" s="2235" customFormat="1" ht="17.25" x14ac:dyDescent="0.2">
      <c r="A1656" s="2241">
        <v>22020311</v>
      </c>
      <c r="B1656" s="2242" t="s">
        <v>25</v>
      </c>
      <c r="C1656" s="2252">
        <f>364000000+7000000</f>
        <v>371000000</v>
      </c>
      <c r="D1656" s="2250">
        <v>96547300</v>
      </c>
      <c r="E1656" s="2252">
        <f>364000000+7000000</f>
        <v>371000000</v>
      </c>
    </row>
    <row r="1657" spans="1:5" s="2235" customFormat="1" ht="18" thickBot="1" x14ac:dyDescent="0.25">
      <c r="A1657" s="2241">
        <v>22020309</v>
      </c>
      <c r="B1657" s="2242" t="s">
        <v>1230</v>
      </c>
      <c r="C1657" s="2243">
        <v>3500000</v>
      </c>
      <c r="D1657" s="2243"/>
      <c r="E1657" s="2243">
        <v>3500000</v>
      </c>
    </row>
    <row r="1658" spans="1:5" s="2235" customFormat="1" ht="18" thickBot="1" x14ac:dyDescent="0.25">
      <c r="A1658" s="2247">
        <v>22020400</v>
      </c>
      <c r="B1658" s="2248" t="s">
        <v>67</v>
      </c>
      <c r="C1658" s="2251">
        <f>SUM(C1659:C1661)</f>
        <v>17640000</v>
      </c>
      <c r="D1658" s="2251">
        <f>SUM(D1659:D1661)</f>
        <v>6750000</v>
      </c>
      <c r="E1658" s="2251">
        <f>SUM(E1659:E1661)</f>
        <v>17640000</v>
      </c>
    </row>
    <row r="1659" spans="1:5" s="2235" customFormat="1" ht="17.25" x14ac:dyDescent="0.2">
      <c r="A1659" s="2241">
        <v>22020401</v>
      </c>
      <c r="B1659" s="2254" t="s">
        <v>79</v>
      </c>
      <c r="C1659" s="3168">
        <v>9440000</v>
      </c>
      <c r="D1659" s="2250">
        <v>3780000</v>
      </c>
      <c r="E1659" s="2250">
        <v>9440000</v>
      </c>
    </row>
    <row r="1660" spans="1:5" s="2235" customFormat="1" ht="17.25" x14ac:dyDescent="0.2">
      <c r="A1660" s="2241">
        <v>22020402</v>
      </c>
      <c r="B1660" s="2242" t="s">
        <v>1232</v>
      </c>
      <c r="C1660" s="3168">
        <v>7000000</v>
      </c>
      <c r="D1660" s="2250">
        <v>2700000</v>
      </c>
      <c r="E1660" s="2250">
        <v>7000000</v>
      </c>
    </row>
    <row r="1661" spans="1:5" s="3337" customFormat="1" ht="17.25" x14ac:dyDescent="0.2">
      <c r="A1661" s="2241">
        <v>22020406</v>
      </c>
      <c r="B1661" s="2242" t="s">
        <v>29</v>
      </c>
      <c r="C1661" s="3168">
        <v>1200000</v>
      </c>
      <c r="D1661" s="2250">
        <v>270000</v>
      </c>
      <c r="E1661" s="2250">
        <v>1200000</v>
      </c>
    </row>
    <row r="1662" spans="1:5" s="2235" customFormat="1" ht="17.25" x14ac:dyDescent="0.2">
      <c r="A1662" s="2247">
        <v>22020500</v>
      </c>
      <c r="B1662" s="2248" t="s">
        <v>68</v>
      </c>
      <c r="C1662" s="3338">
        <f>SUM(C1663:C1663)</f>
        <v>91830155</v>
      </c>
      <c r="D1662" s="3339">
        <f>SUM(D1663:D1663)</f>
        <v>39728645</v>
      </c>
      <c r="E1662" s="3339">
        <f>SUM(E1663:E1663)</f>
        <v>91830155</v>
      </c>
    </row>
    <row r="1663" spans="1:5" s="2235" customFormat="1" ht="17.25" x14ac:dyDescent="0.2">
      <c r="A1663" s="2241">
        <v>22020501</v>
      </c>
      <c r="B1663" s="2242" t="s">
        <v>30</v>
      </c>
      <c r="C1663" s="3340">
        <f>88330155+1750000+1750000</f>
        <v>91830155</v>
      </c>
      <c r="D1663" s="2250">
        <v>39728645</v>
      </c>
      <c r="E1663" s="2252">
        <f>88330155+1750000+1750000</f>
        <v>91830155</v>
      </c>
    </row>
    <row r="1664" spans="1:5" s="2235" customFormat="1" ht="17.25" x14ac:dyDescent="0.2">
      <c r="A1664" s="2247">
        <v>22020700</v>
      </c>
      <c r="B1664" s="2248" t="s">
        <v>70</v>
      </c>
      <c r="C1664" s="3338">
        <f>SUM(C1665)</f>
        <v>1050000</v>
      </c>
      <c r="D1664" s="3339">
        <f>SUM(D1665)</f>
        <v>405000</v>
      </c>
      <c r="E1664" s="3339">
        <f>SUM(E1665)</f>
        <v>1050000</v>
      </c>
    </row>
    <row r="1665" spans="1:5" s="2235" customFormat="1" ht="18" thickBot="1" x14ac:dyDescent="0.25">
      <c r="A1665" s="2241">
        <v>22020701</v>
      </c>
      <c r="B1665" s="2293" t="s">
        <v>1228</v>
      </c>
      <c r="C1665" s="2252">
        <v>1050000</v>
      </c>
      <c r="D1665" s="2252">
        <v>405000</v>
      </c>
      <c r="E1665" s="2252">
        <v>1050000</v>
      </c>
    </row>
    <row r="1666" spans="1:5" s="3337" customFormat="1" ht="18" thickBot="1" x14ac:dyDescent="0.25">
      <c r="A1666" s="2247">
        <v>22021000</v>
      </c>
      <c r="B1666" s="2248" t="s">
        <v>73</v>
      </c>
      <c r="C1666" s="2251">
        <f>SUM(C1667:C1679)</f>
        <v>222955215</v>
      </c>
      <c r="D1666" s="2251">
        <f>SUM(D1667:D1679)</f>
        <v>123588267</v>
      </c>
      <c r="E1666" s="2251">
        <f>SUM(E1667:E1679)</f>
        <v>226055215</v>
      </c>
    </row>
    <row r="1667" spans="1:5" s="2235" customFormat="1" ht="17.25" x14ac:dyDescent="0.2">
      <c r="A1667" s="2241">
        <v>22021001</v>
      </c>
      <c r="B1667" s="2242" t="s">
        <v>41</v>
      </c>
      <c r="C1667" s="2250">
        <v>490000</v>
      </c>
      <c r="D1667" s="2250">
        <v>189000</v>
      </c>
      <c r="E1667" s="2250">
        <v>490000</v>
      </c>
    </row>
    <row r="1668" spans="1:5" s="2235" customFormat="1" ht="17.25" x14ac:dyDescent="0.2">
      <c r="A1668" s="2241">
        <v>22021002</v>
      </c>
      <c r="B1668" s="2242" t="s">
        <v>1233</v>
      </c>
      <c r="C1668" s="2250">
        <v>10500000</v>
      </c>
      <c r="D1668" s="2250">
        <v>8930430</v>
      </c>
      <c r="E1668" s="2250">
        <v>10500000</v>
      </c>
    </row>
    <row r="1669" spans="1:5" s="2235" customFormat="1" ht="17.25" x14ac:dyDescent="0.2">
      <c r="A1669" s="2241">
        <v>22021021</v>
      </c>
      <c r="B1669" s="2242" t="s">
        <v>3325</v>
      </c>
      <c r="C1669" s="2250">
        <v>1400000</v>
      </c>
      <c r="D1669" s="2250"/>
      <c r="E1669" s="2250">
        <v>1400000</v>
      </c>
    </row>
    <row r="1670" spans="1:5" s="3337" customFormat="1" ht="17.25" x14ac:dyDescent="0.2">
      <c r="A1670" s="2241">
        <v>22021003</v>
      </c>
      <c r="B1670" s="2242" t="s">
        <v>42</v>
      </c>
      <c r="C1670" s="2250">
        <v>700000</v>
      </c>
      <c r="D1670" s="2250"/>
      <c r="E1670" s="2250">
        <v>700000</v>
      </c>
    </row>
    <row r="1671" spans="1:5" s="2235" customFormat="1" ht="17.25" x14ac:dyDescent="0.2">
      <c r="A1671" s="2241">
        <v>22021007</v>
      </c>
      <c r="B1671" s="2242" t="s">
        <v>44</v>
      </c>
      <c r="C1671" s="2252">
        <f>1750000+1400000</f>
        <v>3150000</v>
      </c>
      <c r="D1671" s="2250">
        <v>675000</v>
      </c>
      <c r="E1671" s="2252">
        <f>1750000+1400000</f>
        <v>3150000</v>
      </c>
    </row>
    <row r="1672" spans="1:5" s="2235" customFormat="1" ht="17.25" x14ac:dyDescent="0.2">
      <c r="A1672" s="2241">
        <v>22021008</v>
      </c>
      <c r="B1672" s="2242" t="s">
        <v>45</v>
      </c>
      <c r="C1672" s="2250">
        <v>350000</v>
      </c>
      <c r="D1672" s="2250"/>
      <c r="E1672" s="2250">
        <v>350000</v>
      </c>
    </row>
    <row r="1673" spans="1:5" s="2235" customFormat="1" ht="17.25" x14ac:dyDescent="0.2">
      <c r="A1673" s="2241">
        <v>22021009</v>
      </c>
      <c r="B1673" s="2242" t="s">
        <v>46</v>
      </c>
      <c r="C1673" s="2250">
        <v>350000</v>
      </c>
      <c r="D1673" s="2250">
        <v>135000</v>
      </c>
      <c r="E1673" s="2250">
        <v>350000</v>
      </c>
    </row>
    <row r="1674" spans="1:5" s="2235" customFormat="1" ht="17.25" x14ac:dyDescent="0.2">
      <c r="A1674" s="2241">
        <v>22021041</v>
      </c>
      <c r="B1674" s="2242" t="s">
        <v>1229</v>
      </c>
      <c r="C1674" s="2244">
        <f>38500000</f>
        <v>38500000</v>
      </c>
      <c r="D1674" s="2243">
        <v>52680115</v>
      </c>
      <c r="E1674" s="2244">
        <f>38500000</f>
        <v>38500000</v>
      </c>
    </row>
    <row r="1675" spans="1:5" s="2235" customFormat="1" ht="17.25" x14ac:dyDescent="0.2">
      <c r="A1675" s="2241">
        <v>22021015</v>
      </c>
      <c r="B1675" s="2293" t="s">
        <v>1685</v>
      </c>
      <c r="C1675" s="2243">
        <v>99335215</v>
      </c>
      <c r="D1675" s="2243">
        <v>42436882</v>
      </c>
      <c r="E1675" s="2243">
        <v>80585215</v>
      </c>
    </row>
    <row r="1676" spans="1:5" s="3337" customFormat="1" ht="17.25" x14ac:dyDescent="0.2">
      <c r="A1676" s="2241">
        <v>22021016</v>
      </c>
      <c r="B1676" s="2242" t="s">
        <v>1170</v>
      </c>
      <c r="C1676" s="3180">
        <v>10080000</v>
      </c>
      <c r="D1676" s="2243">
        <v>3888000</v>
      </c>
      <c r="E1676" s="2243">
        <v>10080000</v>
      </c>
    </row>
    <row r="1677" spans="1:5" s="3337" customFormat="1" ht="17.25" x14ac:dyDescent="0.2">
      <c r="A1677" s="2241">
        <v>22021017</v>
      </c>
      <c r="B1677" s="2242" t="s">
        <v>1234</v>
      </c>
      <c r="C1677" s="3341">
        <f>1400000+14000000+2100000</f>
        <v>17500000</v>
      </c>
      <c r="D1677" s="2243">
        <v>8033840</v>
      </c>
      <c r="E1677" s="2244">
        <f>1400000+14000000+2100000</f>
        <v>17500000</v>
      </c>
    </row>
    <row r="1678" spans="1:5" s="3337" customFormat="1" ht="17.25" x14ac:dyDescent="0.2">
      <c r="A1678" s="2241">
        <v>22021018</v>
      </c>
      <c r="B1678" s="2242" t="s">
        <v>1231</v>
      </c>
      <c r="C1678" s="3180">
        <v>2450000</v>
      </c>
      <c r="D1678" s="2243"/>
      <c r="E1678" s="2243">
        <v>2450000</v>
      </c>
    </row>
    <row r="1679" spans="1:5" s="2235" customFormat="1" ht="17.25" x14ac:dyDescent="0.2">
      <c r="A1679" s="2241">
        <v>22021019</v>
      </c>
      <c r="B1679" s="2242" t="s">
        <v>1839</v>
      </c>
      <c r="C1679" s="3340">
        <v>38150000</v>
      </c>
      <c r="D1679" s="2250">
        <v>6620000</v>
      </c>
      <c r="E1679" s="2250">
        <v>60000000</v>
      </c>
    </row>
    <row r="1680" spans="1:5" s="2235" customFormat="1" ht="18" thickBot="1" x14ac:dyDescent="0.25">
      <c r="A1680" s="2247"/>
      <c r="B1680" s="2248"/>
      <c r="C1680" s="3342"/>
      <c r="D1680" s="2249"/>
      <c r="E1680" s="2249"/>
    </row>
    <row r="1681" spans="1:5" s="2048" customFormat="1" ht="19.5" thickBot="1" x14ac:dyDescent="0.25">
      <c r="A1681" s="2472"/>
      <c r="B1681" s="3158" t="s">
        <v>1363</v>
      </c>
      <c r="C1681" s="2352">
        <f>C1647+C1651+C1658+C1662+C1664+C1666</f>
        <v>734715370</v>
      </c>
      <c r="D1681" s="2199">
        <f>D1647+D1651+D1658+D1662+D1664+D1666</f>
        <v>276199987</v>
      </c>
      <c r="E1681" s="2199">
        <f>E1647+E1651+E1658+E1662+E1664+E1666</f>
        <v>737815370</v>
      </c>
    </row>
    <row r="1682" spans="1:5" s="2411" customFormat="1" ht="19.5" x14ac:dyDescent="0.3">
      <c r="A1682" s="3480" t="s">
        <v>1475</v>
      </c>
      <c r="B1682" s="3480"/>
      <c r="C1682" s="3480"/>
      <c r="D1682" s="3480"/>
      <c r="E1682" s="3480"/>
    </row>
    <row r="1683" spans="1:5" s="2411" customFormat="1" ht="19.5" x14ac:dyDescent="0.3">
      <c r="A1683" s="3480" t="s">
        <v>80</v>
      </c>
      <c r="B1683" s="3480"/>
      <c r="C1683" s="3480"/>
      <c r="D1683" s="3480"/>
      <c r="E1683" s="3480"/>
    </row>
    <row r="1684" spans="1:5" s="2411" customFormat="1" thickBot="1" x14ac:dyDescent="0.35">
      <c r="A1684" s="3481" t="s">
        <v>1462</v>
      </c>
      <c r="B1684" s="3481"/>
      <c r="C1684" s="3481"/>
      <c r="D1684" s="3481"/>
      <c r="E1684" s="3481"/>
    </row>
    <row r="1685" spans="1:5" ht="81.75" thickBot="1" x14ac:dyDescent="0.35">
      <c r="A1685" s="2004" t="s">
        <v>1014</v>
      </c>
      <c r="B1685" s="2004" t="s">
        <v>282</v>
      </c>
      <c r="C1685" s="173" t="s">
        <v>1174</v>
      </c>
      <c r="D1685" s="173" t="s">
        <v>1145</v>
      </c>
      <c r="E1685" s="173" t="s">
        <v>3096</v>
      </c>
    </row>
    <row r="1686" spans="1:5" s="2411" customFormat="1" thickBot="1" x14ac:dyDescent="0.35">
      <c r="A1686" s="2412"/>
      <c r="B1686" s="2413"/>
      <c r="C1686" s="2414"/>
      <c r="D1686" s="2415"/>
      <c r="E1686" s="2416"/>
    </row>
    <row r="1687" spans="1:5" s="2411" customFormat="1" thickBot="1" x14ac:dyDescent="0.35">
      <c r="A1687" s="2417">
        <v>22020100</v>
      </c>
      <c r="B1687" s="2418" t="s">
        <v>64</v>
      </c>
      <c r="C1687" s="2425">
        <f>SUM(C1688:C1688)</f>
        <v>480000</v>
      </c>
      <c r="D1687" s="2426">
        <f>SUM(D1688:D1688)</f>
        <v>1930000</v>
      </c>
      <c r="E1687" s="2425">
        <f>SUM(E1688:E1688)</f>
        <v>480000</v>
      </c>
    </row>
    <row r="1688" spans="1:5" s="2411" customFormat="1" thickBot="1" x14ac:dyDescent="0.35">
      <c r="A1688" s="2421">
        <v>22020102</v>
      </c>
      <c r="B1688" s="2422" t="s">
        <v>10</v>
      </c>
      <c r="C1688" s="2423">
        <v>480000</v>
      </c>
      <c r="D1688" s="2424">
        <v>1930000</v>
      </c>
      <c r="E1688" s="2423">
        <v>480000</v>
      </c>
    </row>
    <row r="1689" spans="1:5" s="2411" customFormat="1" thickBot="1" x14ac:dyDescent="0.35">
      <c r="A1689" s="2417">
        <v>22020300</v>
      </c>
      <c r="B1689" s="2418" t="s">
        <v>66</v>
      </c>
      <c r="C1689" s="2425">
        <f>SUM(C1690:C1692)</f>
        <v>688452</v>
      </c>
      <c r="D1689" s="2427">
        <f>SUM(D1690:D1692)</f>
        <v>47000</v>
      </c>
      <c r="E1689" s="2425">
        <f>SUM(E1690:E1692)</f>
        <v>588452</v>
      </c>
    </row>
    <row r="1690" spans="1:5" s="2411" customFormat="1" ht="19.5" x14ac:dyDescent="0.3">
      <c r="A1690" s="2421">
        <v>22020301</v>
      </c>
      <c r="B1690" s="2422" t="s">
        <v>17</v>
      </c>
      <c r="C1690" s="2419">
        <v>150000</v>
      </c>
      <c r="D1690" s="2420">
        <v>30000</v>
      </c>
      <c r="E1690" s="2419">
        <v>50000</v>
      </c>
    </row>
    <row r="1691" spans="1:5" s="2411" customFormat="1" ht="19.5" x14ac:dyDescent="0.3">
      <c r="A1691" s="2421">
        <v>22020310</v>
      </c>
      <c r="B1691" s="2422" t="s">
        <v>24</v>
      </c>
      <c r="C1691" s="2419">
        <v>400000</v>
      </c>
      <c r="D1691" s="2420">
        <v>17000</v>
      </c>
      <c r="E1691" s="2419">
        <v>400000</v>
      </c>
    </row>
    <row r="1692" spans="1:5" s="2203" customFormat="1" thickBot="1" x14ac:dyDescent="0.25">
      <c r="A1692" s="2207">
        <v>22020305</v>
      </c>
      <c r="B1692" s="2208" t="s">
        <v>20</v>
      </c>
      <c r="C1692" s="2211">
        <v>138452</v>
      </c>
      <c r="D1692" s="2221"/>
      <c r="E1692" s="2211">
        <v>138452</v>
      </c>
    </row>
    <row r="1693" spans="1:5" s="2411" customFormat="1" thickBot="1" x14ac:dyDescent="0.35">
      <c r="A1693" s="2417">
        <v>22020400</v>
      </c>
      <c r="B1693" s="2418" t="s">
        <v>67</v>
      </c>
      <c r="C1693" s="2425">
        <f>SUM(C1694:C1696)</f>
        <v>1480000</v>
      </c>
      <c r="D1693" s="2425">
        <f>SUM(D1694:D1696)</f>
        <v>310000</v>
      </c>
      <c r="E1693" s="2425">
        <f>SUM(E1694:E1696)</f>
        <v>1380000</v>
      </c>
    </row>
    <row r="1694" spans="1:5" s="2411" customFormat="1" ht="19.5" x14ac:dyDescent="0.3">
      <c r="A1694" s="2421">
        <v>22020401</v>
      </c>
      <c r="B1694" s="2422" t="s">
        <v>79</v>
      </c>
      <c r="C1694" s="2419">
        <v>450000</v>
      </c>
      <c r="D1694" s="2420">
        <v>310000</v>
      </c>
      <c r="E1694" s="2419">
        <v>350000</v>
      </c>
    </row>
    <row r="1695" spans="1:5" s="2411" customFormat="1" ht="19.5" x14ac:dyDescent="0.3">
      <c r="A1695" s="2421">
        <v>22020402</v>
      </c>
      <c r="B1695" s="2422" t="s">
        <v>2027</v>
      </c>
      <c r="C1695" s="2419">
        <v>630000</v>
      </c>
      <c r="D1695" s="2420">
        <v>0</v>
      </c>
      <c r="E1695" s="2419">
        <v>630000</v>
      </c>
    </row>
    <row r="1696" spans="1:5" s="2411" customFormat="1" thickBot="1" x14ac:dyDescent="0.35">
      <c r="A1696" s="2421">
        <v>22020406</v>
      </c>
      <c r="B1696" s="2422" t="s">
        <v>2028</v>
      </c>
      <c r="C1696" s="2419">
        <v>400000</v>
      </c>
      <c r="D1696" s="2420">
        <v>0</v>
      </c>
      <c r="E1696" s="2419">
        <v>400000</v>
      </c>
    </row>
    <row r="1697" spans="1:5" s="2411" customFormat="1" thickBot="1" x14ac:dyDescent="0.35">
      <c r="A1697" s="2417">
        <v>22020500</v>
      </c>
      <c r="B1697" s="2418" t="s">
        <v>68</v>
      </c>
      <c r="C1697" s="2425">
        <f>SUM(C1698:C1698)</f>
        <v>430000</v>
      </c>
      <c r="D1697" s="2426">
        <f>SUM(D1698:D1698)</f>
        <v>0</v>
      </c>
      <c r="E1697" s="2425">
        <f>SUM(E1698:E1698)</f>
        <v>430000</v>
      </c>
    </row>
    <row r="1698" spans="1:5" s="2411" customFormat="1" thickBot="1" x14ac:dyDescent="0.35">
      <c r="A1698" s="2421">
        <v>22020501</v>
      </c>
      <c r="B1698" s="2422" t="s">
        <v>1479</v>
      </c>
      <c r="C1698" s="2423">
        <v>430000</v>
      </c>
      <c r="D1698" s="2424">
        <v>0</v>
      </c>
      <c r="E1698" s="2423">
        <v>430000</v>
      </c>
    </row>
    <row r="1699" spans="1:5" s="2411" customFormat="1" thickBot="1" x14ac:dyDescent="0.35">
      <c r="A1699" s="2417">
        <v>22021000</v>
      </c>
      <c r="B1699" s="2418" t="s">
        <v>73</v>
      </c>
      <c r="C1699" s="2425">
        <f>SUM(C1700:C1702)</f>
        <v>2300000</v>
      </c>
      <c r="D1699" s="2426">
        <f>SUM(D1700:D1702)</f>
        <v>52000</v>
      </c>
      <c r="E1699" s="2425">
        <f>SUM(E1700:E1702)</f>
        <v>2500000</v>
      </c>
    </row>
    <row r="1700" spans="1:5" s="2411" customFormat="1" ht="19.5" x14ac:dyDescent="0.3">
      <c r="A1700" s="2421">
        <v>22021001</v>
      </c>
      <c r="B1700" s="2422" t="s">
        <v>41</v>
      </c>
      <c r="C1700" s="2419">
        <v>100000</v>
      </c>
      <c r="D1700" s="2420">
        <v>52000</v>
      </c>
      <c r="E1700" s="2419">
        <v>300000</v>
      </c>
    </row>
    <row r="1701" spans="1:5" s="2411" customFormat="1" ht="19.5" x14ac:dyDescent="0.3">
      <c r="A1701" s="2421">
        <v>22021002</v>
      </c>
      <c r="B1701" s="2422" t="s">
        <v>1530</v>
      </c>
      <c r="C1701" s="2423">
        <v>2000000</v>
      </c>
      <c r="D1701" s="2424"/>
      <c r="E1701" s="2423">
        <v>2000000</v>
      </c>
    </row>
    <row r="1702" spans="1:5" s="2411" customFormat="1" ht="19.5" x14ac:dyDescent="0.3">
      <c r="A1702" s="2421">
        <v>22021004</v>
      </c>
      <c r="B1702" s="2208" t="s">
        <v>42</v>
      </c>
      <c r="C1702" s="2419">
        <v>200000</v>
      </c>
      <c r="D1702" s="2420"/>
      <c r="E1702" s="2419">
        <v>200000</v>
      </c>
    </row>
    <row r="1703" spans="1:5" s="2411" customFormat="1" thickBot="1" x14ac:dyDescent="0.35">
      <c r="A1703" s="2417"/>
      <c r="B1703" s="2418"/>
      <c r="C1703" s="2428"/>
      <c r="D1703" s="2429"/>
      <c r="E1703" s="2428"/>
    </row>
    <row r="1704" spans="1:5" s="2411" customFormat="1" thickBot="1" x14ac:dyDescent="0.35">
      <c r="A1704" s="2430"/>
      <c r="B1704" s="2431" t="s">
        <v>2628</v>
      </c>
      <c r="C1704" s="2432">
        <f>SUM(C1687,C1689,C1693,C1697,C1699)</f>
        <v>5378452</v>
      </c>
      <c r="D1704" s="2433">
        <f>SUM(D1687,D1689,D1693,D1697,D1699)</f>
        <v>2339000</v>
      </c>
      <c r="E1704" s="2432">
        <f>SUM(E1687,E1689,E1693,E1697,E1699)</f>
        <v>5378452</v>
      </c>
    </row>
    <row r="1705" spans="1:5" s="2434" customFormat="1" ht="23.25" x14ac:dyDescent="0.35">
      <c r="A1705" s="3484" t="s">
        <v>1050</v>
      </c>
      <c r="B1705" s="3484"/>
      <c r="C1705" s="3484"/>
      <c r="D1705" s="3484"/>
      <c r="E1705" s="3484"/>
    </row>
    <row r="1706" spans="1:5" s="2434" customFormat="1" ht="24" thickBot="1" x14ac:dyDescent="0.4">
      <c r="A1706" s="3485" t="s">
        <v>1853</v>
      </c>
      <c r="B1706" s="3485"/>
      <c r="C1706" s="3485"/>
      <c r="D1706" s="3485"/>
      <c r="E1706" s="3485"/>
    </row>
    <row r="1707" spans="1:5" ht="81.75" thickBot="1" x14ac:dyDescent="0.35">
      <c r="A1707" s="2004" t="s">
        <v>1014</v>
      </c>
      <c r="B1707" s="2004" t="s">
        <v>282</v>
      </c>
      <c r="C1707" s="173" t="s">
        <v>1174</v>
      </c>
      <c r="D1707" s="173" t="s">
        <v>1145</v>
      </c>
      <c r="E1707" s="173" t="s">
        <v>3096</v>
      </c>
    </row>
    <row r="1708" spans="1:5" s="2112" customFormat="1" ht="19.5" thickBot="1" x14ac:dyDescent="0.25">
      <c r="A1708" s="2376"/>
      <c r="B1708" s="2134"/>
      <c r="C1708" s="2377"/>
      <c r="D1708" s="2378"/>
      <c r="E1708" s="2379"/>
    </row>
    <row r="1709" spans="1:5" s="2112" customFormat="1" ht="19.5" thickBot="1" x14ac:dyDescent="0.25">
      <c r="A1709" s="2046">
        <v>22020100</v>
      </c>
      <c r="B1709" s="2047" t="s">
        <v>64</v>
      </c>
      <c r="C1709" s="2437">
        <f>SUM(C1710:C1710)</f>
        <v>1500000</v>
      </c>
      <c r="D1709" s="2437">
        <f>SUM(D1710:D1710)</f>
        <v>1013600</v>
      </c>
      <c r="E1709" s="2437">
        <f>SUM(E1710:E1710)</f>
        <v>1500000</v>
      </c>
    </row>
    <row r="1710" spans="1:5" s="2112" customFormat="1" ht="19.5" thickBot="1" x14ac:dyDescent="0.25">
      <c r="A1710" s="2049">
        <v>22020102</v>
      </c>
      <c r="B1710" s="2146" t="s">
        <v>10</v>
      </c>
      <c r="C1710" s="2435">
        <v>1500000</v>
      </c>
      <c r="D1710" s="2436">
        <v>1013600</v>
      </c>
      <c r="E1710" s="2436">
        <v>1500000</v>
      </c>
    </row>
    <row r="1711" spans="1:5" s="2112" customFormat="1" ht="19.5" thickBot="1" x14ac:dyDescent="0.25">
      <c r="A1711" s="2046">
        <v>22020200</v>
      </c>
      <c r="B1711" s="2191" t="s">
        <v>65</v>
      </c>
      <c r="C1711" s="2437">
        <f>SUM(C1712:C1712)</f>
        <v>100000</v>
      </c>
      <c r="D1711" s="2437">
        <f>SUM(D1712:D1712)</f>
        <v>30610</v>
      </c>
      <c r="E1711" s="2437">
        <f>SUM(E1712:E1712)</f>
        <v>100000</v>
      </c>
    </row>
    <row r="1712" spans="1:5" s="2112" customFormat="1" ht="19.5" thickBot="1" x14ac:dyDescent="0.25">
      <c r="A1712" s="2049">
        <v>22020203</v>
      </c>
      <c r="B1712" s="2146" t="s">
        <v>15</v>
      </c>
      <c r="C1712" s="2381">
        <v>100000</v>
      </c>
      <c r="D1712" s="2381">
        <v>30610</v>
      </c>
      <c r="E1712" s="2381">
        <v>100000</v>
      </c>
    </row>
    <row r="1713" spans="1:5" s="2112" customFormat="1" ht="19.5" thickBot="1" x14ac:dyDescent="0.25">
      <c r="A1713" s="2046">
        <v>22020300</v>
      </c>
      <c r="B1713" s="2191" t="s">
        <v>66</v>
      </c>
      <c r="C1713" s="2438">
        <f>SUM(C1714:C1715)</f>
        <v>2136854</v>
      </c>
      <c r="D1713" s="2437">
        <f>SUM(D1714:D1715)</f>
        <v>728000</v>
      </c>
      <c r="E1713" s="2437">
        <f>SUM(E1714:E1715)</f>
        <v>2136854</v>
      </c>
    </row>
    <row r="1714" spans="1:5" s="2112" customFormat="1" ht="18.75" x14ac:dyDescent="0.2">
      <c r="A1714" s="2049">
        <v>22020301</v>
      </c>
      <c r="B1714" s="2146" t="s">
        <v>17</v>
      </c>
      <c r="C1714" s="2380">
        <v>1936854</v>
      </c>
      <c r="D1714" s="2380">
        <v>700000</v>
      </c>
      <c r="E1714" s="2380">
        <v>1936854</v>
      </c>
    </row>
    <row r="1715" spans="1:5" s="2112" customFormat="1" ht="19.5" thickBot="1" x14ac:dyDescent="0.25">
      <c r="A1715" s="2049">
        <v>22020310</v>
      </c>
      <c r="B1715" s="2146" t="s">
        <v>24</v>
      </c>
      <c r="C1715" s="2435">
        <v>200000</v>
      </c>
      <c r="D1715" s="2435">
        <v>28000</v>
      </c>
      <c r="E1715" s="2436">
        <v>200000</v>
      </c>
    </row>
    <row r="1716" spans="1:5" s="2112" customFormat="1" ht="19.5" thickBot="1" x14ac:dyDescent="0.25">
      <c r="A1716" s="2046">
        <v>22020400</v>
      </c>
      <c r="B1716" s="2191" t="s">
        <v>67</v>
      </c>
      <c r="C1716" s="2438">
        <f>SUM(C1717:C1718)</f>
        <v>3500000</v>
      </c>
      <c r="D1716" s="2437">
        <f>SUM(D1717:D1718)</f>
        <v>2162500</v>
      </c>
      <c r="E1716" s="2437">
        <f>SUM(E1717:E1718)</f>
        <v>3500000</v>
      </c>
    </row>
    <row r="1717" spans="1:5" s="2112" customFormat="1" ht="18.75" x14ac:dyDescent="0.2">
      <c r="A1717" s="2049">
        <v>22020401</v>
      </c>
      <c r="B1717" s="2146" t="s">
        <v>79</v>
      </c>
      <c r="C1717" s="3210">
        <v>1500000</v>
      </c>
      <c r="D1717" s="2380">
        <v>990000</v>
      </c>
      <c r="E1717" s="2380">
        <v>1500000</v>
      </c>
    </row>
    <row r="1718" spans="1:5" s="2112" customFormat="1" ht="19.5" thickBot="1" x14ac:dyDescent="0.25">
      <c r="A1718" s="2049">
        <v>22020406</v>
      </c>
      <c r="B1718" s="2146" t="s">
        <v>29</v>
      </c>
      <c r="C1718" s="2435">
        <v>2000000</v>
      </c>
      <c r="D1718" s="2435">
        <v>1172500</v>
      </c>
      <c r="E1718" s="2436">
        <v>2000000</v>
      </c>
    </row>
    <row r="1719" spans="1:5" s="2112" customFormat="1" ht="19.5" thickBot="1" x14ac:dyDescent="0.25">
      <c r="A1719" s="2046">
        <v>22021000</v>
      </c>
      <c r="B1719" s="2191" t="s">
        <v>73</v>
      </c>
      <c r="C1719" s="2438">
        <f>SUM(C1720:C1722)</f>
        <v>3800000</v>
      </c>
      <c r="D1719" s="2437">
        <f>SUM(D1720:D1722)</f>
        <v>767000</v>
      </c>
      <c r="E1719" s="2437">
        <f>SUM(E1720:E1722)</f>
        <v>3800000</v>
      </c>
    </row>
    <row r="1720" spans="1:5" s="2112" customFormat="1" ht="18.75" x14ac:dyDescent="0.2">
      <c r="A1720" s="2049">
        <v>22021001</v>
      </c>
      <c r="B1720" s="2146" t="s">
        <v>41</v>
      </c>
      <c r="C1720" s="3210">
        <v>1000000</v>
      </c>
      <c r="D1720" s="2380">
        <v>624000</v>
      </c>
      <c r="E1720" s="2380">
        <v>1000000</v>
      </c>
    </row>
    <row r="1721" spans="1:5" s="2112" customFormat="1" ht="18.75" x14ac:dyDescent="0.2">
      <c r="A1721" s="2049">
        <v>22021002</v>
      </c>
      <c r="B1721" s="2146" t="s">
        <v>1579</v>
      </c>
      <c r="C1721" s="2380">
        <v>2300000</v>
      </c>
      <c r="D1721" s="2380"/>
      <c r="E1721" s="2380">
        <v>2300000</v>
      </c>
    </row>
    <row r="1722" spans="1:5" s="2112" customFormat="1" ht="18.75" x14ac:dyDescent="0.2">
      <c r="A1722" s="2049">
        <v>22021007</v>
      </c>
      <c r="B1722" s="2146" t="s">
        <v>44</v>
      </c>
      <c r="C1722" s="2380">
        <v>500000</v>
      </c>
      <c r="D1722" s="2380">
        <v>143000</v>
      </c>
      <c r="E1722" s="2380">
        <v>500000</v>
      </c>
    </row>
    <row r="1723" spans="1:5" s="2112" customFormat="1" ht="19.5" thickBot="1" x14ac:dyDescent="0.25">
      <c r="A1723" s="2049"/>
      <c r="B1723" s="2191"/>
      <c r="C1723" s="3198"/>
      <c r="D1723" s="3198"/>
      <c r="E1723" s="3198"/>
    </row>
    <row r="1724" spans="1:5" s="2083" customFormat="1" ht="21" thickBot="1" x14ac:dyDescent="0.35">
      <c r="A1724" s="2104"/>
      <c r="B1724" s="3211" t="s">
        <v>1852</v>
      </c>
      <c r="C1724" s="2437">
        <f>SUM(C1709,C1711,C1713,C1716,C1719)</f>
        <v>11036854</v>
      </c>
      <c r="D1724" s="2437">
        <f>SUM(D1709,D1711,D1713,D1716,D1719)</f>
        <v>4701710</v>
      </c>
      <c r="E1724" s="2437">
        <f>SUM(E1709,E1711,E1713,E1716,E1719)</f>
        <v>11036854</v>
      </c>
    </row>
    <row r="1725" spans="1:5" s="2083" customFormat="1" x14ac:dyDescent="0.3">
      <c r="A1725" s="2111"/>
      <c r="B1725" s="2044"/>
      <c r="C1725" s="2045"/>
      <c r="D1725" s="2045"/>
      <c r="E1725" s="2045"/>
    </row>
    <row r="1726" spans="1:5" s="2083" customFormat="1" x14ac:dyDescent="0.3">
      <c r="A1726" s="3482" t="s">
        <v>1050</v>
      </c>
      <c r="B1726" s="3482"/>
      <c r="C1726" s="3482"/>
      <c r="D1726" s="3482"/>
      <c r="E1726" s="3482"/>
    </row>
    <row r="1727" spans="1:5" s="2083" customFormat="1" ht="21" thickBot="1" x14ac:dyDescent="0.35">
      <c r="A1727" s="3483" t="s">
        <v>3326</v>
      </c>
      <c r="B1727" s="3483"/>
      <c r="C1727" s="3483"/>
      <c r="D1727" s="3483"/>
      <c r="E1727" s="3483"/>
    </row>
    <row r="1728" spans="1:5" s="192" customFormat="1" ht="81.75" thickBot="1" x14ac:dyDescent="0.35">
      <c r="A1728" s="2004" t="s">
        <v>1014</v>
      </c>
      <c r="B1728" s="2004" t="s">
        <v>282</v>
      </c>
      <c r="C1728" s="2064" t="s">
        <v>1174</v>
      </c>
      <c r="D1728" s="173" t="s">
        <v>1145</v>
      </c>
      <c r="E1728" s="2064" t="s">
        <v>3096</v>
      </c>
    </row>
    <row r="1729" spans="1:5" s="192" customFormat="1" ht="21" thickBot="1" x14ac:dyDescent="0.35">
      <c r="A1729" s="3184"/>
      <c r="B1729" s="3185"/>
      <c r="C1729" s="3212"/>
      <c r="D1729" s="3187"/>
      <c r="E1729" s="3212"/>
    </row>
    <row r="1730" spans="1:5" s="2083" customFormat="1" ht="21" thickBot="1" x14ac:dyDescent="0.35">
      <c r="A1730" s="1993">
        <v>22020100</v>
      </c>
      <c r="B1730" s="2010" t="s">
        <v>64</v>
      </c>
      <c r="C1730" s="2062">
        <f>SUM(C1731:C1732)</f>
        <v>1062972</v>
      </c>
      <c r="D1730" s="2018">
        <f>SUM(D1731:D1732)</f>
        <v>676000</v>
      </c>
      <c r="E1730" s="2062">
        <f>SUM(E1731:E1732)</f>
        <v>1862972</v>
      </c>
    </row>
    <row r="1731" spans="1:5" s="2083" customFormat="1" x14ac:dyDescent="0.3">
      <c r="A1731" s="1861">
        <v>22020101</v>
      </c>
      <c r="B1731" s="151" t="s">
        <v>3316</v>
      </c>
      <c r="C1731" s="152">
        <v>500000</v>
      </c>
      <c r="D1731" s="152">
        <v>121000</v>
      </c>
      <c r="E1731" s="152">
        <v>500000</v>
      </c>
    </row>
    <row r="1732" spans="1:5" s="2083" customFormat="1" ht="21" thickBot="1" x14ac:dyDescent="0.35">
      <c r="A1732" s="1861">
        <v>22020102</v>
      </c>
      <c r="B1732" s="151" t="s">
        <v>10</v>
      </c>
      <c r="C1732" s="152">
        <v>562972</v>
      </c>
      <c r="D1732" s="152">
        <v>555000</v>
      </c>
      <c r="E1732" s="152">
        <v>1362972</v>
      </c>
    </row>
    <row r="1733" spans="1:5" s="2083" customFormat="1" ht="21" thickBot="1" x14ac:dyDescent="0.35">
      <c r="A1733" s="1993">
        <v>22020300</v>
      </c>
      <c r="B1733" s="2010" t="s">
        <v>66</v>
      </c>
      <c r="C1733" s="2062">
        <f>SUM(C1734:C1735)</f>
        <v>600000</v>
      </c>
      <c r="D1733" s="2018">
        <f>SUM(D1734:D1735)</f>
        <v>440000</v>
      </c>
      <c r="E1733" s="2062">
        <f>SUM(E1734:E1735)</f>
        <v>600000</v>
      </c>
    </row>
    <row r="1734" spans="1:5" s="2083" customFormat="1" x14ac:dyDescent="0.3">
      <c r="A1734" s="1861">
        <v>22020301</v>
      </c>
      <c r="B1734" s="151" t="s">
        <v>17</v>
      </c>
      <c r="C1734" s="152">
        <v>400000</v>
      </c>
      <c r="D1734" s="152">
        <v>378000</v>
      </c>
      <c r="E1734" s="152">
        <v>400000</v>
      </c>
    </row>
    <row r="1735" spans="1:5" s="2083" customFormat="1" ht="21" thickBot="1" x14ac:dyDescent="0.35">
      <c r="A1735" s="1861">
        <v>22020304</v>
      </c>
      <c r="B1735" s="151" t="s">
        <v>1850</v>
      </c>
      <c r="C1735" s="2008">
        <v>200000</v>
      </c>
      <c r="D1735" s="2008">
        <v>62000</v>
      </c>
      <c r="E1735" s="2008">
        <v>200000</v>
      </c>
    </row>
    <row r="1736" spans="1:5" s="2083" customFormat="1" ht="21" thickBot="1" x14ac:dyDescent="0.35">
      <c r="A1736" s="1993">
        <v>22020400</v>
      </c>
      <c r="B1736" s="1989" t="s">
        <v>67</v>
      </c>
      <c r="C1736" s="2062">
        <f>SUM(C1737:C1738)</f>
        <v>1150000</v>
      </c>
      <c r="D1736" s="2062">
        <f>SUM(D1737:D1738)</f>
        <v>904934</v>
      </c>
      <c r="E1736" s="2062">
        <f>SUM(E1737:E1738)</f>
        <v>1150000</v>
      </c>
    </row>
    <row r="1737" spans="1:5" s="2083" customFormat="1" x14ac:dyDescent="0.3">
      <c r="A1737" s="1861">
        <v>22020401</v>
      </c>
      <c r="B1737" s="151" t="s">
        <v>79</v>
      </c>
      <c r="C1737" s="152">
        <v>500000</v>
      </c>
      <c r="D1737" s="152">
        <v>330000</v>
      </c>
      <c r="E1737" s="152">
        <v>500000</v>
      </c>
    </row>
    <row r="1738" spans="1:5" s="2083" customFormat="1" ht="21" thickBot="1" x14ac:dyDescent="0.35">
      <c r="A1738" s="1861">
        <v>22020402</v>
      </c>
      <c r="B1738" s="151" t="s">
        <v>3327</v>
      </c>
      <c r="C1738" s="152">
        <v>650000</v>
      </c>
      <c r="D1738" s="152">
        <v>574934</v>
      </c>
      <c r="E1738" s="152">
        <v>650000</v>
      </c>
    </row>
    <row r="1739" spans="1:5" s="2083" customFormat="1" ht="21" thickBot="1" x14ac:dyDescent="0.35">
      <c r="A1739" s="1993">
        <v>22021000</v>
      </c>
      <c r="B1739" s="2010" t="s">
        <v>73</v>
      </c>
      <c r="C1739" s="2062">
        <f>SUM(C1740:C1744)</f>
        <v>2920000</v>
      </c>
      <c r="D1739" s="2062">
        <f>SUM(D1740:D1744)</f>
        <v>305382</v>
      </c>
      <c r="E1739" s="2062">
        <f>SUM(E1740:E1744)</f>
        <v>2120000</v>
      </c>
    </row>
    <row r="1740" spans="1:5" s="2083" customFormat="1" x14ac:dyDescent="0.3">
      <c r="A1740" s="1861">
        <v>22021001</v>
      </c>
      <c r="B1740" s="151" t="s">
        <v>41</v>
      </c>
      <c r="C1740" s="152">
        <v>300000</v>
      </c>
      <c r="D1740" s="152">
        <v>201000</v>
      </c>
      <c r="E1740" s="152">
        <v>300000</v>
      </c>
    </row>
    <row r="1741" spans="1:5" s="2083" customFormat="1" x14ac:dyDescent="0.3">
      <c r="A1741" s="1861">
        <v>22021002</v>
      </c>
      <c r="B1741" s="151" t="s">
        <v>1579</v>
      </c>
      <c r="C1741" s="2008">
        <v>1600000</v>
      </c>
      <c r="D1741" s="152"/>
      <c r="E1741" s="3213">
        <v>0</v>
      </c>
    </row>
    <row r="1742" spans="1:5" s="2083" customFormat="1" x14ac:dyDescent="0.3">
      <c r="A1742" s="1861">
        <v>22021003</v>
      </c>
      <c r="B1742" s="151" t="s">
        <v>42</v>
      </c>
      <c r="C1742" s="152">
        <v>170000</v>
      </c>
      <c r="D1742" s="152">
        <v>74382</v>
      </c>
      <c r="E1742" s="152">
        <v>170000</v>
      </c>
    </row>
    <row r="1743" spans="1:5" s="2083" customFormat="1" x14ac:dyDescent="0.3">
      <c r="A1743" s="1861">
        <v>22021008</v>
      </c>
      <c r="B1743" s="151" t="s">
        <v>45</v>
      </c>
      <c r="C1743" s="152">
        <v>50000</v>
      </c>
      <c r="D1743" s="152">
        <v>30000</v>
      </c>
      <c r="E1743" s="152">
        <v>50000</v>
      </c>
    </row>
    <row r="1744" spans="1:5" s="2083" customFormat="1" x14ac:dyDescent="0.3">
      <c r="A1744" s="1861">
        <v>22021009</v>
      </c>
      <c r="B1744" s="151" t="s">
        <v>1851</v>
      </c>
      <c r="C1744" s="152">
        <v>800000</v>
      </c>
      <c r="D1744" s="152"/>
      <c r="E1744" s="152">
        <v>1600000</v>
      </c>
    </row>
    <row r="1745" spans="1:5" s="2083" customFormat="1" ht="21" thickBot="1" x14ac:dyDescent="0.35">
      <c r="A1745" s="1993"/>
      <c r="B1745" s="2010"/>
      <c r="C1745" s="2406"/>
      <c r="D1745" s="2406"/>
      <c r="E1745" s="2406"/>
    </row>
    <row r="1746" spans="1:5" s="2083" customFormat="1" ht="21" thickBot="1" x14ac:dyDescent="0.35">
      <c r="A1746" s="2104"/>
      <c r="B1746" s="2187" t="s">
        <v>1840</v>
      </c>
      <c r="C1746" s="2018">
        <f>SUM(C1730,C1733,C1736,C1739)</f>
        <v>5732972</v>
      </c>
      <c r="D1746" s="2062">
        <f>SUM(D1730,D1733,D1736,D1739)</f>
        <v>2326316</v>
      </c>
      <c r="E1746" s="2062">
        <f>SUM(E1730,E1733,E1736,E1739)</f>
        <v>5732972</v>
      </c>
    </row>
    <row r="1747" spans="1:5" s="2083" customFormat="1" x14ac:dyDescent="0.3">
      <c r="A1747" s="2111"/>
      <c r="B1747" s="2044"/>
      <c r="C1747" s="2045"/>
      <c r="D1747" s="2045"/>
      <c r="E1747" s="2045"/>
    </row>
    <row r="1748" spans="1:5" s="2083" customFormat="1" x14ac:dyDescent="0.3">
      <c r="A1748" s="3482" t="s">
        <v>1050</v>
      </c>
      <c r="B1748" s="3482"/>
      <c r="C1748" s="3482"/>
      <c r="D1748" s="3482"/>
      <c r="E1748" s="3482"/>
    </row>
    <row r="1749" spans="1:5" s="2083" customFormat="1" ht="21" thickBot="1" x14ac:dyDescent="0.35">
      <c r="A1749" s="3483" t="s">
        <v>1739</v>
      </c>
      <c r="B1749" s="3483"/>
      <c r="C1749" s="3483"/>
      <c r="D1749" s="3483"/>
      <c r="E1749" s="3483"/>
    </row>
    <row r="1750" spans="1:5" s="174" customFormat="1" ht="81.75" thickBot="1" x14ac:dyDescent="0.35">
      <c r="A1750" s="2004" t="s">
        <v>1014</v>
      </c>
      <c r="B1750" s="2004" t="s">
        <v>282</v>
      </c>
      <c r="C1750" s="2064" t="s">
        <v>1174</v>
      </c>
      <c r="D1750" s="173" t="s">
        <v>1145</v>
      </c>
      <c r="E1750" s="2064" t="s">
        <v>3096</v>
      </c>
    </row>
    <row r="1751" spans="1:5" s="174" customFormat="1" ht="21" thickBot="1" x14ac:dyDescent="0.35">
      <c r="A1751" s="3185"/>
      <c r="B1751" s="3185"/>
      <c r="C1751" s="3214"/>
      <c r="D1751" s="3187"/>
      <c r="E1751" s="3214"/>
    </row>
    <row r="1752" spans="1:5" s="2083" customFormat="1" ht="21" thickBot="1" x14ac:dyDescent="0.35">
      <c r="A1752" s="1993">
        <v>22020100</v>
      </c>
      <c r="B1752" s="2010" t="s">
        <v>64</v>
      </c>
      <c r="C1752" s="1994">
        <f>SUM(C1753:C1754)</f>
        <v>41997634.57</v>
      </c>
      <c r="D1752" s="2439">
        <f>SUM(D1753:D1754)</f>
        <v>28930066</v>
      </c>
      <c r="E1752" s="2012">
        <f>SUM(E1753:E1754)</f>
        <v>41997636</v>
      </c>
    </row>
    <row r="1753" spans="1:5" s="2083" customFormat="1" x14ac:dyDescent="0.3">
      <c r="A1753" s="1861">
        <v>22020101</v>
      </c>
      <c r="B1753" s="151" t="s">
        <v>9</v>
      </c>
      <c r="C1753" s="152">
        <v>18626836</v>
      </c>
      <c r="D1753" s="2282">
        <v>10287188.48</v>
      </c>
      <c r="E1753" s="152">
        <v>18626836</v>
      </c>
    </row>
    <row r="1754" spans="1:5" s="2083" customFormat="1" ht="21" thickBot="1" x14ac:dyDescent="0.35">
      <c r="A1754" s="1861">
        <v>22020102</v>
      </c>
      <c r="B1754" s="151" t="s">
        <v>10</v>
      </c>
      <c r="C1754" s="1892">
        <v>23370798.57</v>
      </c>
      <c r="D1754" s="2284">
        <v>18642877.52</v>
      </c>
      <c r="E1754" s="1892">
        <v>23370800</v>
      </c>
    </row>
    <row r="1755" spans="1:5" s="2083" customFormat="1" ht="21" thickBot="1" x14ac:dyDescent="0.35">
      <c r="A1755" s="1993">
        <v>22020300</v>
      </c>
      <c r="B1755" s="2010" t="s">
        <v>66</v>
      </c>
      <c r="C1755" s="1994">
        <f>SUM(C1756:C1757)</f>
        <v>3337753.5999999996</v>
      </c>
      <c r="D1755" s="2439">
        <f>SUM(D1756:D1757)</f>
        <v>3425000</v>
      </c>
      <c r="E1755" s="2012">
        <f>SUM(E1756:E1757)</f>
        <v>3337753</v>
      </c>
    </row>
    <row r="1756" spans="1:5" s="2083" customFormat="1" x14ac:dyDescent="0.3">
      <c r="A1756" s="1861">
        <v>22020301</v>
      </c>
      <c r="B1756" s="151" t="s">
        <v>17</v>
      </c>
      <c r="C1756" s="152">
        <v>2161736.17</v>
      </c>
      <c r="D1756" s="2282">
        <v>2710000</v>
      </c>
      <c r="E1756" s="152">
        <v>2161736</v>
      </c>
    </row>
    <row r="1757" spans="1:5" s="2083" customFormat="1" x14ac:dyDescent="0.3">
      <c r="A1757" s="1861">
        <v>22020310</v>
      </c>
      <c r="B1757" s="151" t="s">
        <v>24</v>
      </c>
      <c r="C1757" s="1892">
        <v>1176017.43</v>
      </c>
      <c r="D1757" s="2284">
        <v>715000</v>
      </c>
      <c r="E1757" s="1892">
        <v>1176017</v>
      </c>
    </row>
    <row r="1758" spans="1:5" s="2083" customFormat="1" ht="21" thickBot="1" x14ac:dyDescent="0.35">
      <c r="A1758" s="1993">
        <v>22020400</v>
      </c>
      <c r="B1758" s="2010" t="s">
        <v>67</v>
      </c>
      <c r="C1758" s="2389">
        <f>SUM(C1759:C1762)</f>
        <v>90037271.480000004</v>
      </c>
      <c r="D1758" s="2389">
        <f>SUM(D1759:D1762)</f>
        <v>3123635.33</v>
      </c>
      <c r="E1758" s="2389">
        <f>SUM(E1759:E1762)</f>
        <v>10787270</v>
      </c>
    </row>
    <row r="1759" spans="1:5" s="2083" customFormat="1" x14ac:dyDescent="0.3">
      <c r="A1759" s="1861">
        <v>22020401</v>
      </c>
      <c r="B1759" s="151" t="s">
        <v>79</v>
      </c>
      <c r="C1759" s="152">
        <v>4564233.7300000004</v>
      </c>
      <c r="D1759" s="2282">
        <v>3123635.33</v>
      </c>
      <c r="E1759" s="152">
        <v>4564235</v>
      </c>
    </row>
    <row r="1760" spans="1:5" s="2083" customFormat="1" x14ac:dyDescent="0.3">
      <c r="A1760" s="1861">
        <v>22020402</v>
      </c>
      <c r="B1760" s="151" t="s">
        <v>182</v>
      </c>
      <c r="C1760" s="152">
        <v>1650751.9000000004</v>
      </c>
      <c r="D1760" s="2282">
        <v>0</v>
      </c>
      <c r="E1760" s="152">
        <v>4650750</v>
      </c>
    </row>
    <row r="1761" spans="1:5" s="2083" customFormat="1" x14ac:dyDescent="0.3">
      <c r="A1761" s="1861">
        <v>22020406</v>
      </c>
      <c r="B1761" s="151" t="s">
        <v>29</v>
      </c>
      <c r="C1761" s="152">
        <v>1572285.85</v>
      </c>
      <c r="D1761" s="2282">
        <v>0</v>
      </c>
      <c r="E1761" s="152">
        <v>1572285</v>
      </c>
    </row>
    <row r="1762" spans="1:5" s="2083" customFormat="1" ht="21" thickBot="1" x14ac:dyDescent="0.35">
      <c r="A1762" s="1861">
        <v>22020414</v>
      </c>
      <c r="B1762" s="153" t="s">
        <v>3297</v>
      </c>
      <c r="C1762" s="152">
        <v>82250000</v>
      </c>
      <c r="D1762" s="2282"/>
      <c r="E1762" s="152"/>
    </row>
    <row r="1763" spans="1:5" s="2083" customFormat="1" ht="21" thickBot="1" x14ac:dyDescent="0.35">
      <c r="A1763" s="1993">
        <v>22020500</v>
      </c>
      <c r="B1763" s="2010" t="s">
        <v>68</v>
      </c>
      <c r="C1763" s="1994">
        <f>SUM(C1764:C1764)</f>
        <v>949660.65</v>
      </c>
      <c r="D1763" s="2439">
        <f>SUM(D1764:D1764)</f>
        <v>0</v>
      </c>
      <c r="E1763" s="2012">
        <f>SUM(E1764:E1764)</f>
        <v>949660</v>
      </c>
    </row>
    <row r="1764" spans="1:5" s="2083" customFormat="1" ht="21" thickBot="1" x14ac:dyDescent="0.35">
      <c r="A1764" s="1861">
        <v>22020501</v>
      </c>
      <c r="B1764" s="151" t="s">
        <v>30</v>
      </c>
      <c r="C1764" s="1892">
        <v>949660.65</v>
      </c>
      <c r="D1764" s="2284">
        <v>0</v>
      </c>
      <c r="E1764" s="1892">
        <v>949660</v>
      </c>
    </row>
    <row r="1765" spans="1:5" s="2083" customFormat="1" ht="21" thickBot="1" x14ac:dyDescent="0.35">
      <c r="A1765" s="1993">
        <v>22020800</v>
      </c>
      <c r="B1765" s="2010" t="s">
        <v>71</v>
      </c>
      <c r="C1765" s="1994">
        <f>SUM(C1766:C1766)</f>
        <v>952805</v>
      </c>
      <c r="D1765" s="2439">
        <f>SUM(D1766:D1766)</f>
        <v>650000</v>
      </c>
      <c r="E1765" s="2012">
        <f>SUM(E1766:E1766)</f>
        <v>952805</v>
      </c>
    </row>
    <row r="1766" spans="1:5" s="2083" customFormat="1" ht="21" thickBot="1" x14ac:dyDescent="0.35">
      <c r="A1766" s="1861">
        <v>22020803</v>
      </c>
      <c r="B1766" s="151" t="s">
        <v>115</v>
      </c>
      <c r="C1766" s="2037">
        <v>952805</v>
      </c>
      <c r="D1766" s="2440">
        <v>650000</v>
      </c>
      <c r="E1766" s="2037">
        <v>952805</v>
      </c>
    </row>
    <row r="1767" spans="1:5" s="2083" customFormat="1" ht="21" thickBot="1" x14ac:dyDescent="0.35">
      <c r="A1767" s="1993">
        <v>22021000</v>
      </c>
      <c r="B1767" s="2010" t="s">
        <v>73</v>
      </c>
      <c r="C1767" s="1994">
        <f>SUM(C1768:C1772)</f>
        <v>17314965.949999999</v>
      </c>
      <c r="D1767" s="1994">
        <f>SUM(D1768:D1772)</f>
        <v>14099026</v>
      </c>
      <c r="E1767" s="1994">
        <f>SUM(E1768:E1772)</f>
        <v>17314965.990000002</v>
      </c>
    </row>
    <row r="1768" spans="1:5" s="2083" customFormat="1" x14ac:dyDescent="0.3">
      <c r="A1768" s="1861">
        <v>22021002</v>
      </c>
      <c r="B1768" s="151" t="s">
        <v>1579</v>
      </c>
      <c r="C1768" s="2057">
        <v>1300000</v>
      </c>
      <c r="D1768" s="2441"/>
      <c r="E1768" s="2057">
        <v>1300000</v>
      </c>
    </row>
    <row r="1769" spans="1:5" s="2083" customFormat="1" x14ac:dyDescent="0.3">
      <c r="A1769" s="1861">
        <v>22021003</v>
      </c>
      <c r="B1769" s="151" t="s">
        <v>42</v>
      </c>
      <c r="C1769" s="152">
        <v>876017.43</v>
      </c>
      <c r="D1769" s="2282"/>
      <c r="E1769" s="152">
        <v>876017.99</v>
      </c>
    </row>
    <row r="1770" spans="1:5" s="2083" customFormat="1" x14ac:dyDescent="0.3">
      <c r="A1770" s="1861">
        <v>22021007</v>
      </c>
      <c r="B1770" s="151" t="s">
        <v>44</v>
      </c>
      <c r="C1770" s="152">
        <v>2748303</v>
      </c>
      <c r="D1770" s="2282">
        <v>1234029.0900000001</v>
      </c>
      <c r="E1770" s="152">
        <v>2748303</v>
      </c>
    </row>
    <row r="1771" spans="1:5" s="2083" customFormat="1" x14ac:dyDescent="0.3">
      <c r="A1771" s="1861">
        <v>22021009</v>
      </c>
      <c r="B1771" s="151" t="s">
        <v>46</v>
      </c>
      <c r="C1771" s="152">
        <v>2800645.52</v>
      </c>
      <c r="D1771" s="2282">
        <v>3284955.91</v>
      </c>
      <c r="E1771" s="152">
        <v>2800645</v>
      </c>
    </row>
    <row r="1772" spans="1:5" s="2083" customFormat="1" x14ac:dyDescent="0.3">
      <c r="A1772" s="1861">
        <v>22021019</v>
      </c>
      <c r="B1772" s="153" t="s">
        <v>224</v>
      </c>
      <c r="C1772" s="152">
        <v>9590000</v>
      </c>
      <c r="D1772" s="2282">
        <v>9580041</v>
      </c>
      <c r="E1772" s="152">
        <v>9590000</v>
      </c>
    </row>
    <row r="1773" spans="1:5" s="2083" customFormat="1" ht="21" thickBot="1" x14ac:dyDescent="0.35">
      <c r="A1773" s="1993"/>
      <c r="B1773" s="2404"/>
      <c r="C1773" s="2095"/>
      <c r="D1773" s="2442"/>
      <c r="E1773" s="2095"/>
    </row>
    <row r="1774" spans="1:5" s="2083" customFormat="1" ht="21" thickBot="1" x14ac:dyDescent="0.35">
      <c r="A1774" s="2088"/>
      <c r="B1774" s="2034" t="s">
        <v>2626</v>
      </c>
      <c r="C1774" s="2018">
        <f>C1752+C1755+C1758+C1763+C1765+C1767</f>
        <v>154590091.25</v>
      </c>
      <c r="D1774" s="2443">
        <f>D1752+D1755+D1758+D1763+D1765+D1767</f>
        <v>50227727.329999998</v>
      </c>
      <c r="E1774" s="2018">
        <f>E1752+E1755+E1758+E1763+E1765+E1767</f>
        <v>75340089.99000001</v>
      </c>
    </row>
    <row r="1775" spans="1:5" s="2083" customFormat="1" x14ac:dyDescent="0.3">
      <c r="C1775" s="2132"/>
      <c r="E1775" s="2132"/>
    </row>
    <row r="1776" spans="1:5" s="3343" customFormat="1" ht="18.75" x14ac:dyDescent="0.25">
      <c r="A1776" s="3490" t="s">
        <v>1475</v>
      </c>
      <c r="B1776" s="3490"/>
      <c r="C1776" s="3490"/>
      <c r="D1776" s="3490"/>
      <c r="E1776" s="3490"/>
    </row>
    <row r="1777" spans="1:5" s="3344" customFormat="1" ht="18.75" x14ac:dyDescent="0.2">
      <c r="A1777" s="3501" t="s">
        <v>1050</v>
      </c>
      <c r="B1777" s="3501"/>
      <c r="C1777" s="3501"/>
      <c r="D1777" s="3501"/>
      <c r="E1777" s="3501"/>
    </row>
    <row r="1778" spans="1:5" s="3344" customFormat="1" ht="19.5" thickBot="1" x14ac:dyDescent="0.25">
      <c r="A1778" s="3502" t="s">
        <v>2029</v>
      </c>
      <c r="B1778" s="3502"/>
      <c r="C1778" s="3502"/>
      <c r="D1778" s="3502"/>
      <c r="E1778" s="3502"/>
    </row>
    <row r="1779" spans="1:5" s="3347" customFormat="1" ht="41.25" customHeight="1" thickBot="1" x14ac:dyDescent="0.35">
      <c r="A1779" s="3345" t="s">
        <v>1014</v>
      </c>
      <c r="B1779" s="3345" t="s">
        <v>282</v>
      </c>
      <c r="C1779" s="3346" t="s">
        <v>1174</v>
      </c>
      <c r="D1779" s="3346" t="s">
        <v>1145</v>
      </c>
      <c r="E1779" s="3346" t="s">
        <v>3096</v>
      </c>
    </row>
    <row r="1780" spans="1:5" s="3344" customFormat="1" ht="19.5" thickBot="1" x14ac:dyDescent="0.25">
      <c r="A1780" s="3348">
        <v>22020100</v>
      </c>
      <c r="B1780" s="3349" t="s">
        <v>64</v>
      </c>
      <c r="C1780" s="3350">
        <f>SUM(C1781:C1782)</f>
        <v>11100000</v>
      </c>
      <c r="D1780" s="3350">
        <f>SUM(D1781:D1782)</f>
        <v>5480000</v>
      </c>
      <c r="E1780" s="3350">
        <f>SUM(E1781:E1782)</f>
        <v>11100000</v>
      </c>
    </row>
    <row r="1781" spans="1:5" s="3344" customFormat="1" ht="18" customHeight="1" x14ac:dyDescent="0.2">
      <c r="A1781" s="3351">
        <v>22020101</v>
      </c>
      <c r="B1781" s="3352" t="s">
        <v>3328</v>
      </c>
      <c r="C1781" s="3353">
        <v>9000000</v>
      </c>
      <c r="D1781" s="3353">
        <v>5000000</v>
      </c>
      <c r="E1781" s="3353">
        <v>9000000</v>
      </c>
    </row>
    <row r="1782" spans="1:5" s="3344" customFormat="1" ht="19.5" thickBot="1" x14ac:dyDescent="0.25">
      <c r="A1782" s="3351">
        <v>22020102</v>
      </c>
      <c r="B1782" s="3352" t="s">
        <v>10</v>
      </c>
      <c r="C1782" s="3353">
        <v>2100000</v>
      </c>
      <c r="D1782" s="3353">
        <v>480000</v>
      </c>
      <c r="E1782" s="3353">
        <v>2100000</v>
      </c>
    </row>
    <row r="1783" spans="1:5" s="3344" customFormat="1" ht="19.5" thickBot="1" x14ac:dyDescent="0.25">
      <c r="A1783" s="3354">
        <v>22020300</v>
      </c>
      <c r="B1783" s="3355" t="s">
        <v>66</v>
      </c>
      <c r="C1783" s="3350">
        <f>SUM(C1784:C1788)</f>
        <v>653733188</v>
      </c>
      <c r="D1783" s="3350">
        <f>SUM(D1784:D1788)</f>
        <v>210637800</v>
      </c>
      <c r="E1783" s="3356">
        <f>SUM(E1784:E1788)</f>
        <v>654683188</v>
      </c>
    </row>
    <row r="1784" spans="1:5" s="3344" customFormat="1" ht="18.75" x14ac:dyDescent="0.2">
      <c r="A1784" s="3351">
        <v>22020301</v>
      </c>
      <c r="B1784" s="3352" t="s">
        <v>17</v>
      </c>
      <c r="C1784" s="3353">
        <v>900000</v>
      </c>
      <c r="D1784" s="3353">
        <v>943000</v>
      </c>
      <c r="E1784" s="3353">
        <v>900000</v>
      </c>
    </row>
    <row r="1785" spans="1:5" s="3358" customFormat="1" ht="18.75" x14ac:dyDescent="0.3">
      <c r="A1785" s="3351">
        <v>22020302</v>
      </c>
      <c r="B1785" s="3352" t="s">
        <v>1684</v>
      </c>
      <c r="C1785" s="3357">
        <v>100000</v>
      </c>
      <c r="D1785" s="3357">
        <v>50000</v>
      </c>
      <c r="E1785" s="3357">
        <v>100000</v>
      </c>
    </row>
    <row r="1786" spans="1:5" s="3358" customFormat="1" ht="18.75" x14ac:dyDescent="0.3">
      <c r="A1786" s="3351">
        <v>22020307</v>
      </c>
      <c r="B1786" s="3352" t="s">
        <v>725</v>
      </c>
      <c r="C1786" s="3353">
        <v>200000</v>
      </c>
      <c r="D1786" s="3353">
        <v>40000</v>
      </c>
      <c r="E1786" s="3353">
        <v>200000</v>
      </c>
    </row>
    <row r="1787" spans="1:5" s="3359" customFormat="1" ht="18.75" x14ac:dyDescent="0.2">
      <c r="A1787" s="3351">
        <v>22020309</v>
      </c>
      <c r="B1787" s="3352" t="s">
        <v>1683</v>
      </c>
      <c r="C1787" s="3353">
        <v>50000</v>
      </c>
      <c r="D1787" s="3353"/>
      <c r="E1787" s="3353">
        <v>1000000</v>
      </c>
    </row>
    <row r="1788" spans="1:5" s="3358" customFormat="1" ht="19.5" thickBot="1" x14ac:dyDescent="0.35">
      <c r="A1788" s="3360">
        <v>22020311</v>
      </c>
      <c r="B1788" s="3361" t="s">
        <v>1682</v>
      </c>
      <c r="C1788" s="3353">
        <v>652483188</v>
      </c>
      <c r="D1788" s="3362">
        <v>209604800</v>
      </c>
      <c r="E1788" s="3353">
        <v>652483188</v>
      </c>
    </row>
    <row r="1789" spans="1:5" s="3358" customFormat="1" ht="19.5" thickBot="1" x14ac:dyDescent="0.35">
      <c r="A1789" s="3354">
        <v>22020400</v>
      </c>
      <c r="B1789" s="3355" t="s">
        <v>67</v>
      </c>
      <c r="C1789" s="3350">
        <f>SUM(C1790:C1792)</f>
        <v>1219520</v>
      </c>
      <c r="D1789" s="3363">
        <f>SUM(D1790:D1792)</f>
        <v>151500</v>
      </c>
      <c r="E1789" s="3356">
        <f>SUM(E1790:E1792)</f>
        <v>19969520</v>
      </c>
    </row>
    <row r="1790" spans="1:5" s="3358" customFormat="1" ht="18.75" x14ac:dyDescent="0.3">
      <c r="A1790" s="3351">
        <v>22020401</v>
      </c>
      <c r="B1790" s="3352" t="s">
        <v>79</v>
      </c>
      <c r="C1790" s="3353">
        <v>769520</v>
      </c>
      <c r="D1790" s="3353">
        <v>115000</v>
      </c>
      <c r="E1790" s="3353">
        <v>769520</v>
      </c>
    </row>
    <row r="1791" spans="1:5" s="3358" customFormat="1" ht="18.75" x14ac:dyDescent="0.3">
      <c r="A1791" s="3351">
        <v>22020402</v>
      </c>
      <c r="B1791" s="3352" t="s">
        <v>182</v>
      </c>
      <c r="C1791" s="3357">
        <v>450000</v>
      </c>
      <c r="D1791" s="3357">
        <v>36500</v>
      </c>
      <c r="E1791" s="3357">
        <v>450000</v>
      </c>
    </row>
    <row r="1792" spans="1:5" s="3358" customFormat="1" ht="19.5" thickBot="1" x14ac:dyDescent="0.35">
      <c r="A1792" s="3351">
        <v>22020406</v>
      </c>
      <c r="B1792" s="3352" t="s">
        <v>1685</v>
      </c>
      <c r="C1792" s="3353"/>
      <c r="D1792" s="3353"/>
      <c r="E1792" s="3353">
        <v>18750000</v>
      </c>
    </row>
    <row r="1793" spans="1:5" s="3358" customFormat="1" ht="19.5" thickBot="1" x14ac:dyDescent="0.35">
      <c r="A1793" s="3354">
        <v>22020500</v>
      </c>
      <c r="B1793" s="3355" t="s">
        <v>68</v>
      </c>
      <c r="C1793" s="3350">
        <f>SUM(C1794:C1797)</f>
        <v>8384880</v>
      </c>
      <c r="D1793" s="3363">
        <f>SUM(D1794:D1797)</f>
        <v>160000</v>
      </c>
      <c r="E1793" s="3356">
        <f>SUM(E1794:E1797)</f>
        <v>154950000</v>
      </c>
    </row>
    <row r="1794" spans="1:5" s="3344" customFormat="1" ht="18.75" x14ac:dyDescent="0.2">
      <c r="A1794" s="3351">
        <v>22020501</v>
      </c>
      <c r="B1794" s="3352" t="s">
        <v>30</v>
      </c>
      <c r="C1794" s="3353">
        <v>200000</v>
      </c>
      <c r="D1794" s="3353">
        <v>100000</v>
      </c>
      <c r="E1794" s="3353">
        <v>200000</v>
      </c>
    </row>
    <row r="1795" spans="1:5" s="3358" customFormat="1" ht="18.75" x14ac:dyDescent="0.3">
      <c r="A1795" s="3351">
        <v>22020502</v>
      </c>
      <c r="B1795" s="3352" t="s">
        <v>1686</v>
      </c>
      <c r="C1795" s="3353">
        <v>2000000</v>
      </c>
      <c r="D1795" s="3353">
        <v>60000</v>
      </c>
      <c r="E1795" s="3353">
        <v>2000000</v>
      </c>
    </row>
    <row r="1796" spans="1:5" s="3358" customFormat="1" ht="18.75" x14ac:dyDescent="0.3">
      <c r="A1796" s="3351">
        <v>22020503</v>
      </c>
      <c r="B1796" s="3352" t="s">
        <v>3063</v>
      </c>
      <c r="C1796" s="3353">
        <v>2500000</v>
      </c>
      <c r="D1796" s="3353">
        <v>0</v>
      </c>
      <c r="E1796" s="3353">
        <v>142750000</v>
      </c>
    </row>
    <row r="1797" spans="1:5" s="3358" customFormat="1" ht="19.5" thickBot="1" x14ac:dyDescent="0.35">
      <c r="A1797" s="3351">
        <v>22020505</v>
      </c>
      <c r="B1797" s="3352" t="s">
        <v>1687</v>
      </c>
      <c r="C1797" s="3357">
        <v>3684880</v>
      </c>
      <c r="D1797" s="3357">
        <v>0</v>
      </c>
      <c r="E1797" s="3357">
        <v>10000000</v>
      </c>
    </row>
    <row r="1798" spans="1:5" s="3358" customFormat="1" ht="19.5" thickBot="1" x14ac:dyDescent="0.35">
      <c r="A1798" s="3354">
        <v>22020800</v>
      </c>
      <c r="B1798" s="3355" t="s">
        <v>71</v>
      </c>
      <c r="C1798" s="3350">
        <f>SUM(C1799:C1799)</f>
        <v>122400</v>
      </c>
      <c r="D1798" s="3363">
        <f>SUM(D1799:D1799)</f>
        <v>58000</v>
      </c>
      <c r="E1798" s="3356">
        <f>SUM(E1799:E1799)</f>
        <v>122400</v>
      </c>
    </row>
    <row r="1799" spans="1:5" s="3358" customFormat="1" ht="19.5" thickBot="1" x14ac:dyDescent="0.35">
      <c r="A1799" s="3351">
        <v>22020803</v>
      </c>
      <c r="B1799" s="3352" t="s">
        <v>115</v>
      </c>
      <c r="C1799" s="3364">
        <v>122400</v>
      </c>
      <c r="D1799" s="3364">
        <v>58000</v>
      </c>
      <c r="E1799" s="3364">
        <v>122400</v>
      </c>
    </row>
    <row r="1800" spans="1:5" s="3358" customFormat="1" ht="19.5" thickBot="1" x14ac:dyDescent="0.35">
      <c r="A1800" s="3354">
        <v>22021000</v>
      </c>
      <c r="B1800" s="3355" t="s">
        <v>73</v>
      </c>
      <c r="C1800" s="3365">
        <f>SUM(C1801:C1809)</f>
        <v>32734000</v>
      </c>
      <c r="D1800" s="3366">
        <f>SUM(D1801:D1809)</f>
        <v>13684500</v>
      </c>
      <c r="E1800" s="3366">
        <f>SUM(E1801:E1809)</f>
        <v>32734000</v>
      </c>
    </row>
    <row r="1801" spans="1:5" s="3358" customFormat="1" ht="18.75" x14ac:dyDescent="0.3">
      <c r="A1801" s="3351">
        <v>22021001</v>
      </c>
      <c r="B1801" s="3352" t="s">
        <v>41</v>
      </c>
      <c r="C1801" s="3353">
        <v>100000</v>
      </c>
      <c r="D1801" s="3353">
        <v>20000</v>
      </c>
      <c r="E1801" s="3353">
        <v>100000</v>
      </c>
    </row>
    <row r="1802" spans="1:5" s="3358" customFormat="1" ht="18.75" x14ac:dyDescent="0.3">
      <c r="A1802" s="3351">
        <v>22021002</v>
      </c>
      <c r="B1802" s="3361" t="s">
        <v>1530</v>
      </c>
      <c r="C1802" s="3353">
        <v>2180000</v>
      </c>
      <c r="D1802" s="3362">
        <v>0</v>
      </c>
      <c r="E1802" s="3353">
        <v>2180000</v>
      </c>
    </row>
    <row r="1803" spans="1:5" s="3358" customFormat="1" ht="18.75" x14ac:dyDescent="0.3">
      <c r="A1803" s="3351">
        <v>22021003</v>
      </c>
      <c r="B1803" s="3352" t="s">
        <v>42</v>
      </c>
      <c r="C1803" s="3353">
        <v>350000</v>
      </c>
      <c r="D1803" s="3353">
        <v>420000</v>
      </c>
      <c r="E1803" s="3353">
        <v>350000</v>
      </c>
    </row>
    <row r="1804" spans="1:5" s="3358" customFormat="1" ht="18.75" x14ac:dyDescent="0.3">
      <c r="A1804" s="3351">
        <v>22021007</v>
      </c>
      <c r="B1804" s="3352" t="s">
        <v>44</v>
      </c>
      <c r="C1804" s="3353">
        <v>1200000</v>
      </c>
      <c r="D1804" s="3353">
        <v>190000</v>
      </c>
      <c r="E1804" s="3353">
        <v>1200000</v>
      </c>
    </row>
    <row r="1805" spans="1:5" s="3358" customFormat="1" ht="18.75" x14ac:dyDescent="0.3">
      <c r="A1805" s="3351">
        <v>22021008</v>
      </c>
      <c r="B1805" s="3352" t="s">
        <v>45</v>
      </c>
      <c r="C1805" s="3367">
        <v>2600000</v>
      </c>
      <c r="D1805" s="3353">
        <v>0</v>
      </c>
      <c r="E1805" s="3353">
        <v>2600000</v>
      </c>
    </row>
    <row r="1806" spans="1:5" s="3358" customFormat="1" ht="18.75" x14ac:dyDescent="0.3">
      <c r="A1806" s="3351">
        <v>22021042</v>
      </c>
      <c r="B1806" s="3352" t="s">
        <v>1203</v>
      </c>
      <c r="C1806" s="3367">
        <v>400000</v>
      </c>
      <c r="D1806" s="3353">
        <v>400000</v>
      </c>
      <c r="E1806" s="3353">
        <v>400000</v>
      </c>
    </row>
    <row r="1807" spans="1:5" s="3358" customFormat="1" ht="18.75" x14ac:dyDescent="0.3">
      <c r="A1807" s="3351">
        <v>22021043</v>
      </c>
      <c r="B1807" s="3352" t="s">
        <v>1688</v>
      </c>
      <c r="C1807" s="3367">
        <v>3540000</v>
      </c>
      <c r="D1807" s="3353">
        <v>0</v>
      </c>
      <c r="E1807" s="3353">
        <v>3540000</v>
      </c>
    </row>
    <row r="1808" spans="1:5" s="3358" customFormat="1" ht="18.75" x14ac:dyDescent="0.3">
      <c r="A1808" s="3351">
        <v>22021041</v>
      </c>
      <c r="B1808" s="3352" t="s">
        <v>1568</v>
      </c>
      <c r="C1808" s="3367">
        <v>2364000</v>
      </c>
      <c r="D1808" s="3353">
        <v>2766000</v>
      </c>
      <c r="E1808" s="3353">
        <v>2364000</v>
      </c>
    </row>
    <row r="1809" spans="1:5" s="3358" customFormat="1" ht="18.75" x14ac:dyDescent="0.3">
      <c r="A1809" s="3351">
        <v>22021047</v>
      </c>
      <c r="B1809" s="3352" t="s">
        <v>3329</v>
      </c>
      <c r="C1809" s="3367">
        <v>20000000</v>
      </c>
      <c r="D1809" s="3353">
        <v>9888500</v>
      </c>
      <c r="E1809" s="3353">
        <v>20000000</v>
      </c>
    </row>
    <row r="1810" spans="1:5" s="3358" customFormat="1" ht="19.5" thickBot="1" x14ac:dyDescent="0.35">
      <c r="A1810" s="3368"/>
      <c r="B1810" s="3355"/>
      <c r="C1810" s="3369"/>
      <c r="D1810" s="3370"/>
      <c r="E1810" s="3370"/>
    </row>
    <row r="1811" spans="1:5" s="3358" customFormat="1" ht="19.5" thickBot="1" x14ac:dyDescent="0.35">
      <c r="A1811" s="3371"/>
      <c r="B1811" s="3372" t="s">
        <v>1858</v>
      </c>
      <c r="C1811" s="3366">
        <f>SUM(C1780,C1783,C1789,C1793,C1798,C1800)</f>
        <v>707293988</v>
      </c>
      <c r="D1811" s="3365">
        <f>SUM(D1780,D1783,D1789,D1793,D1798,D1800)</f>
        <v>230171800</v>
      </c>
      <c r="E1811" s="3365">
        <f>SUM(E1780,E1783,E1789,E1793,E1798,E1800)</f>
        <v>873559108</v>
      </c>
    </row>
    <row r="1812" spans="1:5" s="3358" customFormat="1" ht="18.75" x14ac:dyDescent="0.3">
      <c r="A1812" s="3500"/>
      <c r="B1812" s="3500"/>
      <c r="C1812" s="3500"/>
      <c r="D1812" s="3500"/>
      <c r="E1812" s="3500"/>
    </row>
    <row r="1813" spans="1:5" s="2112" customFormat="1" ht="18.75" x14ac:dyDescent="0.2">
      <c r="A1813" s="3486" t="s">
        <v>1475</v>
      </c>
      <c r="B1813" s="3486"/>
      <c r="C1813" s="3486"/>
      <c r="D1813" s="3486"/>
      <c r="E1813" s="3486"/>
    </row>
    <row r="1814" spans="1:5" s="2112" customFormat="1" ht="18.75" x14ac:dyDescent="0.2">
      <c r="A1814" s="3486" t="s">
        <v>1050</v>
      </c>
      <c r="B1814" s="3486"/>
      <c r="C1814" s="3486"/>
      <c r="D1814" s="3486"/>
      <c r="E1814" s="3486"/>
    </row>
    <row r="1815" spans="1:5" s="2112" customFormat="1" ht="19.5" thickBot="1" x14ac:dyDescent="0.25">
      <c r="A1815" s="3488" t="s">
        <v>1747</v>
      </c>
      <c r="B1815" s="3488"/>
      <c r="C1815" s="3488"/>
      <c r="D1815" s="3488"/>
      <c r="E1815" s="3488"/>
    </row>
    <row r="1816" spans="1:5" ht="81.75" thickBot="1" x14ac:dyDescent="0.35">
      <c r="A1816" s="2004" t="s">
        <v>1014</v>
      </c>
      <c r="B1816" s="2004" t="s">
        <v>282</v>
      </c>
      <c r="C1816" s="173" t="s">
        <v>1174</v>
      </c>
      <c r="D1816" s="173" t="s">
        <v>1145</v>
      </c>
      <c r="E1816" s="173" t="s">
        <v>3096</v>
      </c>
    </row>
    <row r="1817" spans="1:5" s="2112" customFormat="1" ht="19.5" thickBot="1" x14ac:dyDescent="0.25">
      <c r="A1817" s="2049"/>
      <c r="B1817" s="2146"/>
      <c r="C1817" s="2051"/>
      <c r="D1817" s="2051"/>
      <c r="E1817" s="2051"/>
    </row>
    <row r="1818" spans="1:5" s="2112" customFormat="1" ht="19.5" thickBot="1" x14ac:dyDescent="0.25">
      <c r="A1818" s="2046">
        <v>22020100</v>
      </c>
      <c r="B1818" s="2191" t="s">
        <v>64</v>
      </c>
      <c r="C1818" s="2198">
        <f>SUM(C1819:C1820)</f>
        <v>750480</v>
      </c>
      <c r="D1818" s="2198">
        <f>SUM(D1819:D1820)</f>
        <v>333000</v>
      </c>
      <c r="E1818" s="2198">
        <f>SUM(E1819:E1820)</f>
        <v>750480</v>
      </c>
    </row>
    <row r="1819" spans="1:5" s="2112" customFormat="1" ht="18.75" x14ac:dyDescent="0.2">
      <c r="A1819" s="2049">
        <v>22020101</v>
      </c>
      <c r="B1819" s="2146" t="s">
        <v>3313</v>
      </c>
      <c r="C1819" s="2194">
        <v>250000</v>
      </c>
      <c r="D1819" s="2194">
        <v>131000</v>
      </c>
      <c r="E1819" s="2351">
        <f>C1819</f>
        <v>250000</v>
      </c>
    </row>
    <row r="1820" spans="1:5" s="2112" customFormat="1" ht="19.5" thickBot="1" x14ac:dyDescent="0.25">
      <c r="A1820" s="2049">
        <v>22020102</v>
      </c>
      <c r="B1820" s="2146" t="s">
        <v>10</v>
      </c>
      <c r="C1820" s="2051">
        <v>500480</v>
      </c>
      <c r="D1820" s="2051">
        <v>202000</v>
      </c>
      <c r="E1820" s="2444">
        <f>C1820</f>
        <v>500480</v>
      </c>
    </row>
    <row r="1821" spans="1:5" s="2112" customFormat="1" ht="19.5" thickBot="1" x14ac:dyDescent="0.25">
      <c r="A1821" s="2046">
        <v>22020300</v>
      </c>
      <c r="B1821" s="2191" t="s">
        <v>66</v>
      </c>
      <c r="C1821" s="2196">
        <f>SUM(C1822:C1823)</f>
        <v>1281780</v>
      </c>
      <c r="D1821" s="2355">
        <f>SUM(D1822:D1823)</f>
        <v>483000</v>
      </c>
      <c r="E1821" s="2355">
        <f>SUM(E1822:E1823)</f>
        <v>1281780</v>
      </c>
    </row>
    <row r="1822" spans="1:5" s="2112" customFormat="1" ht="18.75" x14ac:dyDescent="0.2">
      <c r="A1822" s="2049">
        <v>22020301</v>
      </c>
      <c r="B1822" s="2146" t="s">
        <v>17</v>
      </c>
      <c r="C1822" s="2051">
        <v>600780</v>
      </c>
      <c r="D1822" s="2051">
        <v>338000</v>
      </c>
      <c r="E1822" s="2444">
        <f>C1822</f>
        <v>600780</v>
      </c>
    </row>
    <row r="1823" spans="1:5" s="2112" customFormat="1" ht="19.5" thickBot="1" x14ac:dyDescent="0.25">
      <c r="A1823" s="2049">
        <v>22020310</v>
      </c>
      <c r="B1823" s="2146" t="s">
        <v>1748</v>
      </c>
      <c r="C1823" s="2194">
        <v>681000</v>
      </c>
      <c r="D1823" s="2194">
        <v>145000</v>
      </c>
      <c r="E1823" s="2351">
        <f>C1823</f>
        <v>681000</v>
      </c>
    </row>
    <row r="1824" spans="1:5" s="2112" customFormat="1" ht="19.5" thickBot="1" x14ac:dyDescent="0.25">
      <c r="A1824" s="2046">
        <v>22020400</v>
      </c>
      <c r="B1824" s="2191" t="s">
        <v>67</v>
      </c>
      <c r="C1824" s="2196">
        <f>SUM(C1825:C1826)</f>
        <v>2175256.6</v>
      </c>
      <c r="D1824" s="2355">
        <f>SUM(D1825:D1826)</f>
        <v>1050500</v>
      </c>
      <c r="E1824" s="2198">
        <f>SUM(E1825:E1826)</f>
        <v>2175256.6</v>
      </c>
    </row>
    <row r="1825" spans="1:5" s="2112" customFormat="1" ht="18.75" x14ac:dyDescent="0.2">
      <c r="A1825" s="2049">
        <v>22020401</v>
      </c>
      <c r="B1825" s="2146" t="s">
        <v>79</v>
      </c>
      <c r="C1825" s="2051">
        <v>360000</v>
      </c>
      <c r="D1825" s="2051">
        <v>192000</v>
      </c>
      <c r="E1825" s="2444">
        <f>C1825</f>
        <v>360000</v>
      </c>
    </row>
    <row r="1826" spans="1:5" s="2112" customFormat="1" ht="18.75" x14ac:dyDescent="0.2">
      <c r="A1826" s="2049">
        <v>22020406</v>
      </c>
      <c r="B1826" s="2146" t="s">
        <v>29</v>
      </c>
      <c r="C1826" s="2051">
        <v>1815256.6</v>
      </c>
      <c r="D1826" s="2051">
        <v>858500</v>
      </c>
      <c r="E1826" s="2444">
        <f>C1826</f>
        <v>1815256.6</v>
      </c>
    </row>
    <row r="1827" spans="1:5" s="2112" customFormat="1" ht="19.5" thickBot="1" x14ac:dyDescent="0.35">
      <c r="A1827" s="2445"/>
      <c r="B1827" s="2446"/>
      <c r="C1827" s="2147"/>
      <c r="D1827" s="2147"/>
      <c r="E1827" s="2147"/>
    </row>
    <row r="1828" spans="1:5" s="2112" customFormat="1" ht="19.5" thickBot="1" x14ac:dyDescent="0.25">
      <c r="A1828" s="2150"/>
      <c r="B1828" s="2151" t="s">
        <v>2627</v>
      </c>
      <c r="C1828" s="2199">
        <f>C1818+C1821+C1824</f>
        <v>4207516.5999999996</v>
      </c>
      <c r="D1828" s="2199">
        <f>D1818+D1821+D1824</f>
        <v>1866500</v>
      </c>
      <c r="E1828" s="2199">
        <f>E1818+E1821+E1824</f>
        <v>4207516.5999999996</v>
      </c>
    </row>
    <row r="1829" spans="1:5" s="2112" customFormat="1" ht="18.75" x14ac:dyDescent="0.2">
      <c r="A1829" s="2447"/>
      <c r="B1829" s="2448"/>
      <c r="C1829" s="2449"/>
      <c r="D1829" s="2449"/>
      <c r="E1829" s="2449"/>
    </row>
    <row r="1830" spans="1:5" s="198" customFormat="1" x14ac:dyDescent="0.3">
      <c r="A1830" s="3477" t="s">
        <v>81</v>
      </c>
      <c r="B1830" s="3477"/>
      <c r="C1830" s="3477"/>
      <c r="D1830" s="3477"/>
      <c r="E1830" s="3477"/>
    </row>
    <row r="1831" spans="1:5" s="198" customFormat="1" ht="21" thickBot="1" x14ac:dyDescent="0.35">
      <c r="A1831" s="3476" t="s">
        <v>144</v>
      </c>
      <c r="B1831" s="3476"/>
      <c r="C1831" s="3476"/>
      <c r="D1831" s="3476"/>
      <c r="E1831" s="3476"/>
    </row>
    <row r="1832" spans="1:5" s="198" customFormat="1" ht="81.75" thickBot="1" x14ac:dyDescent="0.35">
      <c r="A1832" s="2004" t="s">
        <v>1014</v>
      </c>
      <c r="B1832" s="2004" t="s">
        <v>282</v>
      </c>
      <c r="C1832" s="173" t="s">
        <v>1174</v>
      </c>
      <c r="D1832" s="173" t="s">
        <v>1145</v>
      </c>
      <c r="E1832" s="173" t="s">
        <v>3096</v>
      </c>
    </row>
    <row r="1833" spans="1:5" s="198" customFormat="1" x14ac:dyDescent="0.3">
      <c r="A1833" s="2019"/>
      <c r="B1833" s="2020"/>
      <c r="C1833" s="2023"/>
      <c r="D1833" s="2022"/>
      <c r="E1833" s="2023"/>
    </row>
    <row r="1834" spans="1:5" s="198" customFormat="1" ht="21" thickBot="1" x14ac:dyDescent="0.35">
      <c r="A1834" s="1993">
        <v>22020100</v>
      </c>
      <c r="B1834" s="2010" t="s">
        <v>64</v>
      </c>
      <c r="C1834" s="2389">
        <f>SUM(C1835:C1836)</f>
        <v>2543433</v>
      </c>
      <c r="D1834" s="2450">
        <f>SUM(D1835:D1836)</f>
        <v>684101</v>
      </c>
      <c r="E1834" s="2389">
        <f>SUM(E1835:E1837)</f>
        <v>8500000</v>
      </c>
    </row>
    <row r="1835" spans="1:5" s="198" customFormat="1" x14ac:dyDescent="0.3">
      <c r="A1835" s="1861">
        <v>22020101</v>
      </c>
      <c r="B1835" s="151" t="s">
        <v>3313</v>
      </c>
      <c r="C1835" s="152">
        <v>148470</v>
      </c>
      <c r="D1835" s="152">
        <v>65751</v>
      </c>
      <c r="E1835" s="152">
        <v>500000</v>
      </c>
    </row>
    <row r="1836" spans="1:5" s="198" customFormat="1" x14ac:dyDescent="0.3">
      <c r="A1836" s="1861">
        <v>22020102</v>
      </c>
      <c r="B1836" s="151" t="s">
        <v>10</v>
      </c>
      <c r="C1836" s="152">
        <v>2394963</v>
      </c>
      <c r="D1836" s="152">
        <v>618350</v>
      </c>
      <c r="E1836" s="152">
        <v>2000000</v>
      </c>
    </row>
    <row r="1837" spans="1:5" s="198" customFormat="1" ht="21" thickBot="1" x14ac:dyDescent="0.35">
      <c r="A1837" s="1861">
        <v>22020103</v>
      </c>
      <c r="B1837" s="153" t="s">
        <v>2975</v>
      </c>
      <c r="C1837" s="152"/>
      <c r="D1837" s="152"/>
      <c r="E1837" s="152">
        <v>6000000</v>
      </c>
    </row>
    <row r="1838" spans="1:5" ht="21" thickBot="1" x14ac:dyDescent="0.25">
      <c r="A1838" s="1993">
        <v>22020300</v>
      </c>
      <c r="B1838" s="2010" t="s">
        <v>66</v>
      </c>
      <c r="C1838" s="1994">
        <f>SUM(C1839:C1841)</f>
        <v>1085112</v>
      </c>
      <c r="D1838" s="2011">
        <f>SUM(D1839:D1841)</f>
        <v>506010</v>
      </c>
      <c r="E1838" s="1994">
        <f>SUM(E1839:E1841)</f>
        <v>1812375</v>
      </c>
    </row>
    <row r="1839" spans="1:5" s="1997" customFormat="1" x14ac:dyDescent="0.2">
      <c r="A1839" s="1861">
        <v>22020301</v>
      </c>
      <c r="B1839" s="151" t="s">
        <v>17</v>
      </c>
      <c r="C1839" s="2037">
        <f>312375</f>
        <v>312375</v>
      </c>
      <c r="D1839" s="152">
        <v>459679</v>
      </c>
      <c r="E1839" s="1892">
        <v>1000000</v>
      </c>
    </row>
    <row r="1840" spans="1:5" s="1997" customFormat="1" x14ac:dyDescent="0.2">
      <c r="A1840" s="1861">
        <v>22020305</v>
      </c>
      <c r="B1840" s="151" t="s">
        <v>20</v>
      </c>
      <c r="C1840" s="152">
        <v>104622</v>
      </c>
      <c r="D1840" s="152">
        <v>46331</v>
      </c>
      <c r="E1840" s="152">
        <v>500000</v>
      </c>
    </row>
    <row r="1841" spans="1:5" ht="21" thickBot="1" x14ac:dyDescent="0.25">
      <c r="A1841" s="1861">
        <v>22020306</v>
      </c>
      <c r="B1841" s="2024" t="s">
        <v>1147</v>
      </c>
      <c r="C1841" s="152">
        <v>668115</v>
      </c>
      <c r="D1841" s="1892"/>
      <c r="E1841" s="152">
        <v>312375</v>
      </c>
    </row>
    <row r="1842" spans="1:5" ht="21" thickBot="1" x14ac:dyDescent="0.25">
      <c r="A1842" s="1993">
        <v>22020400</v>
      </c>
      <c r="B1842" s="2010" t="s">
        <v>67</v>
      </c>
      <c r="C1842" s="1994">
        <f>SUM(C1843:C1844)</f>
        <v>2229000</v>
      </c>
      <c r="D1842" s="2011">
        <f>SUM(D1843:D1844)</f>
        <v>1155700</v>
      </c>
      <c r="E1842" s="1994">
        <f>SUM(E1843:E1844)</f>
        <v>2700000</v>
      </c>
    </row>
    <row r="1843" spans="1:5" x14ac:dyDescent="0.2">
      <c r="A1843" s="1861">
        <v>22020401</v>
      </c>
      <c r="B1843" s="2024" t="s">
        <v>79</v>
      </c>
      <c r="C1843" s="152">
        <v>1029000</v>
      </c>
      <c r="D1843" s="152">
        <v>455700</v>
      </c>
      <c r="E1843" s="152">
        <v>1500000</v>
      </c>
    </row>
    <row r="1844" spans="1:5" ht="21" thickBot="1" x14ac:dyDescent="0.25">
      <c r="A1844" s="2039">
        <v>22020406</v>
      </c>
      <c r="B1844" s="2040" t="s">
        <v>29</v>
      </c>
      <c r="C1844" s="1892">
        <v>1200000</v>
      </c>
      <c r="D1844" s="1892">
        <v>700000</v>
      </c>
      <c r="E1844" s="1892">
        <v>1200000</v>
      </c>
    </row>
    <row r="1845" spans="1:5" ht="21" thickBot="1" x14ac:dyDescent="0.25">
      <c r="A1845" s="1993">
        <v>22021000</v>
      </c>
      <c r="B1845" s="2010" t="s">
        <v>73</v>
      </c>
      <c r="C1845" s="2012">
        <f>SUM(C1846:C1847)</f>
        <v>36623839</v>
      </c>
      <c r="D1845" s="2011">
        <f>SUM(D1846:D1847)</f>
        <v>103554</v>
      </c>
      <c r="E1845" s="2012">
        <f>SUM(E1846:E1847)</f>
        <v>31390000</v>
      </c>
    </row>
    <row r="1846" spans="1:5" x14ac:dyDescent="0.2">
      <c r="A1846" s="1861">
        <v>22021001</v>
      </c>
      <c r="B1846" s="151" t="s">
        <v>41</v>
      </c>
      <c r="C1846" s="152">
        <v>233839</v>
      </c>
      <c r="D1846" s="152">
        <v>103554</v>
      </c>
      <c r="E1846" s="152">
        <v>1000000</v>
      </c>
    </row>
    <row r="1847" spans="1:5" ht="21" thickBot="1" x14ac:dyDescent="0.25">
      <c r="A1847" s="1861">
        <v>22021042</v>
      </c>
      <c r="B1847" s="151" t="s">
        <v>225</v>
      </c>
      <c r="C1847" s="1892">
        <v>36390000</v>
      </c>
      <c r="D1847" s="1892"/>
      <c r="E1847" s="1892">
        <v>30390000</v>
      </c>
    </row>
    <row r="1848" spans="1:5" ht="21" thickBot="1" x14ac:dyDescent="0.25">
      <c r="A1848" s="1993">
        <v>22020100</v>
      </c>
      <c r="B1848" s="2010" t="s">
        <v>75</v>
      </c>
      <c r="C1848" s="2018">
        <f>SUM(C1849:C1853)</f>
        <v>1341541789</v>
      </c>
      <c r="D1848" s="2018">
        <f>SUM(D1849:D1853)</f>
        <v>734147792</v>
      </c>
      <c r="E1848" s="2018">
        <f>SUM(E1849:E1853)</f>
        <v>0</v>
      </c>
    </row>
    <row r="1849" spans="1:5" x14ac:dyDescent="0.2">
      <c r="A1849" s="2087">
        <v>22020405</v>
      </c>
      <c r="B1849" s="188" t="s">
        <v>3157</v>
      </c>
      <c r="C1849" s="152">
        <v>794011642</v>
      </c>
      <c r="D1849" s="152">
        <v>583602900</v>
      </c>
      <c r="E1849" s="152"/>
    </row>
    <row r="1850" spans="1:5" x14ac:dyDescent="0.2">
      <c r="A1850" s="2087">
        <v>22020405</v>
      </c>
      <c r="B1850" s="178" t="s">
        <v>1113</v>
      </c>
      <c r="C1850" s="152">
        <v>241003362</v>
      </c>
      <c r="D1850" s="152">
        <v>22877650</v>
      </c>
      <c r="E1850" s="152"/>
    </row>
    <row r="1851" spans="1:5" ht="22.5" customHeight="1" x14ac:dyDescent="0.2">
      <c r="A1851" s="2087">
        <v>22020405</v>
      </c>
      <c r="B1851" s="178" t="s">
        <v>1114</v>
      </c>
      <c r="C1851" s="2075">
        <v>155173028</v>
      </c>
      <c r="D1851" s="152">
        <v>99917177</v>
      </c>
      <c r="E1851" s="152"/>
    </row>
    <row r="1852" spans="1:5" x14ac:dyDescent="0.2">
      <c r="A1852" s="2087">
        <v>22020405</v>
      </c>
      <c r="B1852" s="188" t="s">
        <v>1235</v>
      </c>
      <c r="C1852" s="2075">
        <v>104332542</v>
      </c>
      <c r="D1852" s="152">
        <v>7317616</v>
      </c>
      <c r="E1852" s="152"/>
    </row>
    <row r="1853" spans="1:5" x14ac:dyDescent="0.3">
      <c r="A1853" s="2087">
        <v>22020405</v>
      </c>
      <c r="B1853" s="184" t="s">
        <v>1115</v>
      </c>
      <c r="C1853" s="2075">
        <v>47021215</v>
      </c>
      <c r="D1853" s="152">
        <v>20432449</v>
      </c>
      <c r="E1853" s="152"/>
    </row>
    <row r="1854" spans="1:5" ht="21" thickBot="1" x14ac:dyDescent="0.35">
      <c r="A1854" s="2109"/>
      <c r="B1854" s="2010"/>
      <c r="C1854" s="3147"/>
      <c r="D1854" s="2097"/>
      <c r="E1854" s="2097"/>
    </row>
    <row r="1855" spans="1:5" ht="21" thickBot="1" x14ac:dyDescent="0.25">
      <c r="A1855" s="2177"/>
      <c r="B1855" s="2105" t="s">
        <v>1364</v>
      </c>
      <c r="C1855" s="2062">
        <f>SUM(C1834,C1838,C1842,C1845,C1848)</f>
        <v>1384023173</v>
      </c>
      <c r="D1855" s="2018">
        <f>SUM(D1834,D1838,D1842,D1845,D1848)</f>
        <v>736597157</v>
      </c>
      <c r="E1855" s="2018">
        <f>SUM(E1834,E1838,E1842,E1845,E1848)</f>
        <v>44402375</v>
      </c>
    </row>
    <row r="1856" spans="1:5" x14ac:dyDescent="0.2">
      <c r="A1856" s="2043"/>
      <c r="B1856" s="2044"/>
      <c r="C1856" s="2451"/>
      <c r="D1856" s="2451"/>
      <c r="E1856" s="2451"/>
    </row>
    <row r="1857" spans="1:5" s="2235" customFormat="1" ht="17.25" x14ac:dyDescent="0.2">
      <c r="A1857" s="3493" t="s">
        <v>1475</v>
      </c>
      <c r="B1857" s="3493"/>
      <c r="C1857" s="3493"/>
      <c r="D1857" s="3493"/>
      <c r="E1857" s="3493"/>
    </row>
    <row r="1858" spans="1:5" s="2235" customFormat="1" ht="17.25" x14ac:dyDescent="0.2">
      <c r="A1858" s="3493" t="s">
        <v>1050</v>
      </c>
      <c r="B1858" s="3493"/>
      <c r="C1858" s="3493"/>
      <c r="D1858" s="3493"/>
      <c r="E1858" s="3493"/>
    </row>
    <row r="1859" spans="1:5" s="2235" customFormat="1" ht="18" thickBot="1" x14ac:dyDescent="0.25">
      <c r="A1859" s="3493" t="s">
        <v>1704</v>
      </c>
      <c r="B1859" s="3493"/>
      <c r="C1859" s="3493"/>
      <c r="D1859" s="3493"/>
      <c r="E1859" s="3493"/>
    </row>
    <row r="1860" spans="1:5" s="2235" customFormat="1" ht="52.5" thickBot="1" x14ac:dyDescent="0.25">
      <c r="A1860" s="2512" t="s">
        <v>1014</v>
      </c>
      <c r="B1860" s="2513" t="s">
        <v>282</v>
      </c>
      <c r="C1860" s="2514" t="s">
        <v>1807</v>
      </c>
      <c r="D1860" s="2515" t="s">
        <v>1558</v>
      </c>
      <c r="E1860" s="2516" t="s">
        <v>1705</v>
      </c>
    </row>
    <row r="1861" spans="1:5" s="2235" customFormat="1" ht="18" thickBot="1" x14ac:dyDescent="0.25">
      <c r="A1861" s="2517">
        <v>22020100</v>
      </c>
      <c r="B1861" s="2518" t="s">
        <v>700</v>
      </c>
      <c r="C1861" s="2251"/>
      <c r="D1861" s="2253"/>
      <c r="E1861" s="2328">
        <f>SUM(E1862:E1863)</f>
        <v>3000000</v>
      </c>
    </row>
    <row r="1862" spans="1:5" s="2235" customFormat="1" ht="17.25" x14ac:dyDescent="0.2">
      <c r="A1862" s="2241">
        <v>22020101</v>
      </c>
      <c r="B1862" s="2242" t="s">
        <v>9</v>
      </c>
      <c r="C1862" s="2250"/>
      <c r="D1862" s="2250"/>
      <c r="E1862" s="2250">
        <v>1000000</v>
      </c>
    </row>
    <row r="1863" spans="1:5" s="2235" customFormat="1" ht="18" thickBot="1" x14ac:dyDescent="0.25">
      <c r="A1863" s="2241">
        <v>22020102</v>
      </c>
      <c r="B1863" s="2242" t="s">
        <v>10</v>
      </c>
      <c r="C1863" s="2243"/>
      <c r="D1863" s="2243"/>
      <c r="E1863" s="2243">
        <v>2000000</v>
      </c>
    </row>
    <row r="1864" spans="1:5" s="2235" customFormat="1" ht="18" thickBot="1" x14ac:dyDescent="0.25">
      <c r="A1864" s="2247">
        <v>22020200</v>
      </c>
      <c r="B1864" s="2248" t="s">
        <v>1706</v>
      </c>
      <c r="C1864" s="2251"/>
      <c r="D1864" s="2253"/>
      <c r="E1864" s="2328">
        <f>SUM(E1865:E1866)</f>
        <v>2049700</v>
      </c>
    </row>
    <row r="1865" spans="1:5" s="2235" customFormat="1" ht="17.25" x14ac:dyDescent="0.2">
      <c r="A1865" s="2241">
        <v>22020201</v>
      </c>
      <c r="B1865" s="2242" t="s">
        <v>13</v>
      </c>
      <c r="C1865" s="2250"/>
      <c r="D1865" s="2250"/>
      <c r="E1865" s="2250">
        <v>49700</v>
      </c>
    </row>
    <row r="1866" spans="1:5" s="2329" customFormat="1" ht="18" thickBot="1" x14ac:dyDescent="0.3">
      <c r="A1866" s="2241">
        <v>22020202</v>
      </c>
      <c r="B1866" s="2242" t="s">
        <v>1707</v>
      </c>
      <c r="C1866" s="2243"/>
      <c r="D1866" s="2243"/>
      <c r="E1866" s="2243">
        <v>2000000</v>
      </c>
    </row>
    <row r="1867" spans="1:5" s="2329" customFormat="1" ht="18" thickBot="1" x14ac:dyDescent="0.3">
      <c r="A1867" s="2247">
        <v>22020300</v>
      </c>
      <c r="B1867" s="2248" t="s">
        <v>1708</v>
      </c>
      <c r="C1867" s="2251"/>
      <c r="D1867" s="2253"/>
      <c r="E1867" s="2328">
        <f>SUM(E1868:E1869)</f>
        <v>4974595</v>
      </c>
    </row>
    <row r="1868" spans="1:5" s="2519" customFormat="1" ht="17.25" x14ac:dyDescent="0.25">
      <c r="A1868" s="2241">
        <v>22020301</v>
      </c>
      <c r="B1868" s="2242" t="s">
        <v>1709</v>
      </c>
      <c r="C1868" s="2252"/>
      <c r="D1868" s="2252"/>
      <c r="E1868" s="2252">
        <v>800000</v>
      </c>
    </row>
    <row r="1869" spans="1:5" s="2329" customFormat="1" ht="18" thickBot="1" x14ac:dyDescent="0.3">
      <c r="A1869" s="2241">
        <v>22020302</v>
      </c>
      <c r="B1869" s="2242" t="s">
        <v>1148</v>
      </c>
      <c r="C1869" s="2244"/>
      <c r="D1869" s="2244"/>
      <c r="E1869" s="2244">
        <v>4174595</v>
      </c>
    </row>
    <row r="1870" spans="1:5" s="2329" customFormat="1" ht="18" thickBot="1" x14ac:dyDescent="0.3">
      <c r="A1870" s="2247">
        <v>22020400</v>
      </c>
      <c r="B1870" s="2248" t="s">
        <v>67</v>
      </c>
      <c r="C1870" s="2251"/>
      <c r="D1870" s="2253"/>
      <c r="E1870" s="2328">
        <f>SUM(E1871:E1876)</f>
        <v>35489115</v>
      </c>
    </row>
    <row r="1871" spans="1:5" s="2329" customFormat="1" ht="17.25" x14ac:dyDescent="0.25">
      <c r="A1871" s="2241">
        <v>22020401</v>
      </c>
      <c r="B1871" s="2242" t="s">
        <v>1710</v>
      </c>
      <c r="C1871" s="2252"/>
      <c r="D1871" s="2252"/>
      <c r="E1871" s="2252">
        <v>2500000</v>
      </c>
    </row>
    <row r="1872" spans="1:5" s="2329" customFormat="1" ht="17.25" x14ac:dyDescent="0.25">
      <c r="A1872" s="2241">
        <v>22020402</v>
      </c>
      <c r="B1872" s="2242" t="s">
        <v>1711</v>
      </c>
      <c r="C1872" s="2250"/>
      <c r="D1872" s="2252"/>
      <c r="E1872" s="2250">
        <v>100000</v>
      </c>
    </row>
    <row r="1873" spans="1:5" s="2329" customFormat="1" ht="17.25" x14ac:dyDescent="0.25">
      <c r="A1873" s="2241">
        <v>22020403</v>
      </c>
      <c r="B1873" s="2242" t="s">
        <v>1712</v>
      </c>
      <c r="C1873" s="2250"/>
      <c r="D1873" s="2250"/>
      <c r="E1873" s="2250">
        <v>1394115</v>
      </c>
    </row>
    <row r="1874" spans="1:5" s="2329" customFormat="1" ht="17.25" x14ac:dyDescent="0.25">
      <c r="A1874" s="2241">
        <v>22020404</v>
      </c>
      <c r="B1874" s="2242" t="s">
        <v>1713</v>
      </c>
      <c r="C1874" s="2252"/>
      <c r="D1874" s="2252"/>
      <c r="E1874" s="2252">
        <v>300000</v>
      </c>
    </row>
    <row r="1875" spans="1:5" s="2329" customFormat="1" ht="17.25" x14ac:dyDescent="0.25">
      <c r="A1875" s="2241">
        <v>22020405</v>
      </c>
      <c r="B1875" s="2242" t="s">
        <v>1714</v>
      </c>
      <c r="C1875" s="2250"/>
      <c r="D1875" s="2250"/>
      <c r="E1875" s="2250">
        <v>8500000</v>
      </c>
    </row>
    <row r="1876" spans="1:5" s="2329" customFormat="1" ht="18" thickBot="1" x14ac:dyDescent="0.3">
      <c r="A1876" s="2241">
        <v>22020414</v>
      </c>
      <c r="B1876" s="2330" t="s">
        <v>3337</v>
      </c>
      <c r="C1876" s="2520"/>
      <c r="D1876" s="2520"/>
      <c r="E1876" s="2520">
        <v>22695000</v>
      </c>
    </row>
    <row r="1877" spans="1:5" s="2329" customFormat="1" ht="18.75" thickBot="1" x14ac:dyDescent="0.35">
      <c r="A1877" s="2247">
        <v>22020500</v>
      </c>
      <c r="B1877" s="2248" t="s">
        <v>68</v>
      </c>
      <c r="C1877" s="2522"/>
      <c r="D1877" s="2523"/>
      <c r="E1877" s="2524">
        <f>SUM(E1878)</f>
        <v>500000</v>
      </c>
    </row>
    <row r="1878" spans="1:5" s="2329" customFormat="1" ht="18" thickBot="1" x14ac:dyDescent="0.3">
      <c r="A1878" s="2241">
        <v>22020501</v>
      </c>
      <c r="B1878" s="2521" t="s">
        <v>1479</v>
      </c>
      <c r="C1878" s="2244"/>
      <c r="D1878" s="2244"/>
      <c r="E1878" s="2244">
        <v>500000</v>
      </c>
    </row>
    <row r="1879" spans="1:5" s="2329" customFormat="1" ht="18.75" thickBot="1" x14ac:dyDescent="0.35">
      <c r="A1879" s="2247">
        <v>22020600</v>
      </c>
      <c r="B1879" s="2248" t="s">
        <v>1715</v>
      </c>
      <c r="C1879" s="2526"/>
      <c r="D1879" s="2527"/>
      <c r="E1879" s="2524">
        <f>SUM(E1880)</f>
        <v>2700000</v>
      </c>
    </row>
    <row r="1880" spans="1:5" s="2329" customFormat="1" ht="18.75" thickBot="1" x14ac:dyDescent="0.35">
      <c r="A1880" s="2241">
        <v>22020601</v>
      </c>
      <c r="B1880" s="2521" t="s">
        <v>1716</v>
      </c>
      <c r="C1880" s="2244"/>
      <c r="D1880" s="2525"/>
      <c r="E1880" s="2244">
        <v>2700000</v>
      </c>
    </row>
    <row r="1881" spans="1:5" s="2329" customFormat="1" ht="18" thickBot="1" x14ac:dyDescent="0.3">
      <c r="A1881" s="2247">
        <v>22021000</v>
      </c>
      <c r="B1881" s="2248" t="s">
        <v>542</v>
      </c>
      <c r="C1881" s="3373"/>
      <c r="D1881" s="2524"/>
      <c r="E1881" s="2524">
        <f>SUM(E1882:E1884)</f>
        <v>6300000</v>
      </c>
    </row>
    <row r="1882" spans="1:5" s="2329" customFormat="1" ht="17.25" x14ac:dyDescent="0.25">
      <c r="A1882" s="2241">
        <v>22021001</v>
      </c>
      <c r="B1882" s="2528" t="s">
        <v>41</v>
      </c>
      <c r="C1882" s="3374"/>
      <c r="D1882" s="3215"/>
      <c r="E1882" s="3215">
        <v>4500000</v>
      </c>
    </row>
    <row r="1883" spans="1:5" s="2329" customFormat="1" ht="17.25" x14ac:dyDescent="0.25">
      <c r="A1883" s="2241">
        <v>22021004</v>
      </c>
      <c r="B1883" s="2528" t="s">
        <v>709</v>
      </c>
      <c r="C1883" s="3375"/>
      <c r="D1883" s="2529"/>
      <c r="E1883" s="2529">
        <v>300000</v>
      </c>
    </row>
    <row r="1884" spans="1:5" s="2329" customFormat="1" ht="17.25" x14ac:dyDescent="0.25">
      <c r="A1884" s="2241">
        <v>22020103</v>
      </c>
      <c r="B1884" s="2528" t="s">
        <v>42</v>
      </c>
      <c r="C1884" s="3375"/>
      <c r="D1884" s="2529"/>
      <c r="E1884" s="2529">
        <v>1500000</v>
      </c>
    </row>
    <row r="1885" spans="1:5" s="2329" customFormat="1" ht="18" thickBot="1" x14ac:dyDescent="0.3">
      <c r="A1885" s="2528"/>
      <c r="B1885" s="2248"/>
      <c r="C1885" s="3376"/>
      <c r="D1885" s="3216"/>
      <c r="E1885" s="3216"/>
    </row>
    <row r="1886" spans="1:5" s="2329" customFormat="1" ht="18" thickBot="1" x14ac:dyDescent="0.3">
      <c r="A1886" s="2528"/>
      <c r="B1886" s="3378" t="s">
        <v>1832</v>
      </c>
      <c r="C1886" s="3377"/>
      <c r="D1886" s="2530"/>
      <c r="E1886" s="2531">
        <f>E1881+E1879+E1877+E1870+E1867+E1864+E1861</f>
        <v>55013410</v>
      </c>
    </row>
    <row r="1887" spans="1:5" s="2048" customFormat="1" ht="18.75" x14ac:dyDescent="0.2">
      <c r="A1887" s="3492" t="s">
        <v>1475</v>
      </c>
      <c r="B1887" s="3492"/>
      <c r="C1887" s="3492"/>
      <c r="D1887" s="3492"/>
      <c r="E1887" s="3492"/>
    </row>
    <row r="1888" spans="1:5" s="2148" customFormat="1" ht="19.5" thickBot="1" x14ac:dyDescent="0.3">
      <c r="A1888" s="3488" t="s">
        <v>1824</v>
      </c>
      <c r="B1888" s="3488"/>
      <c r="C1888" s="3488"/>
      <c r="D1888" s="3488"/>
      <c r="E1888" s="3488"/>
    </row>
    <row r="1889" spans="1:5" s="2532" customFormat="1" ht="32.25" thickBot="1" x14ac:dyDescent="0.3">
      <c r="A1889" s="2261" t="s">
        <v>1014</v>
      </c>
      <c r="B1889" s="2261" t="s">
        <v>282</v>
      </c>
      <c r="C1889" s="2480" t="s">
        <v>1174</v>
      </c>
      <c r="D1889" s="2262" t="s">
        <v>1145</v>
      </c>
      <c r="E1889" s="2480" t="s">
        <v>3096</v>
      </c>
    </row>
    <row r="1890" spans="1:5" s="2329" customFormat="1" ht="18" thickBot="1" x14ac:dyDescent="0.3">
      <c r="A1890" s="2238">
        <v>22020100</v>
      </c>
      <c r="B1890" s="2239" t="s">
        <v>64</v>
      </c>
      <c r="C1890" s="2537"/>
      <c r="D1890" s="2258"/>
      <c r="E1890" s="2246">
        <f>SUM(E1891:E1892)</f>
        <v>24000000</v>
      </c>
    </row>
    <row r="1891" spans="1:5" s="2329" customFormat="1" ht="17.25" x14ac:dyDescent="0.25">
      <c r="A1891" s="2241">
        <v>22020101</v>
      </c>
      <c r="B1891" s="2242" t="s">
        <v>3303</v>
      </c>
      <c r="C1891" s="2250"/>
      <c r="D1891" s="2250"/>
      <c r="E1891" s="2250">
        <v>5000000</v>
      </c>
    </row>
    <row r="1892" spans="1:5" s="2329" customFormat="1" ht="18" thickBot="1" x14ac:dyDescent="0.3">
      <c r="A1892" s="2241">
        <v>22020102</v>
      </c>
      <c r="B1892" s="2242" t="s">
        <v>10</v>
      </c>
      <c r="C1892" s="2250"/>
      <c r="D1892" s="2250"/>
      <c r="E1892" s="2250">
        <v>19000000</v>
      </c>
    </row>
    <row r="1893" spans="1:5" s="2329" customFormat="1" ht="18" thickBot="1" x14ac:dyDescent="0.3">
      <c r="A1893" s="2247">
        <v>22020300</v>
      </c>
      <c r="B1893" s="2248" t="s">
        <v>66</v>
      </c>
      <c r="C1893" s="2537"/>
      <c r="D1893" s="2258"/>
      <c r="E1893" s="2246">
        <f>SUM(E1894:E1895)</f>
        <v>20500000</v>
      </c>
    </row>
    <row r="1894" spans="1:5" s="2329" customFormat="1" ht="17.25" x14ac:dyDescent="0.25">
      <c r="A1894" s="2241">
        <v>22020301</v>
      </c>
      <c r="B1894" s="2242" t="s">
        <v>17</v>
      </c>
      <c r="C1894" s="2250"/>
      <c r="D1894" s="2250"/>
      <c r="E1894" s="2250">
        <v>20000000</v>
      </c>
    </row>
    <row r="1895" spans="1:5" s="2329" customFormat="1" ht="18" thickBot="1" x14ac:dyDescent="0.3">
      <c r="A1895" s="2241">
        <v>22020304</v>
      </c>
      <c r="B1895" s="2242" t="s">
        <v>724</v>
      </c>
      <c r="C1895" s="2536"/>
      <c r="D1895" s="2536"/>
      <c r="E1895" s="2240">
        <v>500000</v>
      </c>
    </row>
    <row r="1896" spans="1:5" s="2329" customFormat="1" ht="18" thickBot="1" x14ac:dyDescent="0.3">
      <c r="A1896" s="2247">
        <v>22020400</v>
      </c>
      <c r="B1896" s="2538" t="s">
        <v>67</v>
      </c>
      <c r="C1896" s="2537"/>
      <c r="D1896" s="2258"/>
      <c r="E1896" s="2246">
        <f>SUM(E1897:E1904)</f>
        <v>641747000</v>
      </c>
    </row>
    <row r="1897" spans="1:5" s="2329" customFormat="1" ht="17.25" x14ac:dyDescent="0.25">
      <c r="A1897" s="2241">
        <v>22020401</v>
      </c>
      <c r="B1897" s="2242" t="s">
        <v>79</v>
      </c>
      <c r="C1897" s="2250"/>
      <c r="D1897" s="2250"/>
      <c r="E1897" s="2250">
        <v>9000000</v>
      </c>
    </row>
    <row r="1898" spans="1:5" s="2329" customFormat="1" ht="17.25" x14ac:dyDescent="0.25">
      <c r="A1898" s="2241">
        <v>22020402</v>
      </c>
      <c r="B1898" s="2242" t="s">
        <v>182</v>
      </c>
      <c r="C1898" s="2250"/>
      <c r="D1898" s="2250"/>
      <c r="E1898" s="2250">
        <v>3000000</v>
      </c>
    </row>
    <row r="1899" spans="1:5" s="2329" customFormat="1" ht="17.25" x14ac:dyDescent="0.25">
      <c r="A1899" s="2241">
        <v>22020406</v>
      </c>
      <c r="B1899" s="2242" t="s">
        <v>29</v>
      </c>
      <c r="C1899" s="2250"/>
      <c r="D1899" s="2250"/>
      <c r="E1899" s="2250">
        <v>10000000</v>
      </c>
    </row>
    <row r="1900" spans="1:5" s="2329" customFormat="1" ht="17.25" x14ac:dyDescent="0.25">
      <c r="A1900" s="2241">
        <v>22020406</v>
      </c>
      <c r="B1900" s="2330" t="s">
        <v>3297</v>
      </c>
      <c r="C1900" s="2520"/>
      <c r="D1900" s="2520"/>
      <c r="E1900" s="2520">
        <v>589747000</v>
      </c>
    </row>
    <row r="1901" spans="1:5" s="2329" customFormat="1" ht="17.25" x14ac:dyDescent="0.25">
      <c r="A1901" s="2241">
        <v>22020405</v>
      </c>
      <c r="B1901" s="2330" t="s">
        <v>1825</v>
      </c>
      <c r="C1901" s="2250"/>
      <c r="D1901" s="2539"/>
      <c r="E1901" s="2250">
        <v>5000000</v>
      </c>
    </row>
    <row r="1902" spans="1:5" s="2329" customFormat="1" ht="17.25" x14ac:dyDescent="0.25">
      <c r="A1902" s="2241">
        <v>22020402</v>
      </c>
      <c r="B1902" s="2330" t="s">
        <v>1826</v>
      </c>
      <c r="C1902" s="2250"/>
      <c r="D1902" s="2540"/>
      <c r="E1902" s="2250">
        <v>10000000</v>
      </c>
    </row>
    <row r="1903" spans="1:5" s="2329" customFormat="1" ht="17.25" x14ac:dyDescent="0.25">
      <c r="A1903" s="2241">
        <v>22020415</v>
      </c>
      <c r="B1903" s="2330" t="s">
        <v>1827</v>
      </c>
      <c r="C1903" s="2250"/>
      <c r="D1903" s="2539"/>
      <c r="E1903" s="2250">
        <v>10000000</v>
      </c>
    </row>
    <row r="1904" spans="1:5" s="2329" customFormat="1" ht="18" thickBot="1" x14ac:dyDescent="0.3">
      <c r="A1904" s="2241">
        <v>22020411</v>
      </c>
      <c r="B1904" s="2541" t="s">
        <v>1828</v>
      </c>
      <c r="C1904" s="2250"/>
      <c r="D1904" s="2539"/>
      <c r="E1904" s="2250">
        <v>5000000</v>
      </c>
    </row>
    <row r="1905" spans="1:5" s="2329" customFormat="1" ht="18" thickBot="1" x14ac:dyDescent="0.3">
      <c r="A1905" s="2247">
        <v>22020800</v>
      </c>
      <c r="B1905" s="2245" t="s">
        <v>71</v>
      </c>
      <c r="C1905" s="2258"/>
      <c r="D1905" s="2258"/>
      <c r="E1905" s="2246">
        <f>SUM(E1906:E1906)</f>
        <v>14000000</v>
      </c>
    </row>
    <row r="1906" spans="1:5" s="2329" customFormat="1" ht="18" thickBot="1" x14ac:dyDescent="0.3">
      <c r="A1906" s="2241">
        <v>22020803</v>
      </c>
      <c r="B1906" s="2242" t="s">
        <v>115</v>
      </c>
      <c r="C1906" s="2252"/>
      <c r="D1906" s="2252"/>
      <c r="E1906" s="2252">
        <v>14000000</v>
      </c>
    </row>
    <row r="1907" spans="1:5" s="2329" customFormat="1" ht="18" thickBot="1" x14ac:dyDescent="0.3">
      <c r="A1907" s="2247">
        <v>22021000</v>
      </c>
      <c r="B1907" s="2248" t="s">
        <v>73</v>
      </c>
      <c r="C1907" s="2246"/>
      <c r="D1907" s="2543"/>
      <c r="E1907" s="2246">
        <f>SUM(E1908:E1916)</f>
        <v>25886642</v>
      </c>
    </row>
    <row r="1908" spans="1:5" s="2329" customFormat="1" ht="17.25" x14ac:dyDescent="0.25">
      <c r="A1908" s="2241">
        <v>22021001</v>
      </c>
      <c r="B1908" s="2242" t="s">
        <v>41</v>
      </c>
      <c r="C1908" s="2250"/>
      <c r="D1908" s="2250"/>
      <c r="E1908" s="2250">
        <v>2000000</v>
      </c>
    </row>
    <row r="1909" spans="1:5" s="2329" customFormat="1" ht="17.25" x14ac:dyDescent="0.25">
      <c r="A1909" s="2241">
        <v>22021002</v>
      </c>
      <c r="B1909" s="2242" t="s">
        <v>1701</v>
      </c>
      <c r="C1909" s="2250"/>
      <c r="D1909" s="2250"/>
      <c r="E1909" s="2250">
        <v>6000000</v>
      </c>
    </row>
    <row r="1910" spans="1:5" s="2329" customFormat="1" ht="17.25" x14ac:dyDescent="0.25">
      <c r="A1910" s="2241">
        <v>22021003</v>
      </c>
      <c r="B1910" s="2242" t="s">
        <v>42</v>
      </c>
      <c r="C1910" s="2250"/>
      <c r="D1910" s="2250"/>
      <c r="E1910" s="2250">
        <v>1000000</v>
      </c>
    </row>
    <row r="1911" spans="1:5" s="2329" customFormat="1" ht="17.25" x14ac:dyDescent="0.25">
      <c r="A1911" s="2241">
        <v>22021004</v>
      </c>
      <c r="B1911" s="2242" t="s">
        <v>142</v>
      </c>
      <c r="C1911" s="2250"/>
      <c r="D1911" s="2250"/>
      <c r="E1911" s="2250">
        <v>3186642</v>
      </c>
    </row>
    <row r="1912" spans="1:5" s="2329" customFormat="1" ht="17.25" x14ac:dyDescent="0.25">
      <c r="A1912" s="2241">
        <v>22021007</v>
      </c>
      <c r="B1912" s="2242" t="s">
        <v>44</v>
      </c>
      <c r="C1912" s="2250"/>
      <c r="D1912" s="2250"/>
      <c r="E1912" s="2250">
        <v>2000000</v>
      </c>
    </row>
    <row r="1913" spans="1:5" s="2329" customFormat="1" ht="17.25" x14ac:dyDescent="0.25">
      <c r="A1913" s="2241">
        <v>22021008</v>
      </c>
      <c r="B1913" s="2242" t="s">
        <v>45</v>
      </c>
      <c r="C1913" s="2250"/>
      <c r="D1913" s="2250"/>
      <c r="E1913" s="2250">
        <v>3000000</v>
      </c>
    </row>
    <row r="1914" spans="1:5" s="2329" customFormat="1" ht="17.25" x14ac:dyDescent="0.25">
      <c r="A1914" s="2241">
        <v>22021009</v>
      </c>
      <c r="B1914" s="2242" t="s">
        <v>46</v>
      </c>
      <c r="C1914" s="2250"/>
      <c r="D1914" s="2250"/>
      <c r="E1914" s="2250">
        <v>700000</v>
      </c>
    </row>
    <row r="1915" spans="1:5" s="2329" customFormat="1" ht="17.25" x14ac:dyDescent="0.25">
      <c r="A1915" s="2241">
        <v>22021010</v>
      </c>
      <c r="B1915" s="2242" t="s">
        <v>2946</v>
      </c>
      <c r="C1915" s="2250"/>
      <c r="D1915" s="2250"/>
      <c r="E1915" s="2250">
        <v>8000000</v>
      </c>
    </row>
    <row r="1916" spans="1:5" s="2329" customFormat="1" ht="17.25" x14ac:dyDescent="0.25">
      <c r="A1916" s="2241">
        <v>22021011</v>
      </c>
      <c r="B1916" s="2242" t="s">
        <v>2947</v>
      </c>
      <c r="C1916" s="2250"/>
      <c r="D1916" s="2250"/>
      <c r="E1916" s="2542">
        <v>0</v>
      </c>
    </row>
    <row r="1917" spans="1:5" s="2329" customFormat="1" ht="18" thickBot="1" x14ac:dyDescent="0.3">
      <c r="A1917" s="2247"/>
      <c r="B1917" s="2248"/>
      <c r="C1917" s="3380"/>
      <c r="D1917" s="3217"/>
      <c r="E1917" s="3217"/>
    </row>
    <row r="1918" spans="1:5" s="2329" customFormat="1" ht="18" thickBot="1" x14ac:dyDescent="0.3">
      <c r="A1918" s="2544"/>
      <c r="B1918" s="3381" t="s">
        <v>1834</v>
      </c>
      <c r="C1918" s="2543"/>
      <c r="D1918" s="2543"/>
      <c r="E1918" s="2543">
        <f>SUM(E1890,E1893,E1896,E1905,E1907)</f>
        <v>726133642</v>
      </c>
    </row>
    <row r="1919" spans="1:5" s="2048" customFormat="1" ht="18.75" x14ac:dyDescent="0.2">
      <c r="A1919" s="3492" t="s">
        <v>1475</v>
      </c>
      <c r="B1919" s="3492"/>
      <c r="C1919" s="3492"/>
      <c r="D1919" s="3492"/>
      <c r="E1919" s="3492"/>
    </row>
    <row r="1920" spans="1:5" s="2083" customFormat="1" x14ac:dyDescent="0.3">
      <c r="A1920" s="3477" t="s">
        <v>1050</v>
      </c>
      <c r="B1920" s="3477"/>
      <c r="C1920" s="3477"/>
      <c r="D1920" s="3477"/>
      <c r="E1920" s="3477"/>
    </row>
    <row r="1921" spans="1:5" s="2083" customFormat="1" ht="21" thickBot="1" x14ac:dyDescent="0.35">
      <c r="A1921" s="3476" t="s">
        <v>554</v>
      </c>
      <c r="B1921" s="3476"/>
      <c r="C1921" s="3476"/>
      <c r="D1921" s="3476"/>
      <c r="E1921" s="3476"/>
    </row>
    <row r="1922" spans="1:5" s="192" customFormat="1" ht="81.75" thickBot="1" x14ac:dyDescent="0.35">
      <c r="A1922" s="2004" t="s">
        <v>1014</v>
      </c>
      <c r="B1922" s="2004" t="s">
        <v>282</v>
      </c>
      <c r="C1922" s="2064" t="s">
        <v>1174</v>
      </c>
      <c r="D1922" s="173" t="s">
        <v>1145</v>
      </c>
      <c r="E1922" s="2064" t="s">
        <v>3096</v>
      </c>
    </row>
    <row r="1923" spans="1:5" s="2083" customFormat="1" ht="21" thickBot="1" x14ac:dyDescent="0.35">
      <c r="A1923" s="2454"/>
      <c r="B1923" s="2455"/>
      <c r="C1923" s="3218"/>
      <c r="D1923" s="3219"/>
      <c r="E1923" s="3220"/>
    </row>
    <row r="1924" spans="1:5" s="2083" customFormat="1" ht="21" thickBot="1" x14ac:dyDescent="0.35">
      <c r="A1924" s="1993">
        <v>22020100</v>
      </c>
      <c r="B1924" s="2010" t="s">
        <v>64</v>
      </c>
      <c r="C1924" s="3221"/>
      <c r="D1924" s="2067"/>
      <c r="E1924" s="2012">
        <f>SUM(E1925:E1925)</f>
        <v>9500000</v>
      </c>
    </row>
    <row r="1925" spans="1:5" s="2083" customFormat="1" ht="21" thickBot="1" x14ac:dyDescent="0.35">
      <c r="A1925" s="1861">
        <v>22020102</v>
      </c>
      <c r="B1925" s="151" t="s">
        <v>10</v>
      </c>
      <c r="C1925" s="152"/>
      <c r="D1925" s="152"/>
      <c r="E1925" s="152">
        <v>9500000</v>
      </c>
    </row>
    <row r="1926" spans="1:5" s="2083" customFormat="1" ht="21" thickBot="1" x14ac:dyDescent="0.35">
      <c r="A1926" s="1993">
        <v>22020300</v>
      </c>
      <c r="B1926" s="2010" t="s">
        <v>66</v>
      </c>
      <c r="C1926" s="2066"/>
      <c r="D1926" s="2067"/>
      <c r="E1926" s="2012">
        <f>SUM(E1927:E1928)</f>
        <v>6500000</v>
      </c>
    </row>
    <row r="1927" spans="1:5" s="2083" customFormat="1" x14ac:dyDescent="0.3">
      <c r="A1927" s="1861">
        <v>22020304</v>
      </c>
      <c r="B1927" s="151" t="s">
        <v>724</v>
      </c>
      <c r="C1927" s="152"/>
      <c r="D1927" s="152"/>
      <c r="E1927" s="152">
        <v>2000000</v>
      </c>
    </row>
    <row r="1928" spans="1:5" s="2083" customFormat="1" ht="21" thickBot="1" x14ac:dyDescent="0.35">
      <c r="A1928" s="1861">
        <v>22020307</v>
      </c>
      <c r="B1928" s="151" t="s">
        <v>725</v>
      </c>
      <c r="C1928" s="1892"/>
      <c r="D1928" s="1892"/>
      <c r="E1928" s="1892">
        <v>4500000</v>
      </c>
    </row>
    <row r="1929" spans="1:5" s="2083" customFormat="1" ht="21" thickBot="1" x14ac:dyDescent="0.35">
      <c r="A1929" s="1993">
        <v>22020400</v>
      </c>
      <c r="B1929" s="2010" t="s">
        <v>67</v>
      </c>
      <c r="C1929" s="2066"/>
      <c r="D1929" s="2067"/>
      <c r="E1929" s="2012">
        <f>SUM(E1930:E1931)</f>
        <v>594247000</v>
      </c>
    </row>
    <row r="1930" spans="1:5" s="2083" customFormat="1" x14ac:dyDescent="0.3">
      <c r="A1930" s="1861">
        <v>22020401</v>
      </c>
      <c r="B1930" s="151" t="s">
        <v>79</v>
      </c>
      <c r="C1930" s="1893"/>
      <c r="D1930" s="1893"/>
      <c r="E1930" s="1893">
        <v>4500000</v>
      </c>
    </row>
    <row r="1931" spans="1:5" s="2083" customFormat="1" ht="21" thickBot="1" x14ac:dyDescent="0.35">
      <c r="A1931" s="1861">
        <v>22020406</v>
      </c>
      <c r="B1931" s="178" t="s">
        <v>3297</v>
      </c>
      <c r="C1931" s="1845"/>
      <c r="D1931" s="1845"/>
      <c r="E1931" s="1845">
        <v>589747000</v>
      </c>
    </row>
    <row r="1932" spans="1:5" s="2083" customFormat="1" ht="21" thickBot="1" x14ac:dyDescent="0.35">
      <c r="A1932" s="1993">
        <v>22020800</v>
      </c>
      <c r="B1932" s="2010" t="s">
        <v>71</v>
      </c>
      <c r="C1932" s="2066"/>
      <c r="D1932" s="2067"/>
      <c r="E1932" s="2012">
        <f>SUM(E1933:E1933)</f>
        <v>4566157</v>
      </c>
    </row>
    <row r="1933" spans="1:5" s="2083" customFormat="1" ht="21" thickBot="1" x14ac:dyDescent="0.35">
      <c r="A1933" s="1861">
        <v>22020803</v>
      </c>
      <c r="B1933" s="151" t="s">
        <v>115</v>
      </c>
      <c r="C1933" s="2037"/>
      <c r="D1933" s="2037"/>
      <c r="E1933" s="2037">
        <v>4566157</v>
      </c>
    </row>
    <row r="1934" spans="1:5" s="2083" customFormat="1" ht="21" thickBot="1" x14ac:dyDescent="0.35">
      <c r="A1934" s="1993">
        <v>22021000</v>
      </c>
      <c r="B1934" s="2010" t="s">
        <v>73</v>
      </c>
      <c r="C1934" s="1994"/>
      <c r="D1934" s="2011"/>
      <c r="E1934" s="2012">
        <f>SUM(E1935:E1937)</f>
        <v>6188000</v>
      </c>
    </row>
    <row r="1935" spans="1:5" s="2083" customFormat="1" x14ac:dyDescent="0.3">
      <c r="A1935" s="1861">
        <v>22021002</v>
      </c>
      <c r="B1935" s="151" t="s">
        <v>1701</v>
      </c>
      <c r="C1935" s="152"/>
      <c r="D1935" s="152"/>
      <c r="E1935" s="152">
        <v>3000000</v>
      </c>
    </row>
    <row r="1936" spans="1:5" s="2083" customFormat="1" x14ac:dyDescent="0.3">
      <c r="A1936" s="1861">
        <v>22021003</v>
      </c>
      <c r="B1936" s="151" t="s">
        <v>42</v>
      </c>
      <c r="C1936" s="2075"/>
      <c r="D1936" s="152"/>
      <c r="E1936" s="152">
        <v>2000000</v>
      </c>
    </row>
    <row r="1937" spans="1:5" s="2083" customFormat="1" x14ac:dyDescent="0.3">
      <c r="A1937" s="1861">
        <v>22021008</v>
      </c>
      <c r="B1937" s="151" t="s">
        <v>45</v>
      </c>
      <c r="C1937" s="2075"/>
      <c r="D1937" s="152"/>
      <c r="E1937" s="152">
        <v>1188000</v>
      </c>
    </row>
    <row r="1938" spans="1:5" s="2083" customFormat="1" ht="21" thickBot="1" x14ac:dyDescent="0.35">
      <c r="A1938" s="2131"/>
      <c r="B1938" s="2010"/>
      <c r="C1938" s="2279"/>
      <c r="D1938" s="2069"/>
      <c r="E1938" s="2069"/>
    </row>
    <row r="1939" spans="1:5" s="2083" customFormat="1" ht="21" thickBot="1" x14ac:dyDescent="0.35">
      <c r="A1939" s="2104"/>
      <c r="B1939" s="2105" t="s">
        <v>1833</v>
      </c>
      <c r="C1939" s="2062"/>
      <c r="D1939" s="2018"/>
      <c r="E1939" s="2018">
        <f>E1924+E1926+E1929+E1932+E1934</f>
        <v>621001157</v>
      </c>
    </row>
    <row r="1940" spans="1:5" s="2083" customFormat="1" x14ac:dyDescent="0.3">
      <c r="C1940" s="2132"/>
      <c r="E1940" s="2132"/>
    </row>
    <row r="1941" spans="1:5" s="2048" customFormat="1" ht="18.75" x14ac:dyDescent="0.2">
      <c r="A1941" s="3492" t="s">
        <v>1475</v>
      </c>
      <c r="B1941" s="3492"/>
      <c r="C1941" s="3492"/>
      <c r="D1941" s="3492"/>
      <c r="E1941" s="3492"/>
    </row>
    <row r="1942" spans="1:5" s="2083" customFormat="1" ht="21" thickBot="1" x14ac:dyDescent="0.35">
      <c r="A1942" s="3477" t="s">
        <v>1693</v>
      </c>
      <c r="B1942" s="3477"/>
      <c r="C1942" s="3477"/>
      <c r="D1942" s="3477"/>
      <c r="E1942" s="3477"/>
    </row>
    <row r="1943" spans="1:5" s="192" customFormat="1" ht="81.75" thickBot="1" x14ac:dyDescent="0.35">
      <c r="A1943" s="2004" t="s">
        <v>1014</v>
      </c>
      <c r="B1943" s="2004" t="s">
        <v>282</v>
      </c>
      <c r="C1943" s="2064" t="s">
        <v>1174</v>
      </c>
      <c r="D1943" s="173" t="s">
        <v>1145</v>
      </c>
      <c r="E1943" s="2064" t="s">
        <v>3096</v>
      </c>
    </row>
    <row r="1944" spans="1:5" s="2083" customFormat="1" ht="21" thickBot="1" x14ac:dyDescent="0.35">
      <c r="A1944" s="3302"/>
      <c r="B1944" s="3379"/>
      <c r="C1944" s="2008"/>
      <c r="D1944" s="2015"/>
      <c r="E1944" s="2007"/>
    </row>
    <row r="1945" spans="1:5" s="2083" customFormat="1" ht="21" thickBot="1" x14ac:dyDescent="0.35">
      <c r="A1945" s="1993">
        <v>22020100</v>
      </c>
      <c r="B1945" s="2010" t="s">
        <v>64</v>
      </c>
      <c r="C1945" s="2077"/>
      <c r="D1945" s="2025"/>
      <c r="E1945" s="2025">
        <v>8800000</v>
      </c>
    </row>
    <row r="1946" spans="1:5" x14ac:dyDescent="0.2">
      <c r="A1946" s="1861">
        <v>22020101</v>
      </c>
      <c r="B1946" s="151" t="s">
        <v>9</v>
      </c>
      <c r="C1946" s="152"/>
      <c r="D1946" s="152"/>
      <c r="E1946" s="152">
        <v>6200000</v>
      </c>
    </row>
    <row r="1947" spans="1:5" ht="21" thickBot="1" x14ac:dyDescent="0.25">
      <c r="A1947" s="1861">
        <v>22020102</v>
      </c>
      <c r="B1947" s="151" t="s">
        <v>10</v>
      </c>
      <c r="C1947" s="1892"/>
      <c r="D1947" s="1892"/>
      <c r="E1947" s="1892">
        <v>2600000</v>
      </c>
    </row>
    <row r="1948" spans="1:5" s="2083" customFormat="1" ht="21" thickBot="1" x14ac:dyDescent="0.35">
      <c r="A1948" s="1993">
        <v>22020300</v>
      </c>
      <c r="B1948" s="2089" t="s">
        <v>66</v>
      </c>
      <c r="C1948" s="2025"/>
      <c r="D1948" s="2025"/>
      <c r="E1948" s="2025">
        <v>7800000</v>
      </c>
    </row>
    <row r="1949" spans="1:5" s="2083" customFormat="1" x14ac:dyDescent="0.3">
      <c r="A1949" s="1861">
        <v>22020301</v>
      </c>
      <c r="B1949" s="151" t="s">
        <v>17</v>
      </c>
      <c r="C1949" s="152"/>
      <c r="D1949" s="152"/>
      <c r="E1949" s="152">
        <v>7200000</v>
      </c>
    </row>
    <row r="1950" spans="1:5" s="2083" customFormat="1" ht="21" thickBot="1" x14ac:dyDescent="0.35">
      <c r="A1950" s="1861">
        <v>22020307</v>
      </c>
      <c r="B1950" s="151" t="s">
        <v>725</v>
      </c>
      <c r="C1950" s="1892"/>
      <c r="D1950" s="1892"/>
      <c r="E1950" s="1892">
        <v>600000</v>
      </c>
    </row>
    <row r="1951" spans="1:5" s="2083" customFormat="1" ht="21" thickBot="1" x14ac:dyDescent="0.35">
      <c r="A1951" s="1993">
        <v>22020400</v>
      </c>
      <c r="B1951" s="2089" t="s">
        <v>67</v>
      </c>
      <c r="C1951" s="3223"/>
      <c r="D1951" s="3224"/>
      <c r="E1951" s="1879">
        <f>SUM(E1952)</f>
        <v>156780000</v>
      </c>
    </row>
    <row r="1952" spans="1:5" s="2083" customFormat="1" x14ac:dyDescent="0.3">
      <c r="A1952" s="1861">
        <v>22020406</v>
      </c>
      <c r="B1952" s="178" t="s">
        <v>2099</v>
      </c>
      <c r="C1952" s="3222"/>
      <c r="D1952" s="3222"/>
      <c r="E1952" s="3222">
        <v>156780000</v>
      </c>
    </row>
    <row r="1953" spans="1:5" s="2083" customFormat="1" ht="21" thickBot="1" x14ac:dyDescent="0.35">
      <c r="A1953" s="1993">
        <v>22020800</v>
      </c>
      <c r="B1953" s="2010" t="s">
        <v>71</v>
      </c>
      <c r="C1953" s="2060"/>
      <c r="D1953" s="2060"/>
      <c r="E1953" s="2060">
        <v>638028</v>
      </c>
    </row>
    <row r="1954" spans="1:5" s="2083" customFormat="1" ht="21" thickBot="1" x14ac:dyDescent="0.35">
      <c r="A1954" s="1861">
        <v>22020803</v>
      </c>
      <c r="B1954" s="151" t="s">
        <v>115</v>
      </c>
      <c r="C1954" s="2508"/>
      <c r="D1954" s="2037"/>
      <c r="E1954" s="2037">
        <v>638028</v>
      </c>
    </row>
    <row r="1955" spans="1:5" s="2083" customFormat="1" ht="21" thickBot="1" x14ac:dyDescent="0.35">
      <c r="A1955" s="2131"/>
      <c r="B1955" s="2010"/>
      <c r="C1955" s="2456"/>
      <c r="D1955" s="2456"/>
      <c r="E1955" s="2456"/>
    </row>
    <row r="1956" spans="1:5" s="2083" customFormat="1" ht="21" thickBot="1" x14ac:dyDescent="0.35">
      <c r="A1956" s="2104"/>
      <c r="B1956" s="2105" t="s">
        <v>2494</v>
      </c>
      <c r="C1956" s="2062"/>
      <c r="D1956" s="2018"/>
      <c r="E1956" s="2018">
        <f>E1945+E1948+E1953+E1951</f>
        <v>174018028</v>
      </c>
    </row>
    <row r="1957" spans="1:5" s="2083" customFormat="1" x14ac:dyDescent="0.3">
      <c r="A1957" s="2111"/>
      <c r="B1957" s="2044"/>
      <c r="C1957" s="2045"/>
      <c r="D1957" s="2045"/>
      <c r="E1957" s="2045"/>
    </row>
    <row r="1958" spans="1:5" s="2048" customFormat="1" ht="18.75" x14ac:dyDescent="0.2">
      <c r="A1958" s="3492" t="s">
        <v>1475</v>
      </c>
      <c r="B1958" s="3492"/>
      <c r="C1958" s="3492"/>
      <c r="D1958" s="3492"/>
      <c r="E1958" s="3492"/>
    </row>
    <row r="1959" spans="1:5" s="2083" customFormat="1" ht="21" thickBot="1" x14ac:dyDescent="0.35">
      <c r="A1959" s="3476" t="s">
        <v>1835</v>
      </c>
      <c r="B1959" s="3476"/>
      <c r="C1959" s="3476"/>
      <c r="D1959" s="3476"/>
      <c r="E1959" s="3476"/>
    </row>
    <row r="1960" spans="1:5" s="2083" customFormat="1" ht="81.75" thickBot="1" x14ac:dyDescent="0.35">
      <c r="A1960" s="2004" t="s">
        <v>1014</v>
      </c>
      <c r="B1960" s="2004" t="s">
        <v>282</v>
      </c>
      <c r="C1960" s="2064" t="s">
        <v>1174</v>
      </c>
      <c r="D1960" s="173" t="s">
        <v>1145</v>
      </c>
      <c r="E1960" s="2064" t="s">
        <v>3096</v>
      </c>
    </row>
    <row r="1961" spans="1:5" s="2083" customFormat="1" ht="21" thickBot="1" x14ac:dyDescent="0.35">
      <c r="A1961" s="3382"/>
      <c r="B1961" s="754"/>
      <c r="C1961" s="1893"/>
      <c r="D1961" s="1893"/>
      <c r="E1961" s="1893"/>
    </row>
    <row r="1962" spans="1:5" s="2083" customFormat="1" ht="21" thickBot="1" x14ac:dyDescent="0.35">
      <c r="A1962" s="1993">
        <v>22020100</v>
      </c>
      <c r="B1962" s="2010" t="s">
        <v>64</v>
      </c>
      <c r="C1962" s="2012">
        <f>SUM(C1963:C1963)</f>
        <v>0</v>
      </c>
      <c r="D1962" s="2012">
        <f>SUM(D1963:D1963)</f>
        <v>0</v>
      </c>
      <c r="E1962" s="2012">
        <f>SUM(E1963:E1963)</f>
        <v>5000000</v>
      </c>
    </row>
    <row r="1963" spans="1:5" s="2083" customFormat="1" ht="21" thickBot="1" x14ac:dyDescent="0.35">
      <c r="A1963" s="1861">
        <v>22020101</v>
      </c>
      <c r="B1963" s="151" t="s">
        <v>9</v>
      </c>
      <c r="C1963" s="152"/>
      <c r="D1963" s="152"/>
      <c r="E1963" s="152">
        <v>5000000</v>
      </c>
    </row>
    <row r="1964" spans="1:5" s="2083" customFormat="1" ht="21" thickBot="1" x14ac:dyDescent="0.35">
      <c r="A1964" s="1993">
        <v>22020300</v>
      </c>
      <c r="B1964" s="2010" t="s">
        <v>66</v>
      </c>
      <c r="C1964" s="2012">
        <f>SUM(C1965:C1967)</f>
        <v>0</v>
      </c>
      <c r="D1964" s="2012">
        <f>SUM(D1965:D1967)</f>
        <v>0</v>
      </c>
      <c r="E1964" s="2012">
        <f>SUM(E1965:E1967)</f>
        <v>2260000</v>
      </c>
    </row>
    <row r="1965" spans="1:5" s="2083" customFormat="1" x14ac:dyDescent="0.3">
      <c r="A1965" s="1861">
        <v>22020304</v>
      </c>
      <c r="B1965" s="151" t="s">
        <v>1695</v>
      </c>
      <c r="C1965" s="152"/>
      <c r="D1965" s="152"/>
      <c r="E1965" s="152">
        <v>200000</v>
      </c>
    </row>
    <row r="1966" spans="1:5" s="2083" customFormat="1" x14ac:dyDescent="0.3">
      <c r="A1966" s="1861">
        <v>22020307</v>
      </c>
      <c r="B1966" s="151" t="s">
        <v>725</v>
      </c>
      <c r="C1966" s="152"/>
      <c r="D1966" s="152"/>
      <c r="E1966" s="152">
        <v>60000</v>
      </c>
    </row>
    <row r="1967" spans="1:5" s="2083" customFormat="1" ht="21" thickBot="1" x14ac:dyDescent="0.35">
      <c r="A1967" s="1861">
        <v>22020310</v>
      </c>
      <c r="B1967" s="151" t="s">
        <v>24</v>
      </c>
      <c r="C1967" s="1892"/>
      <c r="D1967" s="1892"/>
      <c r="E1967" s="152">
        <v>2000000</v>
      </c>
    </row>
    <row r="1968" spans="1:5" ht="21" thickBot="1" x14ac:dyDescent="0.25">
      <c r="A1968" s="1993">
        <v>22020400</v>
      </c>
      <c r="B1968" s="2010" t="s">
        <v>67</v>
      </c>
      <c r="C1968" s="2012">
        <f>SUM(C1969:C1970)</f>
        <v>0</v>
      </c>
      <c r="D1968" s="2012">
        <f>SUM(D1969:D1970)</f>
        <v>0</v>
      </c>
      <c r="E1968" s="2012">
        <f>SUM(E1969:E1970)</f>
        <v>84072542</v>
      </c>
    </row>
    <row r="1969" spans="1:5" s="2083" customFormat="1" x14ac:dyDescent="0.3">
      <c r="A1969" s="1861">
        <v>22020406</v>
      </c>
      <c r="B1969" s="151" t="s">
        <v>29</v>
      </c>
      <c r="C1969" s="2058"/>
      <c r="D1969" s="2058"/>
      <c r="E1969" s="2058">
        <v>4072542</v>
      </c>
    </row>
    <row r="1970" spans="1:5" s="2083" customFormat="1" ht="21" thickBot="1" x14ac:dyDescent="0.35">
      <c r="A1970" s="1861">
        <v>22020414</v>
      </c>
      <c r="B1970" s="153" t="s">
        <v>3297</v>
      </c>
      <c r="C1970" s="1892"/>
      <c r="D1970" s="1892"/>
      <c r="E1970" s="1845">
        <v>80000000</v>
      </c>
    </row>
    <row r="1971" spans="1:5" s="2083" customFormat="1" ht="21" thickBot="1" x14ac:dyDescent="0.35">
      <c r="A1971" s="1993">
        <v>22020800</v>
      </c>
      <c r="B1971" s="2010" t="s">
        <v>71</v>
      </c>
      <c r="C1971" s="2012">
        <f>SUM(C1972:C1972)</f>
        <v>0</v>
      </c>
      <c r="D1971" s="2012">
        <f>SUM(D1972:D1972)</f>
        <v>0</v>
      </c>
      <c r="E1971" s="2012">
        <f>SUM(E1972:E1972)</f>
        <v>3000000</v>
      </c>
    </row>
    <row r="1972" spans="1:5" s="2083" customFormat="1" x14ac:dyDescent="0.3">
      <c r="A1972" s="1861">
        <v>22020803</v>
      </c>
      <c r="B1972" s="151" t="s">
        <v>115</v>
      </c>
      <c r="C1972" s="2037"/>
      <c r="D1972" s="2037"/>
      <c r="E1972" s="2037">
        <v>3000000</v>
      </c>
    </row>
    <row r="1973" spans="1:5" s="2083" customFormat="1" ht="21" thickBot="1" x14ac:dyDescent="0.35">
      <c r="A1973" s="2131"/>
      <c r="B1973" s="2010"/>
      <c r="C1973" s="2097"/>
      <c r="D1973" s="2097"/>
      <c r="E1973" s="2097"/>
    </row>
    <row r="1974" spans="1:5" s="2083" customFormat="1" ht="21" thickBot="1" x14ac:dyDescent="0.35">
      <c r="A1974" s="2130"/>
      <c r="B1974" s="2034" t="s">
        <v>2495</v>
      </c>
      <c r="C1974" s="2018">
        <f>C1962+C1964+C1968+C1971</f>
        <v>0</v>
      </c>
      <c r="D1974" s="2018">
        <f>D1962+D1964+D1968+D1971</f>
        <v>0</v>
      </c>
      <c r="E1974" s="2018">
        <f>E1962+E1964+E1968+E1971</f>
        <v>94332542</v>
      </c>
    </row>
    <row r="1975" spans="1:5" s="2083" customFormat="1" x14ac:dyDescent="0.3">
      <c r="C1975" s="2132"/>
      <c r="E1975" s="2132"/>
    </row>
    <row r="1976" spans="1:5" s="2083" customFormat="1" x14ac:dyDescent="0.3">
      <c r="C1976" s="2132"/>
      <c r="E1976" s="2132"/>
    </row>
    <row r="1977" spans="1:5" s="2083" customFormat="1" x14ac:dyDescent="0.3">
      <c r="A1977" s="3477"/>
      <c r="B1977" s="3477"/>
      <c r="C1977" s="3477"/>
      <c r="D1977" s="3477"/>
      <c r="E1977" s="3477"/>
    </row>
    <row r="1978" spans="1:5" s="2048" customFormat="1" ht="18.75" x14ac:dyDescent="0.2">
      <c r="A1978" s="3486" t="s">
        <v>1901</v>
      </c>
      <c r="B1978" s="3486"/>
      <c r="C1978" s="3486"/>
      <c r="D1978" s="3486"/>
      <c r="E1978" s="3486"/>
    </row>
    <row r="1979" spans="1:5" s="2048" customFormat="1" ht="18.75" x14ac:dyDescent="0.2">
      <c r="A1979" s="3486" t="s">
        <v>1051</v>
      </c>
      <c r="B1979" s="3486"/>
      <c r="C1979" s="3486"/>
      <c r="D1979" s="3486"/>
      <c r="E1979" s="3486"/>
    </row>
    <row r="1980" spans="1:5" s="2048" customFormat="1" ht="19.5" thickBot="1" x14ac:dyDescent="0.25">
      <c r="A1980" s="3488" t="s">
        <v>146</v>
      </c>
      <c r="B1980" s="3488"/>
      <c r="C1980" s="3488"/>
      <c r="D1980" s="3488"/>
      <c r="E1980" s="3488"/>
    </row>
    <row r="1981" spans="1:5" s="2048" customFormat="1" ht="57" thickBot="1" x14ac:dyDescent="0.35">
      <c r="A1981" s="2290" t="s">
        <v>1014</v>
      </c>
      <c r="B1981" s="2290" t="s">
        <v>282</v>
      </c>
      <c r="C1981" s="2453" t="s">
        <v>1174</v>
      </c>
      <c r="D1981" s="2457" t="s">
        <v>1145</v>
      </c>
      <c r="E1981" s="2453" t="s">
        <v>3096</v>
      </c>
    </row>
    <row r="1982" spans="1:5" s="2048" customFormat="1" ht="19.5" thickBot="1" x14ac:dyDescent="0.25">
      <c r="A1982" s="2376"/>
      <c r="B1982" s="2458"/>
      <c r="C1982" s="2377"/>
      <c r="D1982" s="2378"/>
      <c r="E1982" s="2379"/>
    </row>
    <row r="1983" spans="1:5" s="2048" customFormat="1" ht="19.5" thickBot="1" x14ac:dyDescent="0.25">
      <c r="A1983" s="2046">
        <v>22020100</v>
      </c>
      <c r="B1983" s="2191" t="s">
        <v>64</v>
      </c>
      <c r="C1983" s="2382">
        <f>SUM(C1984:C1986)</f>
        <v>3809999</v>
      </c>
      <c r="D1983" s="2382">
        <f>SUM(D1984:D1986)</f>
        <v>1475000</v>
      </c>
      <c r="E1983" s="2382">
        <f>SUM(E1984:E1986)</f>
        <v>9500000</v>
      </c>
    </row>
    <row r="1984" spans="1:5" s="2048" customFormat="1" ht="18.75" x14ac:dyDescent="0.2">
      <c r="A1984" s="2049">
        <v>22020101</v>
      </c>
      <c r="B1984" s="2146" t="s">
        <v>9</v>
      </c>
      <c r="C1984" s="2380">
        <v>1110000</v>
      </c>
      <c r="D1984" s="2380">
        <v>775000</v>
      </c>
      <c r="E1984" s="2380">
        <v>1110000</v>
      </c>
    </row>
    <row r="1985" spans="1:5" s="2048" customFormat="1" ht="18.75" x14ac:dyDescent="0.2">
      <c r="A1985" s="2049">
        <v>22020102</v>
      </c>
      <c r="B1985" s="2050" t="s">
        <v>10</v>
      </c>
      <c r="C1985" s="2380">
        <v>1000000</v>
      </c>
      <c r="D1985" s="2380">
        <v>700000</v>
      </c>
      <c r="E1985" s="2380">
        <v>1390000</v>
      </c>
    </row>
    <row r="1986" spans="1:5" s="2048" customFormat="1" ht="19.5" thickBot="1" x14ac:dyDescent="0.25">
      <c r="A1986" s="2049">
        <v>22020103</v>
      </c>
      <c r="B1986" s="2050" t="s">
        <v>1171</v>
      </c>
      <c r="C1986" s="2381">
        <v>1699999</v>
      </c>
      <c r="D1986" s="2381"/>
      <c r="E1986" s="2381">
        <v>7000000</v>
      </c>
    </row>
    <row r="1987" spans="1:5" s="2048" customFormat="1" ht="19.5" thickBot="1" x14ac:dyDescent="0.25">
      <c r="A1987" s="2046">
        <v>22020300</v>
      </c>
      <c r="B1987" s="2191" t="s">
        <v>66</v>
      </c>
      <c r="C1987" s="2382">
        <f>SUM(C1988:C1988)</f>
        <v>1960000</v>
      </c>
      <c r="D1987" s="2383">
        <f>SUM(D1988:D1988)</f>
        <v>868000</v>
      </c>
      <c r="E1987" s="2382">
        <f>SUM(E1988:E1988)</f>
        <v>1960000</v>
      </c>
    </row>
    <row r="1988" spans="1:5" s="2048" customFormat="1" ht="19.5" thickBot="1" x14ac:dyDescent="0.25">
      <c r="A1988" s="2049">
        <v>22020301</v>
      </c>
      <c r="B1988" s="2146" t="s">
        <v>17</v>
      </c>
      <c r="C1988" s="2380">
        <v>1960000</v>
      </c>
      <c r="D1988" s="2380">
        <v>868000</v>
      </c>
      <c r="E1988" s="2380">
        <v>1960000</v>
      </c>
    </row>
    <row r="1989" spans="1:5" s="2048" customFormat="1" ht="19.5" thickBot="1" x14ac:dyDescent="0.25">
      <c r="A1989" s="2046">
        <v>22020400</v>
      </c>
      <c r="B1989" s="2191" t="s">
        <v>67</v>
      </c>
      <c r="C1989" s="2382">
        <f>SUM(C1990:C1992)</f>
        <v>6900000</v>
      </c>
      <c r="D1989" s="2382">
        <f>SUM(D1990:D1992)</f>
        <v>3830000</v>
      </c>
      <c r="E1989" s="2382">
        <f>SUM(E1990:E1992)</f>
        <v>7800000</v>
      </c>
    </row>
    <row r="1990" spans="1:5" s="2048" customFormat="1" ht="18.75" x14ac:dyDescent="0.2">
      <c r="A1990" s="2049">
        <v>22020401</v>
      </c>
      <c r="B1990" s="2146" t="s">
        <v>79</v>
      </c>
      <c r="C1990" s="2380">
        <v>2100000</v>
      </c>
      <c r="D1990" s="2380">
        <v>930000</v>
      </c>
      <c r="E1990" s="2380">
        <v>3000000</v>
      </c>
    </row>
    <row r="1991" spans="1:5" s="2048" customFormat="1" ht="18.75" x14ac:dyDescent="0.2">
      <c r="A1991" s="2049">
        <v>22020404</v>
      </c>
      <c r="B1991" s="2146" t="s">
        <v>1218</v>
      </c>
      <c r="C1991" s="2459">
        <f>3600000</f>
        <v>3600000</v>
      </c>
      <c r="D1991" s="2380">
        <v>2100000</v>
      </c>
      <c r="E1991" s="2459">
        <f>3600000</f>
        <v>3600000</v>
      </c>
    </row>
    <row r="1992" spans="1:5" s="2048" customFormat="1" ht="19.5" thickBot="1" x14ac:dyDescent="0.25">
      <c r="A1992" s="2049">
        <v>22020406</v>
      </c>
      <c r="B1992" s="2146" t="s">
        <v>29</v>
      </c>
      <c r="C1992" s="2460">
        <v>1200000</v>
      </c>
      <c r="D1992" s="2461">
        <v>800000</v>
      </c>
      <c r="E1992" s="2460">
        <v>1200000</v>
      </c>
    </row>
    <row r="1993" spans="1:5" s="2048" customFormat="1" ht="19.5" thickBot="1" x14ac:dyDescent="0.25">
      <c r="A1993" s="2046">
        <v>22020500</v>
      </c>
      <c r="B1993" s="2191" t="s">
        <v>68</v>
      </c>
      <c r="C1993" s="2463">
        <f>SUM(C1994:C1994)</f>
        <v>350000</v>
      </c>
      <c r="D1993" s="2383">
        <f>SUM(D1994:D1994)</f>
        <v>0</v>
      </c>
      <c r="E1993" s="2382">
        <f>SUM(E1994:E1994)</f>
        <v>350000</v>
      </c>
    </row>
    <row r="1994" spans="1:5" s="2048" customFormat="1" ht="19.5" thickBot="1" x14ac:dyDescent="0.25">
      <c r="A1994" s="2462">
        <v>22020501</v>
      </c>
      <c r="B1994" s="2307" t="s">
        <v>30</v>
      </c>
      <c r="C1994" s="2380">
        <v>350000</v>
      </c>
      <c r="D1994" s="2380"/>
      <c r="E1994" s="2380">
        <v>350000</v>
      </c>
    </row>
    <row r="1995" spans="1:5" s="2048" customFormat="1" ht="19.5" thickBot="1" x14ac:dyDescent="0.25">
      <c r="A1995" s="2298">
        <v>22021000</v>
      </c>
      <c r="B1995" s="2464" t="s">
        <v>73</v>
      </c>
      <c r="C1995" s="2382">
        <f>SUM(C1996:C1997)</f>
        <v>40446586</v>
      </c>
      <c r="D1995" s="2383">
        <f>SUM(D1996:D1997)</f>
        <v>2480000</v>
      </c>
      <c r="E1995" s="2437">
        <f>SUM(E1996:E1997)</f>
        <v>34000000</v>
      </c>
    </row>
    <row r="1996" spans="1:5" s="2048" customFormat="1" ht="18.75" x14ac:dyDescent="0.2">
      <c r="A1996" s="2049">
        <v>22021041</v>
      </c>
      <c r="B1996" s="2146" t="s">
        <v>727</v>
      </c>
      <c r="C1996" s="2385">
        <v>24346586</v>
      </c>
      <c r="D1996" s="2385"/>
      <c r="E1996" s="3225" t="s">
        <v>179</v>
      </c>
    </row>
    <row r="1997" spans="1:5" s="2048" customFormat="1" ht="18.75" x14ac:dyDescent="0.2">
      <c r="A1997" s="2049">
        <v>22021041</v>
      </c>
      <c r="B1997" s="2146" t="s">
        <v>726</v>
      </c>
      <c r="C1997" s="2380">
        <v>16100000</v>
      </c>
      <c r="D1997" s="2380">
        <v>2480000</v>
      </c>
      <c r="E1997" s="2380">
        <v>34000000</v>
      </c>
    </row>
    <row r="1998" spans="1:5" s="2048" customFormat="1" ht="19.5" thickBot="1" x14ac:dyDescent="0.25">
      <c r="A1998" s="2049"/>
      <c r="B1998" s="2191"/>
      <c r="C1998" s="3226"/>
      <c r="D1998" s="3226"/>
      <c r="E1998" s="3226"/>
    </row>
    <row r="1999" spans="1:5" s="2048" customFormat="1" ht="19.5" thickBot="1" x14ac:dyDescent="0.25">
      <c r="A1999" s="2150"/>
      <c r="B1999" s="2151" t="s">
        <v>1365</v>
      </c>
      <c r="C1999" s="2437">
        <f>SUM(C1983,C1987,C1989,C1993,C1995,)</f>
        <v>53466585</v>
      </c>
      <c r="D1999" s="2437">
        <f>SUM(D1983,D1987,D1989,D1993,D1995,)</f>
        <v>8653000</v>
      </c>
      <c r="E1999" s="2437">
        <f>SUM(E1983,E1987,E1989,E1993,E1995,)</f>
        <v>53610000</v>
      </c>
    </row>
    <row r="2000" spans="1:5" s="171" customFormat="1" ht="18.75" x14ac:dyDescent="0.3">
      <c r="B2000" s="169"/>
      <c r="C2000" s="2465"/>
      <c r="D2000" s="2466"/>
      <c r="E2000" s="2465"/>
    </row>
    <row r="2001" spans="1:5" s="171" customFormat="1" ht="18.75" x14ac:dyDescent="0.3">
      <c r="B2001" s="169"/>
      <c r="C2001" s="2465"/>
      <c r="D2001" s="2466"/>
      <c r="E2001" s="2465"/>
    </row>
    <row r="2002" spans="1:5" s="171" customFormat="1" ht="18.75" x14ac:dyDescent="0.3">
      <c r="B2002" s="169"/>
      <c r="C2002" s="2465"/>
      <c r="D2002" s="2466"/>
      <c r="E2002" s="2465"/>
    </row>
    <row r="2003" spans="1:5" s="171" customFormat="1" ht="18.75" x14ac:dyDescent="0.3">
      <c r="A2003" s="3486" t="s">
        <v>1475</v>
      </c>
      <c r="B2003" s="3486"/>
      <c r="C2003" s="3486"/>
      <c r="D2003" s="3486"/>
      <c r="E2003" s="3486"/>
    </row>
    <row r="2004" spans="1:5" s="171" customFormat="1" ht="18.75" x14ac:dyDescent="0.3">
      <c r="A2004" s="3486" t="s">
        <v>1050</v>
      </c>
      <c r="B2004" s="3486"/>
      <c r="C2004" s="3486"/>
      <c r="D2004" s="3486"/>
      <c r="E2004" s="3486"/>
    </row>
    <row r="2005" spans="1:5" s="171" customFormat="1" ht="19.5" thickBot="1" x14ac:dyDescent="0.35">
      <c r="A2005" s="3488" t="s">
        <v>2930</v>
      </c>
      <c r="B2005" s="3488"/>
      <c r="C2005" s="3488"/>
      <c r="D2005" s="3488"/>
      <c r="E2005" s="3488"/>
    </row>
    <row r="2006" spans="1:5" s="2048" customFormat="1" ht="57" thickBot="1" x14ac:dyDescent="0.35">
      <c r="A2006" s="2290" t="s">
        <v>1014</v>
      </c>
      <c r="B2006" s="2290" t="s">
        <v>282</v>
      </c>
      <c r="C2006" s="2453" t="s">
        <v>1174</v>
      </c>
      <c r="D2006" s="2457" t="s">
        <v>1145</v>
      </c>
      <c r="E2006" s="2453" t="s">
        <v>3096</v>
      </c>
    </row>
    <row r="2007" spans="1:5" s="171" customFormat="1" ht="19.5" thickBot="1" x14ac:dyDescent="0.35">
      <c r="A2007" s="2309"/>
      <c r="B2007" s="2467"/>
      <c r="C2007" s="2380"/>
      <c r="D2007" s="2380"/>
      <c r="E2007" s="2380"/>
    </row>
    <row r="2008" spans="1:5" s="171" customFormat="1" ht="19.5" thickBot="1" x14ac:dyDescent="0.35">
      <c r="A2008" s="2046">
        <v>22020100</v>
      </c>
      <c r="B2008" s="2191" t="s">
        <v>64</v>
      </c>
      <c r="C2008" s="2437">
        <f>SUM(C2009:C2010)</f>
        <v>7808800</v>
      </c>
      <c r="D2008" s="2383">
        <f>SUM(D2009:D2010)</f>
        <v>4701500</v>
      </c>
      <c r="E2008" s="2382">
        <f>SUM(E2009:E2010)</f>
        <v>7808800</v>
      </c>
    </row>
    <row r="2009" spans="1:5" s="171" customFormat="1" ht="18.75" x14ac:dyDescent="0.3">
      <c r="A2009" s="2049">
        <v>22020101</v>
      </c>
      <c r="B2009" s="2146" t="s">
        <v>9</v>
      </c>
      <c r="C2009" s="2380">
        <v>1692500</v>
      </c>
      <c r="D2009" s="2380">
        <v>625000</v>
      </c>
      <c r="E2009" s="2380">
        <v>1692500</v>
      </c>
    </row>
    <row r="2010" spans="1:5" s="171" customFormat="1" ht="19.5" thickBot="1" x14ac:dyDescent="0.35">
      <c r="A2010" s="2049">
        <v>22020102</v>
      </c>
      <c r="B2010" s="2146" t="s">
        <v>10</v>
      </c>
      <c r="C2010" s="2381">
        <v>6116300</v>
      </c>
      <c r="D2010" s="2381">
        <v>4076500</v>
      </c>
      <c r="E2010" s="2381">
        <v>6116300</v>
      </c>
    </row>
    <row r="2011" spans="1:5" s="171" customFormat="1" ht="19.5" thickBot="1" x14ac:dyDescent="0.35">
      <c r="A2011" s="2046">
        <v>22020300</v>
      </c>
      <c r="B2011" s="2191" t="s">
        <v>66</v>
      </c>
      <c r="C2011" s="2384">
        <f>SUM(C2012:C2012)</f>
        <v>8550500</v>
      </c>
      <c r="D2011" s="2383">
        <f>SUM(D2012:D2012)</f>
        <v>5097700</v>
      </c>
      <c r="E2011" s="2382">
        <f>SUM(E2012:E2012)</f>
        <v>8550500</v>
      </c>
    </row>
    <row r="2012" spans="1:5" s="171" customFormat="1" ht="19.5" thickBot="1" x14ac:dyDescent="0.35">
      <c r="A2012" s="2049">
        <v>22020301</v>
      </c>
      <c r="B2012" s="2146" t="s">
        <v>17</v>
      </c>
      <c r="C2012" s="2381">
        <v>8550500</v>
      </c>
      <c r="D2012" s="2381">
        <v>5097700</v>
      </c>
      <c r="E2012" s="2381">
        <v>8550500</v>
      </c>
    </row>
    <row r="2013" spans="1:5" s="171" customFormat="1" ht="19.5" thickBot="1" x14ac:dyDescent="0.35">
      <c r="A2013" s="2046">
        <v>22020400</v>
      </c>
      <c r="B2013" s="2191" t="s">
        <v>67</v>
      </c>
      <c r="C2013" s="2384">
        <f>SUM(C2014:C2016)</f>
        <v>140028964</v>
      </c>
      <c r="D2013" s="2384">
        <f>SUM(D2014:D2016)</f>
        <v>90645666</v>
      </c>
      <c r="E2013" s="2384">
        <f>SUM(E2014:E2016)</f>
        <v>135426839</v>
      </c>
    </row>
    <row r="2014" spans="1:5" s="171" customFormat="1" ht="18.75" x14ac:dyDescent="0.3">
      <c r="A2014" s="2049">
        <v>22020401</v>
      </c>
      <c r="B2014" s="2146" t="s">
        <v>79</v>
      </c>
      <c r="C2014" s="2380">
        <v>7157800</v>
      </c>
      <c r="D2014" s="2380">
        <v>3818000</v>
      </c>
      <c r="E2014" s="2380">
        <v>7157800</v>
      </c>
    </row>
    <row r="2015" spans="1:5" s="171" customFormat="1" ht="18.75" x14ac:dyDescent="0.3">
      <c r="A2015" s="2049">
        <v>22020402</v>
      </c>
      <c r="B2015" s="2146" t="s">
        <v>182</v>
      </c>
      <c r="C2015" s="2380">
        <v>2776950</v>
      </c>
      <c r="D2015" s="2380">
        <v>1681966</v>
      </c>
      <c r="E2015" s="2380">
        <v>2776950</v>
      </c>
    </row>
    <row r="2016" spans="1:5" s="171" customFormat="1" ht="19.5" thickBot="1" x14ac:dyDescent="0.35">
      <c r="A2016" s="2049">
        <v>22020406</v>
      </c>
      <c r="B2016" s="2146" t="s">
        <v>29</v>
      </c>
      <c r="C2016" s="2380">
        <v>130094214</v>
      </c>
      <c r="D2016" s="2380">
        <v>85145700</v>
      </c>
      <c r="E2016" s="2380">
        <v>125492089</v>
      </c>
    </row>
    <row r="2017" spans="1:5" s="171" customFormat="1" ht="19.5" thickBot="1" x14ac:dyDescent="0.35">
      <c r="A2017" s="2046">
        <v>22020500</v>
      </c>
      <c r="B2017" s="2191" t="s">
        <v>68</v>
      </c>
      <c r="C2017" s="2384">
        <f>SUM(C2018:C2018)</f>
        <v>4278300</v>
      </c>
      <c r="D2017" s="2383">
        <f>SUM(D2018:D2018)</f>
        <v>2596000</v>
      </c>
      <c r="E2017" s="2382">
        <f>SUM(E2018:E2018)</f>
        <v>4278300</v>
      </c>
    </row>
    <row r="2018" spans="1:5" s="171" customFormat="1" ht="19.5" thickBot="1" x14ac:dyDescent="0.35">
      <c r="A2018" s="2049">
        <v>22020501</v>
      </c>
      <c r="B2018" s="2146" t="s">
        <v>30</v>
      </c>
      <c r="C2018" s="2381">
        <v>4278300</v>
      </c>
      <c r="D2018" s="2381">
        <v>2596000</v>
      </c>
      <c r="E2018" s="2381">
        <v>4278300</v>
      </c>
    </row>
    <row r="2019" spans="1:5" s="171" customFormat="1" ht="19.5" thickBot="1" x14ac:dyDescent="0.35">
      <c r="A2019" s="2046">
        <v>22021000</v>
      </c>
      <c r="B2019" s="2191" t="s">
        <v>73</v>
      </c>
      <c r="C2019" s="2384">
        <f>SUM(C2020:C2023)</f>
        <v>20473436</v>
      </c>
      <c r="D2019" s="2383">
        <f>SUM(D2020:D2023)</f>
        <v>15784933</v>
      </c>
      <c r="E2019" s="2437">
        <f>SUM(E2020:E2023)</f>
        <v>762852593.84150004</v>
      </c>
    </row>
    <row r="2020" spans="1:5" s="171" customFormat="1" ht="18.75" x14ac:dyDescent="0.3">
      <c r="A2020" s="2049">
        <v>22021001</v>
      </c>
      <c r="B2020" s="2146" t="s">
        <v>41</v>
      </c>
      <c r="C2020" s="2380">
        <v>15124925</v>
      </c>
      <c r="D2020" s="2380">
        <v>11202810</v>
      </c>
      <c r="E2020" s="2380">
        <v>15124925</v>
      </c>
    </row>
    <row r="2021" spans="1:5" s="171" customFormat="1" ht="18.75" x14ac:dyDescent="0.3">
      <c r="A2021" s="2049">
        <v>22021002</v>
      </c>
      <c r="B2021" s="2146" t="s">
        <v>1701</v>
      </c>
      <c r="C2021" s="3210">
        <v>4565209</v>
      </c>
      <c r="D2021" s="2380">
        <v>3942821</v>
      </c>
      <c r="E2021" s="2380">
        <v>4565209</v>
      </c>
    </row>
    <row r="2022" spans="1:5" s="171" customFormat="1" ht="18.75" x14ac:dyDescent="0.3">
      <c r="A2022" s="2049">
        <v>22021003</v>
      </c>
      <c r="B2022" s="2146" t="s">
        <v>42</v>
      </c>
      <c r="C2022" s="3210">
        <v>783302</v>
      </c>
      <c r="D2022" s="2380">
        <v>639302</v>
      </c>
      <c r="E2022" s="2380">
        <v>783302</v>
      </c>
    </row>
    <row r="2023" spans="1:5" s="2148" customFormat="1" ht="18.75" x14ac:dyDescent="0.25">
      <c r="A2023" s="2468">
        <v>22021041</v>
      </c>
      <c r="B2023" s="2311" t="s">
        <v>4296</v>
      </c>
      <c r="C2023" s="3239"/>
      <c r="D2023" s="2469"/>
      <c r="E2023" s="3227">
        <f>'4 SUMMARY OF REV BY MDAs'!F63</f>
        <v>742379157.84150004</v>
      </c>
    </row>
    <row r="2024" spans="1:5" s="171" customFormat="1" ht="19.5" thickBot="1" x14ac:dyDescent="0.35">
      <c r="A2024" s="2445"/>
      <c r="B2024" s="2191"/>
      <c r="C2024" s="2470"/>
      <c r="D2024" s="2470"/>
      <c r="E2024" s="2470"/>
    </row>
    <row r="2025" spans="1:5" s="171" customFormat="1" ht="19.5" thickBot="1" x14ac:dyDescent="0.35">
      <c r="A2025" s="2472"/>
      <c r="B2025" s="3158" t="s">
        <v>1902</v>
      </c>
      <c r="C2025" s="2438">
        <f>C2019+C2017+C2013+C2011+C2008</f>
        <v>181140000</v>
      </c>
      <c r="D2025" s="2437">
        <f>D2019+D2017+D2013+D2011+D2008</f>
        <v>118825799</v>
      </c>
      <c r="E2025" s="2437">
        <f>E2019+E2017+E2013+E2011+E2008</f>
        <v>918917032.84150004</v>
      </c>
    </row>
    <row r="2026" spans="1:5" s="171" customFormat="1" ht="18.75" x14ac:dyDescent="0.3">
      <c r="B2026" s="169"/>
      <c r="C2026" s="2465"/>
      <c r="D2026" s="2466"/>
      <c r="E2026" s="2465"/>
    </row>
    <row r="2027" spans="1:5" s="171" customFormat="1" ht="18.75" x14ac:dyDescent="0.3">
      <c r="B2027" s="169"/>
      <c r="C2027" s="2465"/>
      <c r="D2027" s="2466"/>
      <c r="E2027" s="2465"/>
    </row>
    <row r="2028" spans="1:5" s="171" customFormat="1" ht="18.75" x14ac:dyDescent="0.3">
      <c r="B2028" s="169"/>
      <c r="C2028" s="2465"/>
      <c r="D2028" s="2466"/>
      <c r="E2028" s="2465"/>
    </row>
    <row r="2029" spans="1:5" s="171" customFormat="1" ht="18.75" x14ac:dyDescent="0.3">
      <c r="A2029" s="3486" t="s">
        <v>1475</v>
      </c>
      <c r="B2029" s="3486"/>
      <c r="C2029" s="3486"/>
      <c r="D2029" s="3486"/>
      <c r="E2029" s="3486"/>
    </row>
    <row r="2030" spans="1:5" s="171" customFormat="1" ht="18.75" x14ac:dyDescent="0.3">
      <c r="A2030" s="3486" t="s">
        <v>1050</v>
      </c>
      <c r="B2030" s="3486"/>
      <c r="C2030" s="3486"/>
      <c r="D2030" s="3486"/>
      <c r="E2030" s="3486"/>
    </row>
    <row r="2031" spans="1:5" s="171" customFormat="1" ht="19.5" thickBot="1" x14ac:dyDescent="0.35">
      <c r="A2031" s="3488" t="s">
        <v>2093</v>
      </c>
      <c r="B2031" s="3488"/>
      <c r="C2031" s="3488"/>
      <c r="D2031" s="3488"/>
      <c r="E2031" s="3488"/>
    </row>
    <row r="2032" spans="1:5" s="2048" customFormat="1" ht="57" thickBot="1" x14ac:dyDescent="0.35">
      <c r="A2032" s="2290" t="s">
        <v>1014</v>
      </c>
      <c r="B2032" s="2290" t="s">
        <v>282</v>
      </c>
      <c r="C2032" s="2453" t="s">
        <v>1174</v>
      </c>
      <c r="D2032" s="2457" t="s">
        <v>1145</v>
      </c>
      <c r="E2032" s="2453" t="s">
        <v>3096</v>
      </c>
    </row>
    <row r="2033" spans="1:5" s="171" customFormat="1" ht="19.5" thickBot="1" x14ac:dyDescent="0.35">
      <c r="A2033" s="2046">
        <v>22020100</v>
      </c>
      <c r="B2033" s="2191" t="s">
        <v>64</v>
      </c>
      <c r="C2033" s="2382">
        <f>SUM(C2034:C2034)</f>
        <v>2259581</v>
      </c>
      <c r="D2033" s="2383">
        <f>SUM(D2034:D2034)</f>
        <v>1559000</v>
      </c>
      <c r="E2033" s="2382">
        <f>SUM(E2034:E2034)</f>
        <v>2259581</v>
      </c>
    </row>
    <row r="2034" spans="1:5" s="171" customFormat="1" ht="19.5" thickBot="1" x14ac:dyDescent="0.35">
      <c r="A2034" s="2049">
        <v>22020102</v>
      </c>
      <c r="B2034" s="2146" t="s">
        <v>10</v>
      </c>
      <c r="C2034" s="2380">
        <v>2259581</v>
      </c>
      <c r="D2034" s="2380">
        <v>1559000</v>
      </c>
      <c r="E2034" s="2380">
        <v>2259581</v>
      </c>
    </row>
    <row r="2035" spans="1:5" s="171" customFormat="1" ht="19.5" thickBot="1" x14ac:dyDescent="0.35">
      <c r="A2035" s="2046">
        <v>22020800</v>
      </c>
      <c r="B2035" s="2191" t="s">
        <v>71</v>
      </c>
      <c r="C2035" s="2382">
        <f>SUM(C2036:C2036)</f>
        <v>742539</v>
      </c>
      <c r="D2035" s="2383">
        <f>SUM(D2036:D2036)</f>
        <v>440000</v>
      </c>
      <c r="E2035" s="2382">
        <f>SUM(E2036:E2036)</f>
        <v>742539</v>
      </c>
    </row>
    <row r="2036" spans="1:5" s="171" customFormat="1" ht="19.5" thickBot="1" x14ac:dyDescent="0.35">
      <c r="A2036" s="2049">
        <v>22020803</v>
      </c>
      <c r="B2036" s="2146" t="s">
        <v>115</v>
      </c>
      <c r="C2036" s="2386">
        <v>742539</v>
      </c>
      <c r="D2036" s="2386">
        <v>440000</v>
      </c>
      <c r="E2036" s="2386">
        <v>742539</v>
      </c>
    </row>
    <row r="2037" spans="1:5" s="171" customFormat="1" ht="19.5" thickBot="1" x14ac:dyDescent="0.35">
      <c r="A2037" s="2046">
        <v>22021000</v>
      </c>
      <c r="B2037" s="2191" t="s">
        <v>73</v>
      </c>
      <c r="C2037" s="2382">
        <f>SUM(C2038:C2038)</f>
        <v>497880</v>
      </c>
      <c r="D2037" s="2382">
        <f>SUM(D2038:D2038)</f>
        <v>195000</v>
      </c>
      <c r="E2037" s="2382">
        <f>SUM(E2038:E2038)</f>
        <v>497880</v>
      </c>
    </row>
    <row r="2038" spans="1:5" s="171" customFormat="1" ht="18.75" x14ac:dyDescent="0.3">
      <c r="A2038" s="2049">
        <v>22021001</v>
      </c>
      <c r="B2038" s="2146" t="s">
        <v>41</v>
      </c>
      <c r="C2038" s="2380">
        <v>497880</v>
      </c>
      <c r="D2038" s="2380">
        <v>195000</v>
      </c>
      <c r="E2038" s="2380">
        <v>497880</v>
      </c>
    </row>
    <row r="2039" spans="1:5" s="171" customFormat="1" ht="19.5" thickBot="1" x14ac:dyDescent="0.35">
      <c r="A2039" s="2445"/>
      <c r="B2039" s="2191"/>
      <c r="C2039" s="2471"/>
      <c r="D2039" s="2471"/>
      <c r="E2039" s="2471"/>
    </row>
    <row r="2040" spans="1:5" s="171" customFormat="1" ht="19.5" thickBot="1" x14ac:dyDescent="0.35">
      <c r="A2040" s="2472"/>
      <c r="B2040" s="2473" t="s">
        <v>3064</v>
      </c>
      <c r="C2040" s="2382">
        <f>C2033+C2035+C2037+C2039</f>
        <v>3500000</v>
      </c>
      <c r="D2040" s="2382">
        <f>D2033+D2035+D2037+D2039</f>
        <v>2194000</v>
      </c>
      <c r="E2040" s="2382">
        <f>E2033+E2035+E2037+E2039</f>
        <v>3500000</v>
      </c>
    </row>
    <row r="2041" spans="1:5" s="171" customFormat="1" ht="18.75" x14ac:dyDescent="0.3">
      <c r="B2041" s="169"/>
      <c r="C2041" s="2465"/>
      <c r="D2041" s="2466"/>
      <c r="E2041" s="2465"/>
    </row>
    <row r="2042" spans="1:5" s="171" customFormat="1" ht="18.75" x14ac:dyDescent="0.3">
      <c r="B2042" s="169"/>
      <c r="C2042" s="2465"/>
      <c r="D2042" s="2466"/>
      <c r="E2042" s="2465"/>
    </row>
    <row r="2043" spans="1:5" s="171" customFormat="1" ht="18.75" x14ac:dyDescent="0.3">
      <c r="B2043" s="169"/>
      <c r="C2043" s="2465"/>
      <c r="D2043" s="2466"/>
      <c r="E2043" s="2465"/>
    </row>
    <row r="2044" spans="1:5" s="171" customFormat="1" ht="18.75" x14ac:dyDescent="0.3">
      <c r="A2044" s="3486" t="s">
        <v>1475</v>
      </c>
      <c r="B2044" s="3486"/>
      <c r="C2044" s="3486"/>
      <c r="D2044" s="3486"/>
      <c r="E2044" s="3486"/>
    </row>
    <row r="2045" spans="1:5" s="171" customFormat="1" ht="18.75" x14ac:dyDescent="0.3">
      <c r="A2045" s="3486" t="s">
        <v>1051</v>
      </c>
      <c r="B2045" s="3486"/>
      <c r="C2045" s="3486"/>
      <c r="D2045" s="3486"/>
      <c r="E2045" s="3486"/>
    </row>
    <row r="2046" spans="1:5" s="171" customFormat="1" ht="19.5" thickBot="1" x14ac:dyDescent="0.35">
      <c r="A2046" s="3488" t="s">
        <v>1873</v>
      </c>
      <c r="B2046" s="3488"/>
      <c r="C2046" s="3488"/>
      <c r="D2046" s="3488"/>
      <c r="E2046" s="3488"/>
    </row>
    <row r="2047" spans="1:5" s="2048" customFormat="1" ht="57" thickBot="1" x14ac:dyDescent="0.35">
      <c r="A2047" s="2290" t="s">
        <v>1014</v>
      </c>
      <c r="B2047" s="2290" t="s">
        <v>282</v>
      </c>
      <c r="C2047" s="2453" t="s">
        <v>1174</v>
      </c>
      <c r="D2047" s="2457" t="s">
        <v>1145</v>
      </c>
      <c r="E2047" s="2453" t="s">
        <v>3096</v>
      </c>
    </row>
    <row r="2048" spans="1:5" s="171" customFormat="1" ht="19.5" thickBot="1" x14ac:dyDescent="0.35">
      <c r="A2048" s="2046">
        <v>22020100</v>
      </c>
      <c r="B2048" s="2191" t="s">
        <v>64</v>
      </c>
      <c r="C2048" s="2382">
        <f>SUM(C2049:C2050)</f>
        <v>2947404</v>
      </c>
      <c r="D2048" s="2383">
        <f>SUM(D2049:D2050)</f>
        <v>1148000</v>
      </c>
      <c r="E2048" s="2382">
        <f>SUM(E2049:E2050)</f>
        <v>2947404</v>
      </c>
    </row>
    <row r="2049" spans="1:5" s="171" customFormat="1" ht="18.75" x14ac:dyDescent="0.3">
      <c r="A2049" s="2049">
        <v>22020101</v>
      </c>
      <c r="B2049" s="2146" t="s">
        <v>9</v>
      </c>
      <c r="C2049" s="2474">
        <v>721140</v>
      </c>
      <c r="D2049" s="2474">
        <v>387000</v>
      </c>
      <c r="E2049" s="2474">
        <v>721140</v>
      </c>
    </row>
    <row r="2050" spans="1:5" s="171" customFormat="1" ht="19.5" thickBot="1" x14ac:dyDescent="0.35">
      <c r="A2050" s="2049">
        <v>22020102</v>
      </c>
      <c r="B2050" s="2146" t="s">
        <v>10</v>
      </c>
      <c r="C2050" s="2475">
        <v>2226264</v>
      </c>
      <c r="D2050" s="2475">
        <v>761000</v>
      </c>
      <c r="E2050" s="2475">
        <v>2226264</v>
      </c>
    </row>
    <row r="2051" spans="1:5" s="171" customFormat="1" ht="19.5" thickBot="1" x14ac:dyDescent="0.35">
      <c r="A2051" s="2046">
        <v>22020200</v>
      </c>
      <c r="B2051" s="2191" t="s">
        <v>65</v>
      </c>
      <c r="C2051" s="2382">
        <f>SUM(C2052:C2053)</f>
        <v>1155260</v>
      </c>
      <c r="D2051" s="2383">
        <f>SUM(D2052:D2053)</f>
        <v>372000</v>
      </c>
      <c r="E2051" s="2382">
        <f>SUM(E2052:E2053)</f>
        <v>1155260</v>
      </c>
    </row>
    <row r="2052" spans="1:5" s="171" customFormat="1" ht="18.75" x14ac:dyDescent="0.3">
      <c r="A2052" s="2049">
        <v>22020202</v>
      </c>
      <c r="B2052" s="2146" t="s">
        <v>14</v>
      </c>
      <c r="C2052" s="2474">
        <v>339260</v>
      </c>
      <c r="D2052" s="2474">
        <v>20000</v>
      </c>
      <c r="E2052" s="2474">
        <v>339260</v>
      </c>
    </row>
    <row r="2053" spans="1:5" s="171" customFormat="1" ht="19.5" thickBot="1" x14ac:dyDescent="0.35">
      <c r="A2053" s="2049">
        <v>22020203</v>
      </c>
      <c r="B2053" s="2146" t="s">
        <v>15</v>
      </c>
      <c r="C2053" s="2476">
        <v>816000</v>
      </c>
      <c r="D2053" s="2475">
        <v>352000</v>
      </c>
      <c r="E2053" s="2476">
        <v>816000</v>
      </c>
    </row>
    <row r="2054" spans="1:5" s="171" customFormat="1" ht="19.5" thickBot="1" x14ac:dyDescent="0.35">
      <c r="A2054" s="2046">
        <v>22020300</v>
      </c>
      <c r="B2054" s="2191" t="s">
        <v>66</v>
      </c>
      <c r="C2054" s="2382">
        <f>SUM(C2055:C2056)</f>
        <v>70888812</v>
      </c>
      <c r="D2054" s="2383">
        <f>SUM(D2055:D2056)</f>
        <v>1956250</v>
      </c>
      <c r="E2054" s="2382">
        <f>SUM(E2055:E2056)</f>
        <v>70888812</v>
      </c>
    </row>
    <row r="2055" spans="1:5" s="171" customFormat="1" ht="18.75" x14ac:dyDescent="0.3">
      <c r="A2055" s="2049">
        <v>22020301</v>
      </c>
      <c r="B2055" s="2146" t="s">
        <v>17</v>
      </c>
      <c r="C2055" s="2474">
        <v>3295408</v>
      </c>
      <c r="D2055" s="2474">
        <v>1613800</v>
      </c>
      <c r="E2055" s="2474">
        <v>3295408</v>
      </c>
    </row>
    <row r="2056" spans="1:5" s="171" customFormat="1" ht="19.5" thickBot="1" x14ac:dyDescent="0.35">
      <c r="A2056" s="2049">
        <v>22020307</v>
      </c>
      <c r="B2056" s="2146" t="s">
        <v>111</v>
      </c>
      <c r="C2056" s="2475">
        <v>67593404</v>
      </c>
      <c r="D2056" s="2475">
        <v>342450</v>
      </c>
      <c r="E2056" s="2475">
        <v>67593404</v>
      </c>
    </row>
    <row r="2057" spans="1:5" s="171" customFormat="1" ht="19.5" thickBot="1" x14ac:dyDescent="0.35">
      <c r="A2057" s="2046">
        <v>22020400</v>
      </c>
      <c r="B2057" s="2191" t="s">
        <v>67</v>
      </c>
      <c r="C2057" s="2382">
        <f>SUM(C2058:C2061)</f>
        <v>89552140</v>
      </c>
      <c r="D2057" s="2478">
        <f>SUM(D2058:D2061)</f>
        <v>24062000</v>
      </c>
      <c r="E2057" s="2437">
        <f>SUM(E2058:E2061)</f>
        <v>54483686</v>
      </c>
    </row>
    <row r="2058" spans="1:5" s="171" customFormat="1" ht="18.75" x14ac:dyDescent="0.3">
      <c r="A2058" s="2049">
        <v>22020401</v>
      </c>
      <c r="B2058" s="2146" t="s">
        <v>79</v>
      </c>
      <c r="C2058" s="2477">
        <v>10620594</v>
      </c>
      <c r="D2058" s="2474">
        <v>9824800</v>
      </c>
      <c r="E2058" s="2477">
        <v>10620594</v>
      </c>
    </row>
    <row r="2059" spans="1:5" s="171" customFormat="1" ht="18.75" x14ac:dyDescent="0.3">
      <c r="A2059" s="2049">
        <v>22020402</v>
      </c>
      <c r="B2059" s="2050" t="s">
        <v>1943</v>
      </c>
      <c r="C2059" s="2475"/>
      <c r="D2059" s="2475"/>
      <c r="E2059" s="2475">
        <v>20931546</v>
      </c>
    </row>
    <row r="2060" spans="1:5" s="171" customFormat="1" ht="18.75" x14ac:dyDescent="0.3">
      <c r="A2060" s="2049">
        <v>22020404</v>
      </c>
      <c r="B2060" s="2146" t="s">
        <v>27</v>
      </c>
      <c r="C2060" s="2474">
        <v>22931546</v>
      </c>
      <c r="D2060" s="2474">
        <v>14237200</v>
      </c>
      <c r="E2060" s="2474">
        <v>22931546</v>
      </c>
    </row>
    <row r="2061" spans="1:5" s="171" customFormat="1" ht="19.5" thickBot="1" x14ac:dyDescent="0.35">
      <c r="A2061" s="2049">
        <v>22020406</v>
      </c>
      <c r="B2061" s="2050" t="s">
        <v>29</v>
      </c>
      <c r="C2061" s="2474">
        <v>56000000</v>
      </c>
      <c r="D2061" s="2474"/>
      <c r="E2061" s="2474"/>
    </row>
    <row r="2062" spans="1:5" s="171" customFormat="1" ht="19.5" thickBot="1" x14ac:dyDescent="0.35">
      <c r="A2062" s="2046">
        <v>22021000</v>
      </c>
      <c r="B2062" s="2191" t="s">
        <v>73</v>
      </c>
      <c r="C2062" s="2382">
        <f>SUM(C2063:C2064)</f>
        <v>7442614</v>
      </c>
      <c r="D2062" s="2382">
        <f>SUM(D2063:D2064)</f>
        <v>3048500</v>
      </c>
      <c r="E2062" s="2382">
        <f>SUM(E2063:E2064)</f>
        <v>7442614</v>
      </c>
    </row>
    <row r="2063" spans="1:5" s="171" customFormat="1" ht="18.75" x14ac:dyDescent="0.3">
      <c r="A2063" s="2049">
        <v>22021002</v>
      </c>
      <c r="B2063" s="2146" t="s">
        <v>1579</v>
      </c>
      <c r="C2063" s="2381">
        <v>618120</v>
      </c>
      <c r="D2063" s="2381"/>
      <c r="E2063" s="2381">
        <v>618120</v>
      </c>
    </row>
    <row r="2064" spans="1:5" s="171" customFormat="1" ht="18.75" x14ac:dyDescent="0.3">
      <c r="A2064" s="2049">
        <v>22021041</v>
      </c>
      <c r="B2064" s="2146" t="s">
        <v>3330</v>
      </c>
      <c r="C2064" s="2477">
        <v>6824494</v>
      </c>
      <c r="D2064" s="2474">
        <v>3048500</v>
      </c>
      <c r="E2064" s="2477">
        <v>6824494</v>
      </c>
    </row>
    <row r="2065" spans="1:5" s="171" customFormat="1" ht="19.5" thickBot="1" x14ac:dyDescent="0.35">
      <c r="A2065" s="2049"/>
      <c r="B2065" s="2191"/>
      <c r="C2065" s="2479"/>
      <c r="D2065" s="2471"/>
      <c r="E2065" s="2479"/>
    </row>
    <row r="2066" spans="1:5" s="171" customFormat="1" ht="19.5" thickBot="1" x14ac:dyDescent="0.35">
      <c r="A2066" s="2401"/>
      <c r="B2066" s="2473" t="s">
        <v>1903</v>
      </c>
      <c r="C2066" s="2382">
        <f>SUM(C2048,C2051,C2054,C2057,C2062)</f>
        <v>171986230</v>
      </c>
      <c r="D2066" s="2383">
        <f>SUM(D2048,D2051,D2054,D2057,D2062)</f>
        <v>30586750</v>
      </c>
      <c r="E2066" s="2382">
        <f>SUM(E2048,E2051,E2054,E2057,E2062)</f>
        <v>136917776</v>
      </c>
    </row>
    <row r="2067" spans="1:5" s="171" customFormat="1" ht="18.75" x14ac:dyDescent="0.3">
      <c r="B2067" s="169"/>
      <c r="C2067" s="2465"/>
      <c r="D2067" s="2466"/>
      <c r="E2067" s="2465"/>
    </row>
    <row r="2068" spans="1:5" s="171" customFormat="1" ht="18.75" x14ac:dyDescent="0.3">
      <c r="A2068" s="3486" t="s">
        <v>1475</v>
      </c>
      <c r="B2068" s="3486"/>
      <c r="C2068" s="3486"/>
      <c r="D2068" s="3486"/>
      <c r="E2068" s="3486"/>
    </row>
    <row r="2069" spans="1:5" s="171" customFormat="1" ht="18.75" x14ac:dyDescent="0.3">
      <c r="A2069" s="3486" t="s">
        <v>1051</v>
      </c>
      <c r="B2069" s="3486"/>
      <c r="C2069" s="3486"/>
      <c r="D2069" s="3486"/>
      <c r="E2069" s="3486"/>
    </row>
    <row r="2070" spans="1:5" s="171" customFormat="1" ht="19.5" thickBot="1" x14ac:dyDescent="0.35">
      <c r="A2070" s="3488" t="s">
        <v>1904</v>
      </c>
      <c r="B2070" s="3488"/>
      <c r="C2070" s="3488"/>
      <c r="D2070" s="3488"/>
      <c r="E2070" s="3488"/>
    </row>
    <row r="2071" spans="1:5" s="2048" customFormat="1" ht="57" thickBot="1" x14ac:dyDescent="0.35">
      <c r="A2071" s="2290" t="s">
        <v>1014</v>
      </c>
      <c r="B2071" s="2290" t="s">
        <v>282</v>
      </c>
      <c r="C2071" s="2453" t="s">
        <v>1174</v>
      </c>
      <c r="D2071" s="2457" t="s">
        <v>1145</v>
      </c>
      <c r="E2071" s="2453" t="s">
        <v>3096</v>
      </c>
    </row>
    <row r="2072" spans="1:5" s="171" customFormat="1" ht="19.5" thickBot="1" x14ac:dyDescent="0.35">
      <c r="A2072" s="2046">
        <v>22020100</v>
      </c>
      <c r="B2072" s="2191" t="s">
        <v>64</v>
      </c>
      <c r="C2072" s="2140">
        <f>SUM(C2073:C2073)</f>
        <v>1500000</v>
      </c>
      <c r="D2072" s="3228">
        <v>836600</v>
      </c>
      <c r="E2072" s="2142">
        <f>SUM(E2073:E2073)</f>
        <v>2866920</v>
      </c>
    </row>
    <row r="2073" spans="1:5" s="171" customFormat="1" ht="19.5" thickBot="1" x14ac:dyDescent="0.35">
      <c r="A2073" s="2049">
        <v>22020101</v>
      </c>
      <c r="B2073" s="2146" t="s">
        <v>9</v>
      </c>
      <c r="C2073" s="2139">
        <v>1500000</v>
      </c>
      <c r="D2073" s="2139">
        <v>836600</v>
      </c>
      <c r="E2073" s="2139">
        <v>2866920</v>
      </c>
    </row>
    <row r="2074" spans="1:5" s="171" customFormat="1" ht="19.5" thickBot="1" x14ac:dyDescent="0.35">
      <c r="A2074" s="2046">
        <v>22020200</v>
      </c>
      <c r="B2074" s="2191" t="s">
        <v>65</v>
      </c>
      <c r="C2074" s="2140">
        <f>SUM(C2075:C2076)</f>
        <v>400000</v>
      </c>
      <c r="D2074" s="2141">
        <f>SUM(D2075:D2076)</f>
        <v>305000</v>
      </c>
      <c r="E2074" s="2142">
        <f>SUM(E2075:E2076)</f>
        <v>180000</v>
      </c>
    </row>
    <row r="2075" spans="1:5" s="171" customFormat="1" ht="18.75" x14ac:dyDescent="0.3">
      <c r="A2075" s="2049">
        <v>22020202</v>
      </c>
      <c r="B2075" s="2146" t="s">
        <v>14</v>
      </c>
      <c r="C2075" s="2138">
        <v>400000</v>
      </c>
      <c r="D2075" s="2138">
        <v>305000</v>
      </c>
      <c r="E2075" s="2138">
        <v>60000</v>
      </c>
    </row>
    <row r="2076" spans="1:5" s="171" customFormat="1" ht="19.5" thickBot="1" x14ac:dyDescent="0.35">
      <c r="A2076" s="2049">
        <v>22020203</v>
      </c>
      <c r="B2076" s="2146" t="s">
        <v>15</v>
      </c>
      <c r="C2076" s="2139">
        <v>0</v>
      </c>
      <c r="D2076" s="2139"/>
      <c r="E2076" s="2139">
        <v>120000</v>
      </c>
    </row>
    <row r="2077" spans="1:5" s="171" customFormat="1" ht="19.5" thickBot="1" x14ac:dyDescent="0.35">
      <c r="A2077" s="2046">
        <v>22020300</v>
      </c>
      <c r="B2077" s="2191" t="s">
        <v>66</v>
      </c>
      <c r="C2077" s="2140">
        <f>SUM(C2078:C2080)</f>
        <v>3500000</v>
      </c>
      <c r="D2077" s="2141">
        <f>SUM(D2078:D2080)</f>
        <v>790000</v>
      </c>
      <c r="E2077" s="2142">
        <f>SUM(E2078:E2080)</f>
        <v>1600000</v>
      </c>
    </row>
    <row r="2078" spans="1:5" s="171" customFormat="1" ht="18.75" x14ac:dyDescent="0.3">
      <c r="A2078" s="2049">
        <v>22020301</v>
      </c>
      <c r="B2078" s="2146" t="s">
        <v>17</v>
      </c>
      <c r="C2078" s="2138">
        <v>1600000</v>
      </c>
      <c r="D2078" s="2138">
        <v>580000</v>
      </c>
      <c r="E2078" s="2138">
        <v>1600000</v>
      </c>
    </row>
    <row r="2079" spans="1:5" s="171" customFormat="1" ht="18.75" x14ac:dyDescent="0.3">
      <c r="A2079" s="2049">
        <v>22020304</v>
      </c>
      <c r="B2079" s="2146" t="s">
        <v>3026</v>
      </c>
      <c r="C2079" s="2138">
        <v>1300000</v>
      </c>
      <c r="D2079" s="2138">
        <v>120000</v>
      </c>
      <c r="E2079" s="2138"/>
    </row>
    <row r="2080" spans="1:5" s="171" customFormat="1" ht="19.5" thickBot="1" x14ac:dyDescent="0.35">
      <c r="A2080" s="2049">
        <v>22020307</v>
      </c>
      <c r="B2080" s="2146" t="s">
        <v>111</v>
      </c>
      <c r="C2080" s="2139">
        <v>600000</v>
      </c>
      <c r="D2080" s="2139">
        <v>90000</v>
      </c>
      <c r="E2080" s="2139">
        <v>0</v>
      </c>
    </row>
    <row r="2081" spans="1:5" s="171" customFormat="1" ht="19.5" thickBot="1" x14ac:dyDescent="0.35">
      <c r="A2081" s="2046">
        <v>22020400</v>
      </c>
      <c r="B2081" s="2191" t="s">
        <v>67</v>
      </c>
      <c r="C2081" s="2140">
        <f>SUM(C2082:C2084)</f>
        <v>2712000</v>
      </c>
      <c r="D2081" s="2140">
        <f>SUM(D2082:D2084)</f>
        <v>284000</v>
      </c>
      <c r="E2081" s="2140">
        <f>SUM(E2082:E2084)</f>
        <v>1312000</v>
      </c>
    </row>
    <row r="2082" spans="1:5" s="171" customFormat="1" ht="18.75" x14ac:dyDescent="0.3">
      <c r="A2082" s="2049">
        <v>22020401</v>
      </c>
      <c r="B2082" s="2146" t="s">
        <v>79</v>
      </c>
      <c r="C2082" s="2138">
        <v>1312000</v>
      </c>
      <c r="D2082" s="2138">
        <v>144000</v>
      </c>
      <c r="E2082" s="2138">
        <v>480000</v>
      </c>
    </row>
    <row r="2083" spans="1:5" s="171" customFormat="1" ht="18.75" x14ac:dyDescent="0.3">
      <c r="A2083" s="2049">
        <v>22020404</v>
      </c>
      <c r="B2083" s="2146" t="s">
        <v>27</v>
      </c>
      <c r="C2083" s="2139">
        <v>1400000</v>
      </c>
      <c r="D2083" s="2139">
        <v>140000</v>
      </c>
      <c r="E2083" s="2139">
        <v>832000</v>
      </c>
    </row>
    <row r="2084" spans="1:5" s="171" customFormat="1" ht="22.5" customHeight="1" thickBot="1" x14ac:dyDescent="0.35">
      <c r="A2084" s="2049">
        <v>22020406</v>
      </c>
      <c r="B2084" s="2050" t="s">
        <v>3065</v>
      </c>
      <c r="C2084" s="2139"/>
      <c r="D2084" s="2139"/>
      <c r="E2084" s="2139">
        <v>0</v>
      </c>
    </row>
    <row r="2085" spans="1:5" s="171" customFormat="1" ht="19.5" thickBot="1" x14ac:dyDescent="0.35">
      <c r="A2085" s="2046">
        <v>22020500</v>
      </c>
      <c r="B2085" s="2191" t="s">
        <v>68</v>
      </c>
      <c r="C2085" s="2140">
        <f>SUM(C2086:C2087)</f>
        <v>2500000</v>
      </c>
      <c r="D2085" s="2140">
        <f t="shared" ref="D2085" si="16">SUM(D2086:D2087)</f>
        <v>634400</v>
      </c>
      <c r="E2085" s="2140">
        <f>SUM(E2086:E2087)</f>
        <v>2866920</v>
      </c>
    </row>
    <row r="2086" spans="1:5" s="171" customFormat="1" ht="18.75" x14ac:dyDescent="0.3">
      <c r="A2086" s="2049">
        <v>22020501</v>
      </c>
      <c r="B2086" s="2146" t="s">
        <v>1905</v>
      </c>
      <c r="C2086" s="2138">
        <v>1000000</v>
      </c>
      <c r="D2086" s="2138">
        <v>210200</v>
      </c>
      <c r="E2086" s="2138">
        <v>866920</v>
      </c>
    </row>
    <row r="2087" spans="1:5" s="171" customFormat="1" ht="19.5" thickBot="1" x14ac:dyDescent="0.35">
      <c r="A2087" s="2049">
        <v>22020502</v>
      </c>
      <c r="B2087" s="2146" t="s">
        <v>3024</v>
      </c>
      <c r="C2087" s="2138">
        <v>1500000</v>
      </c>
      <c r="D2087" s="2139">
        <v>424200</v>
      </c>
      <c r="E2087" s="2139">
        <v>2000000</v>
      </c>
    </row>
    <row r="2088" spans="1:5" s="171" customFormat="1" ht="19.5" thickBot="1" x14ac:dyDescent="0.35">
      <c r="A2088" s="2046">
        <v>22021000</v>
      </c>
      <c r="B2088" s="2191" t="s">
        <v>73</v>
      </c>
      <c r="C2088" s="2140">
        <f>SUM(C2089:C2090)</f>
        <v>1800000.07</v>
      </c>
      <c r="D2088" s="2141">
        <f>SUM(D2089:D2090)</f>
        <v>250000</v>
      </c>
      <c r="E2088" s="2142">
        <f>SUM(E2089:E2090)</f>
        <v>3186160</v>
      </c>
    </row>
    <row r="2089" spans="1:5" s="171" customFormat="1" ht="18.75" x14ac:dyDescent="0.3">
      <c r="A2089" s="2049">
        <v>22021041</v>
      </c>
      <c r="B2089" s="2146" t="s">
        <v>127</v>
      </c>
      <c r="C2089" s="2138">
        <v>7.0000000000000007E-2</v>
      </c>
      <c r="D2089" s="2138">
        <v>0</v>
      </c>
      <c r="E2089" s="2138">
        <v>840840</v>
      </c>
    </row>
    <row r="2090" spans="1:5" s="171" customFormat="1" ht="18.75" x14ac:dyDescent="0.3">
      <c r="A2090" s="2049">
        <v>22021003</v>
      </c>
      <c r="B2090" s="2146" t="s">
        <v>3025</v>
      </c>
      <c r="C2090" s="2138">
        <v>1800000</v>
      </c>
      <c r="D2090" s="2138">
        <v>250000</v>
      </c>
      <c r="E2090" s="2138">
        <v>2345320</v>
      </c>
    </row>
    <row r="2091" spans="1:5" s="171" customFormat="1" ht="19.5" thickBot="1" x14ac:dyDescent="0.35">
      <c r="A2091" s="2049"/>
      <c r="B2091" s="2191"/>
      <c r="C2091" s="2149"/>
      <c r="D2091" s="2149"/>
      <c r="E2091" s="2149"/>
    </row>
    <row r="2092" spans="1:5" s="171" customFormat="1" ht="19.5" thickBot="1" x14ac:dyDescent="0.35">
      <c r="A2092" s="2401"/>
      <c r="B2092" s="2473" t="s">
        <v>2716</v>
      </c>
      <c r="C2092" s="2142">
        <f>SUM(C2072,C2074,C2077,C2081,C2085,C2088)</f>
        <v>12412000.07</v>
      </c>
      <c r="D2092" s="2142">
        <f>SUM(D2072,D2074,D2077,D2081,D2085,D2088)</f>
        <v>3100000</v>
      </c>
      <c r="E2092" s="2142">
        <f>SUM(E2072,E2074,E2077,E2081,E2085,E2088)</f>
        <v>12012000</v>
      </c>
    </row>
    <row r="2093" spans="1:5" s="171" customFormat="1" ht="18.75" x14ac:dyDescent="0.3">
      <c r="B2093" s="169"/>
      <c r="C2093" s="2465"/>
      <c r="D2093" s="2466"/>
      <c r="E2093" s="2465"/>
    </row>
    <row r="2094" spans="1:5" s="171" customFormat="1" ht="18.75" x14ac:dyDescent="0.3">
      <c r="B2094" s="169"/>
      <c r="C2094" s="2465"/>
      <c r="D2094" s="2466"/>
      <c r="E2094" s="2465"/>
    </row>
    <row r="2095" spans="1:5" s="171" customFormat="1" ht="18.75" x14ac:dyDescent="0.3">
      <c r="B2095" s="169"/>
      <c r="C2095" s="2465"/>
      <c r="D2095" s="2466"/>
      <c r="E2095" s="2465"/>
    </row>
    <row r="2096" spans="1:5" s="171" customFormat="1" ht="18.75" x14ac:dyDescent="0.3">
      <c r="A2096" s="3486" t="s">
        <v>1475</v>
      </c>
      <c r="B2096" s="3486"/>
      <c r="C2096" s="3486"/>
      <c r="D2096" s="3486"/>
      <c r="E2096" s="3486"/>
    </row>
    <row r="2097" spans="1:5" s="171" customFormat="1" ht="19.5" thickBot="1" x14ac:dyDescent="0.35">
      <c r="A2097" s="3488" t="s">
        <v>1906</v>
      </c>
      <c r="B2097" s="3488"/>
      <c r="C2097" s="3488"/>
      <c r="D2097" s="3488"/>
      <c r="E2097" s="3488"/>
    </row>
    <row r="2098" spans="1:5" s="2260" customFormat="1" ht="32.25" thickBot="1" x14ac:dyDescent="0.3">
      <c r="A2098" s="2261" t="s">
        <v>1014</v>
      </c>
      <c r="B2098" s="2261" t="s">
        <v>282</v>
      </c>
      <c r="C2098" s="2480" t="s">
        <v>1174</v>
      </c>
      <c r="D2098" s="2481" t="s">
        <v>1145</v>
      </c>
      <c r="E2098" s="2480" t="s">
        <v>3096</v>
      </c>
    </row>
    <row r="2099" spans="1:5" s="2483" customFormat="1" ht="16.5" thickBot="1" x14ac:dyDescent="0.3">
      <c r="A2099" s="2273">
        <v>22020100</v>
      </c>
      <c r="B2099" s="2274" t="s">
        <v>64</v>
      </c>
      <c r="C2099" s="2485">
        <f>SUM(C2100:C2100)</f>
        <v>4920000</v>
      </c>
      <c r="D2099" s="2486">
        <f>SUM(D2100:D2100)</f>
        <v>1436970</v>
      </c>
      <c r="E2099" s="2487">
        <f>SUM(E2100:E2100)</f>
        <v>6920000</v>
      </c>
    </row>
    <row r="2100" spans="1:5" s="2483" customFormat="1" ht="16.5" thickBot="1" x14ac:dyDescent="0.3">
      <c r="A2100" s="2266">
        <v>22020102</v>
      </c>
      <c r="B2100" s="2267" t="s">
        <v>10</v>
      </c>
      <c r="C2100" s="2484">
        <v>4920000</v>
      </c>
      <c r="D2100" s="2484">
        <v>1436970</v>
      </c>
      <c r="E2100" s="2484">
        <v>6920000</v>
      </c>
    </row>
    <row r="2101" spans="1:5" s="2483" customFormat="1" ht="16.5" thickBot="1" x14ac:dyDescent="0.3">
      <c r="A2101" s="2273">
        <v>22020300</v>
      </c>
      <c r="B2101" s="2274" t="s">
        <v>66</v>
      </c>
      <c r="C2101" s="2485">
        <f>SUM(C2102:C2103)</f>
        <v>3600000</v>
      </c>
      <c r="D2101" s="2485">
        <f>SUM(D2102:D2103)</f>
        <v>396900</v>
      </c>
      <c r="E2101" s="2485">
        <f>SUM(E2102:E2103)</f>
        <v>7100000</v>
      </c>
    </row>
    <row r="2102" spans="1:5" s="2483" customFormat="1" ht="15.75" x14ac:dyDescent="0.25">
      <c r="A2102" s="2266">
        <v>22020301</v>
      </c>
      <c r="B2102" s="2267" t="s">
        <v>17</v>
      </c>
      <c r="C2102" s="2484">
        <v>3600000</v>
      </c>
      <c r="D2102" s="2484">
        <v>396900</v>
      </c>
      <c r="E2102" s="2484">
        <v>3600000</v>
      </c>
    </row>
    <row r="2103" spans="1:5" s="2483" customFormat="1" ht="16.5" thickBot="1" x14ac:dyDescent="0.3">
      <c r="A2103" s="2266">
        <v>22020305</v>
      </c>
      <c r="B2103" s="2488" t="s">
        <v>1892</v>
      </c>
      <c r="C2103" s="2489"/>
      <c r="D2103" s="2482"/>
      <c r="E2103" s="2489">
        <v>3500000</v>
      </c>
    </row>
    <row r="2104" spans="1:5" s="2483" customFormat="1" ht="16.5" thickBot="1" x14ac:dyDescent="0.3">
      <c r="A2104" s="2273">
        <v>22020400</v>
      </c>
      <c r="B2104" s="2274" t="s">
        <v>67</v>
      </c>
      <c r="C2104" s="2487">
        <f>SUM(C2105:C2106)</f>
        <v>6730938</v>
      </c>
      <c r="D2104" s="2487">
        <f>SUM(D2105:D2106)</f>
        <v>4266130</v>
      </c>
      <c r="E2104" s="2487">
        <f>SUM(E2105:E2106)</f>
        <v>7200000</v>
      </c>
    </row>
    <row r="2105" spans="1:5" s="2483" customFormat="1" ht="15.75" x14ac:dyDescent="0.25">
      <c r="A2105" s="2266">
        <v>22020401</v>
      </c>
      <c r="B2105" s="2267" t="s">
        <v>79</v>
      </c>
      <c r="C2105" s="2484">
        <v>3200000</v>
      </c>
      <c r="D2105" s="2484">
        <v>1266130</v>
      </c>
      <c r="E2105" s="2484">
        <v>4200000</v>
      </c>
    </row>
    <row r="2106" spans="1:5" s="2483" customFormat="1" ht="16.5" thickBot="1" x14ac:dyDescent="0.3">
      <c r="A2106" s="2266">
        <v>22020406</v>
      </c>
      <c r="B2106" s="2267" t="s">
        <v>1917</v>
      </c>
      <c r="C2106" s="2482">
        <v>3530938</v>
      </c>
      <c r="D2106" s="2482">
        <v>3000000</v>
      </c>
      <c r="E2106" s="2482">
        <v>3000000</v>
      </c>
    </row>
    <row r="2107" spans="1:5" s="2483" customFormat="1" ht="16.5" thickBot="1" x14ac:dyDescent="0.3">
      <c r="A2107" s="2273">
        <v>22020500</v>
      </c>
      <c r="B2107" s="2274" t="s">
        <v>68</v>
      </c>
      <c r="C2107" s="2486">
        <f>SUM(C2108:C2113)</f>
        <v>29341524</v>
      </c>
      <c r="D2107" s="2486">
        <f>SUM(D2108:D2113)</f>
        <v>6660000</v>
      </c>
      <c r="E2107" s="2486">
        <f>SUM(E2108:E2113)</f>
        <v>44841524</v>
      </c>
    </row>
    <row r="2108" spans="1:5" s="2483" customFormat="1" ht="15.75" x14ac:dyDescent="0.25">
      <c r="A2108" s="2266">
        <v>22020501</v>
      </c>
      <c r="B2108" s="2267" t="s">
        <v>1907</v>
      </c>
      <c r="C2108" s="2482">
        <v>3000000</v>
      </c>
      <c r="D2108" s="2482">
        <v>0</v>
      </c>
      <c r="E2108" s="2482">
        <v>3000000</v>
      </c>
    </row>
    <row r="2109" spans="1:5" s="2483" customFormat="1" ht="15.75" x14ac:dyDescent="0.25">
      <c r="A2109" s="2266">
        <v>22020502</v>
      </c>
      <c r="B2109" s="2267" t="s">
        <v>1908</v>
      </c>
      <c r="C2109" s="2482">
        <v>0</v>
      </c>
      <c r="D2109" s="2482">
        <v>0</v>
      </c>
      <c r="E2109" s="2482">
        <v>3000000</v>
      </c>
    </row>
    <row r="2110" spans="1:5" s="2483" customFormat="1" ht="31.5" x14ac:dyDescent="0.25">
      <c r="A2110" s="2266">
        <v>22020502</v>
      </c>
      <c r="B2110" s="2267" t="s">
        <v>1909</v>
      </c>
      <c r="C2110" s="2482">
        <v>13463353</v>
      </c>
      <c r="D2110" s="2482">
        <v>4500000</v>
      </c>
      <c r="E2110" s="2482">
        <v>16963353</v>
      </c>
    </row>
    <row r="2111" spans="1:5" s="2483" customFormat="1" ht="15.75" x14ac:dyDescent="0.25">
      <c r="A2111" s="2266">
        <v>22020502</v>
      </c>
      <c r="B2111" s="2267" t="s">
        <v>1910</v>
      </c>
      <c r="C2111" s="2482">
        <v>2256000</v>
      </c>
      <c r="D2111" s="2482">
        <v>0</v>
      </c>
      <c r="E2111" s="2482">
        <v>4256000</v>
      </c>
    </row>
    <row r="2112" spans="1:5" s="2483" customFormat="1" ht="31.5" x14ac:dyDescent="0.25">
      <c r="A2112" s="2266">
        <v>22020502</v>
      </c>
      <c r="B2112" s="2267" t="s">
        <v>1916</v>
      </c>
      <c r="C2112" s="2482">
        <v>5462171</v>
      </c>
      <c r="D2112" s="2482">
        <v>0</v>
      </c>
      <c r="E2112" s="2482">
        <v>11462171</v>
      </c>
    </row>
    <row r="2113" spans="1:5" s="2483" customFormat="1" ht="32.25" thickBot="1" x14ac:dyDescent="0.3">
      <c r="A2113" s="2266">
        <v>22020502</v>
      </c>
      <c r="B2113" s="2267" t="s">
        <v>1911</v>
      </c>
      <c r="C2113" s="2482">
        <v>5160000</v>
      </c>
      <c r="D2113" s="2482">
        <v>2160000</v>
      </c>
      <c r="E2113" s="2482">
        <v>6160000</v>
      </c>
    </row>
    <row r="2114" spans="1:5" s="2483" customFormat="1" ht="16.5" thickBot="1" x14ac:dyDescent="0.3">
      <c r="A2114" s="2273">
        <v>22021000</v>
      </c>
      <c r="B2114" s="2274" t="s">
        <v>73</v>
      </c>
      <c r="C2114" s="2487">
        <f>SUM(C2115:C2122)</f>
        <v>16253200</v>
      </c>
      <c r="D2114" s="2487">
        <f>SUM(D2115:D2122)</f>
        <v>4231300</v>
      </c>
      <c r="E2114" s="2487">
        <f>SUM(E2115:E2122)</f>
        <v>48912000</v>
      </c>
    </row>
    <row r="2115" spans="1:5" s="2483" customFormat="1" ht="15.75" x14ac:dyDescent="0.25">
      <c r="A2115" s="2266">
        <v>22021001</v>
      </c>
      <c r="B2115" s="2267" t="s">
        <v>1754</v>
      </c>
      <c r="C2115" s="2482">
        <v>280000</v>
      </c>
      <c r="D2115" s="2482">
        <v>0</v>
      </c>
      <c r="E2115" s="2482">
        <v>280000</v>
      </c>
    </row>
    <row r="2116" spans="1:5" s="2483" customFormat="1" ht="15.75" x14ac:dyDescent="0.25">
      <c r="A2116" s="2266">
        <v>22021021</v>
      </c>
      <c r="B2116" s="2267" t="s">
        <v>1912</v>
      </c>
      <c r="C2116" s="2482">
        <v>2748000</v>
      </c>
      <c r="D2116" s="2482">
        <v>0</v>
      </c>
      <c r="E2116" s="2482">
        <v>4748000</v>
      </c>
    </row>
    <row r="2117" spans="1:5" s="2483" customFormat="1" ht="15.75" x14ac:dyDescent="0.25">
      <c r="A2117" s="2266">
        <v>22021002</v>
      </c>
      <c r="B2117" s="2267" t="s">
        <v>3331</v>
      </c>
      <c r="C2117" s="2484">
        <v>6700000</v>
      </c>
      <c r="D2117" s="2484">
        <v>1600000</v>
      </c>
      <c r="E2117" s="2484">
        <v>6700000</v>
      </c>
    </row>
    <row r="2118" spans="1:5" s="2483" customFormat="1" ht="15.75" x14ac:dyDescent="0.25">
      <c r="A2118" s="2266">
        <v>22021003</v>
      </c>
      <c r="B2118" s="2488" t="s">
        <v>1891</v>
      </c>
      <c r="C2118" s="2490"/>
      <c r="D2118" s="2484"/>
      <c r="E2118" s="2489">
        <v>14580000</v>
      </c>
    </row>
    <row r="2119" spans="1:5" s="2483" customFormat="1" ht="15.75" x14ac:dyDescent="0.25">
      <c r="A2119" s="2266">
        <v>22021041</v>
      </c>
      <c r="B2119" s="2267" t="s">
        <v>1913</v>
      </c>
      <c r="C2119" s="2482">
        <v>3800000</v>
      </c>
      <c r="D2119" s="2482">
        <v>1200000</v>
      </c>
      <c r="E2119" s="2482">
        <v>4800000</v>
      </c>
    </row>
    <row r="2120" spans="1:5" s="2483" customFormat="1" ht="15.75" x14ac:dyDescent="0.25">
      <c r="A2120" s="2266">
        <v>22021002</v>
      </c>
      <c r="B2120" s="2267" t="s">
        <v>1914</v>
      </c>
      <c r="C2120" s="2482">
        <v>0</v>
      </c>
      <c r="D2120" s="2482">
        <v>0</v>
      </c>
      <c r="E2120" s="2482">
        <v>8000000</v>
      </c>
    </row>
    <row r="2121" spans="1:5" s="2483" customFormat="1" ht="15.75" x14ac:dyDescent="0.25">
      <c r="A2121" s="2266">
        <v>22021002</v>
      </c>
      <c r="B2121" s="2267" t="s">
        <v>1915</v>
      </c>
      <c r="C2121" s="2482">
        <v>2725200</v>
      </c>
      <c r="D2121" s="2482">
        <v>1431300</v>
      </c>
      <c r="E2121" s="2482">
        <v>4908000</v>
      </c>
    </row>
    <row r="2122" spans="1:5" s="2483" customFormat="1" ht="31.5" x14ac:dyDescent="0.25">
      <c r="A2122" s="2266">
        <v>22021002</v>
      </c>
      <c r="B2122" s="2267" t="s">
        <v>1918</v>
      </c>
      <c r="C2122" s="2482">
        <v>0</v>
      </c>
      <c r="D2122" s="2482">
        <v>0</v>
      </c>
      <c r="E2122" s="2482">
        <v>4896000</v>
      </c>
    </row>
    <row r="2123" spans="1:5" s="2483" customFormat="1" ht="16.5" thickBot="1" x14ac:dyDescent="0.3">
      <c r="A2123" s="2266"/>
      <c r="B2123" s="2274"/>
      <c r="C2123" s="2491"/>
      <c r="D2123" s="2491"/>
      <c r="E2123" s="2491"/>
    </row>
    <row r="2124" spans="1:5" s="2494" customFormat="1" ht="16.5" thickBot="1" x14ac:dyDescent="0.3">
      <c r="A2124" s="2492"/>
      <c r="B2124" s="2493" t="s">
        <v>1919</v>
      </c>
      <c r="C2124" s="2485">
        <f>SUM(C2099,C2101,C2104,C2107,C2114,C2123)</f>
        <v>60845662</v>
      </c>
      <c r="D2124" s="2486">
        <f>SUM(D2099,D2101,D2104,D2107,D2114,D2123)</f>
        <v>16991300</v>
      </c>
      <c r="E2124" s="2487">
        <f>SUM(E2099,E2101,E2104,E2107,E2114,E2123)</f>
        <v>114973524</v>
      </c>
    </row>
    <row r="2125" spans="1:5" s="171" customFormat="1" ht="18.75" x14ac:dyDescent="0.3">
      <c r="B2125" s="169"/>
      <c r="C2125" s="2465"/>
      <c r="D2125" s="2466"/>
      <c r="E2125" s="2465"/>
    </row>
    <row r="2126" spans="1:5" s="171" customFormat="1" ht="18.75" x14ac:dyDescent="0.3">
      <c r="A2126" s="3486" t="s">
        <v>1475</v>
      </c>
      <c r="B2126" s="3486"/>
      <c r="C2126" s="3486"/>
      <c r="D2126" s="3486"/>
      <c r="E2126" s="3486"/>
    </row>
    <row r="2127" spans="1:5" s="171" customFormat="1" ht="19.5" thickBot="1" x14ac:dyDescent="0.35">
      <c r="A2127" s="3487" t="s">
        <v>1920</v>
      </c>
      <c r="B2127" s="3487"/>
      <c r="C2127" s="3487"/>
      <c r="D2127" s="3487"/>
      <c r="E2127" s="3487"/>
    </row>
    <row r="2128" spans="1:5" s="171" customFormat="1" ht="57" thickBot="1" x14ac:dyDescent="0.35">
      <c r="A2128" s="2290" t="s">
        <v>1014</v>
      </c>
      <c r="B2128" s="2290" t="s">
        <v>282</v>
      </c>
      <c r="C2128" s="2457" t="s">
        <v>1174</v>
      </c>
      <c r="D2128" s="2495" t="s">
        <v>1145</v>
      </c>
      <c r="E2128" s="2453" t="s">
        <v>3096</v>
      </c>
    </row>
    <row r="2129" spans="1:5" s="171" customFormat="1" ht="19.5" thickBot="1" x14ac:dyDescent="0.35">
      <c r="A2129" s="2298">
        <v>22020100</v>
      </c>
      <c r="B2129" s="2299" t="s">
        <v>64</v>
      </c>
      <c r="C2129" s="2382">
        <f>SUM(C2130)</f>
        <v>510000</v>
      </c>
      <c r="D2129" s="2382">
        <f>SUM(D2130)</f>
        <v>502000</v>
      </c>
      <c r="E2129" s="2382">
        <f>SUM(E2130)</f>
        <v>510000</v>
      </c>
    </row>
    <row r="2130" spans="1:5" s="171" customFormat="1" ht="19.5" thickBot="1" x14ac:dyDescent="0.35">
      <c r="A2130" s="2049">
        <v>22020102</v>
      </c>
      <c r="B2130" s="2146" t="s">
        <v>10</v>
      </c>
      <c r="C2130" s="2380">
        <v>510000</v>
      </c>
      <c r="D2130" s="2496">
        <v>502000</v>
      </c>
      <c r="E2130" s="2380">
        <v>510000</v>
      </c>
    </row>
    <row r="2131" spans="1:5" s="171" customFormat="1" ht="19.5" thickBot="1" x14ac:dyDescent="0.35">
      <c r="A2131" s="2046">
        <v>22020200</v>
      </c>
      <c r="B2131" s="2047" t="s">
        <v>65</v>
      </c>
      <c r="C2131" s="2382">
        <v>510000</v>
      </c>
      <c r="D2131" s="2383">
        <f>SUM(D2132:D2132)</f>
        <v>450000</v>
      </c>
      <c r="E2131" s="2382">
        <v>510000</v>
      </c>
    </row>
    <row r="2132" spans="1:5" s="171" customFormat="1" ht="19.5" thickBot="1" x14ac:dyDescent="0.35">
      <c r="A2132" s="2049">
        <v>22020201</v>
      </c>
      <c r="B2132" s="2050" t="s">
        <v>1923</v>
      </c>
      <c r="C2132" s="2385">
        <v>510000</v>
      </c>
      <c r="D2132" s="2385">
        <v>450000</v>
      </c>
      <c r="E2132" s="2385">
        <v>510000</v>
      </c>
    </row>
    <row r="2133" spans="1:5" s="171" customFormat="1" ht="19.5" thickBot="1" x14ac:dyDescent="0.35">
      <c r="A2133" s="2046">
        <v>22020300</v>
      </c>
      <c r="B2133" s="2191" t="s">
        <v>66</v>
      </c>
      <c r="C2133" s="2382">
        <f>SUM(C2134:C2139)</f>
        <v>3469600</v>
      </c>
      <c r="D2133" s="2383">
        <f>SUM(D2134:D2139)</f>
        <v>2636000</v>
      </c>
      <c r="E2133" s="2382">
        <f>SUM(E2134:E2139)</f>
        <v>4069600</v>
      </c>
    </row>
    <row r="2134" spans="1:5" s="171" customFormat="1" ht="18.75" x14ac:dyDescent="0.3">
      <c r="A2134" s="2049">
        <v>22020300</v>
      </c>
      <c r="B2134" s="2146" t="s">
        <v>1924</v>
      </c>
      <c r="C2134" s="2385">
        <v>1716330</v>
      </c>
      <c r="D2134" s="2385">
        <v>1240000</v>
      </c>
      <c r="E2134" s="2385">
        <v>1716330</v>
      </c>
    </row>
    <row r="2135" spans="1:5" s="171" customFormat="1" ht="18.75" x14ac:dyDescent="0.3">
      <c r="A2135" s="2049">
        <v>22020301</v>
      </c>
      <c r="B2135" s="2146" t="s">
        <v>1925</v>
      </c>
      <c r="C2135" s="2380">
        <v>1024000</v>
      </c>
      <c r="D2135" s="2380">
        <v>951000</v>
      </c>
      <c r="E2135" s="2380">
        <v>1224000</v>
      </c>
    </row>
    <row r="2136" spans="1:5" s="171" customFormat="1" ht="18.75" x14ac:dyDescent="0.3">
      <c r="A2136" s="2049">
        <v>22020302</v>
      </c>
      <c r="B2136" s="2146" t="s">
        <v>2518</v>
      </c>
      <c r="C2136" s="2380">
        <v>0</v>
      </c>
      <c r="D2136" s="2380"/>
      <c r="E2136" s="2380">
        <v>400000</v>
      </c>
    </row>
    <row r="2137" spans="1:5" s="171" customFormat="1" ht="18.75" x14ac:dyDescent="0.3">
      <c r="A2137" s="2049">
        <v>22020304</v>
      </c>
      <c r="B2137" s="2146" t="s">
        <v>1926</v>
      </c>
      <c r="C2137" s="2381">
        <v>408000</v>
      </c>
      <c r="D2137" s="2381">
        <v>337000</v>
      </c>
      <c r="E2137" s="2381">
        <v>408000</v>
      </c>
    </row>
    <row r="2138" spans="1:5" s="171" customFormat="1" ht="18.75" x14ac:dyDescent="0.3">
      <c r="A2138" s="2049">
        <v>22020305</v>
      </c>
      <c r="B2138" s="2146" t="s">
        <v>1927</v>
      </c>
      <c r="C2138" s="2381">
        <v>183600</v>
      </c>
      <c r="D2138" s="2381">
        <v>108000</v>
      </c>
      <c r="E2138" s="2381">
        <v>183600</v>
      </c>
    </row>
    <row r="2139" spans="1:5" s="171" customFormat="1" ht="19.5" thickBot="1" x14ac:dyDescent="0.35">
      <c r="A2139" s="2049">
        <v>22020307</v>
      </c>
      <c r="B2139" s="2146" t="s">
        <v>1928</v>
      </c>
      <c r="C2139" s="2497">
        <v>137670</v>
      </c>
      <c r="D2139" s="2497"/>
      <c r="E2139" s="2497">
        <v>137670</v>
      </c>
    </row>
    <row r="2140" spans="1:5" s="171" customFormat="1" ht="19.5" thickBot="1" x14ac:dyDescent="0.35">
      <c r="A2140" s="2046">
        <v>22020400</v>
      </c>
      <c r="B2140" s="2191" t="s">
        <v>67</v>
      </c>
      <c r="C2140" s="2382">
        <f>SUM(C2141:C2143)</f>
        <v>16753980</v>
      </c>
      <c r="D2140" s="2478">
        <f>SUM(D2141:D2143)</f>
        <v>13643975</v>
      </c>
      <c r="E2140" s="2382">
        <f>SUM(E2141:E2143)</f>
        <v>28076980</v>
      </c>
    </row>
    <row r="2141" spans="1:5" s="171" customFormat="1" ht="18.75" x14ac:dyDescent="0.3">
      <c r="A2141" s="2049">
        <v>22020401</v>
      </c>
      <c r="B2141" s="2146" t="s">
        <v>3332</v>
      </c>
      <c r="C2141" s="2380">
        <v>723980</v>
      </c>
      <c r="D2141" s="2380">
        <v>719000</v>
      </c>
      <c r="E2141" s="2380">
        <v>723980</v>
      </c>
    </row>
    <row r="2142" spans="1:5" s="171" customFormat="1" ht="18.75" x14ac:dyDescent="0.3">
      <c r="A2142" s="2049">
        <v>22020402</v>
      </c>
      <c r="B2142" s="2146" t="s">
        <v>1929</v>
      </c>
      <c r="C2142" s="2380">
        <v>1030000</v>
      </c>
      <c r="D2142" s="2380">
        <v>900000</v>
      </c>
      <c r="E2142" s="2380">
        <v>1530000</v>
      </c>
    </row>
    <row r="2143" spans="1:5" s="171" customFormat="1" ht="19.5" thickBot="1" x14ac:dyDescent="0.35">
      <c r="A2143" s="2049">
        <v>22020406</v>
      </c>
      <c r="B2143" s="2146" t="s">
        <v>2099</v>
      </c>
      <c r="C2143" s="2460">
        <v>15000000</v>
      </c>
      <c r="D2143" s="2461">
        <v>12024975</v>
      </c>
      <c r="E2143" s="2460">
        <v>25823000</v>
      </c>
    </row>
    <row r="2144" spans="1:5" s="171" customFormat="1" ht="19.5" thickBot="1" x14ac:dyDescent="0.35">
      <c r="A2144" s="2046">
        <v>22020500</v>
      </c>
      <c r="B2144" s="2191" t="s">
        <v>68</v>
      </c>
      <c r="C2144" s="2382">
        <f>SUM(C2145:C2145)</f>
        <v>517840</v>
      </c>
      <c r="D2144" s="2383">
        <f>SUM(D2145:D2145)</f>
        <v>460300</v>
      </c>
      <c r="E2144" s="2384">
        <f>SUM(E2145:E2145)</f>
        <v>517840</v>
      </c>
    </row>
    <row r="2145" spans="1:5" s="171" customFormat="1" ht="19.5" thickBot="1" x14ac:dyDescent="0.35">
      <c r="A2145" s="2049">
        <v>22020501</v>
      </c>
      <c r="B2145" s="2146" t="s">
        <v>1930</v>
      </c>
      <c r="C2145" s="2381">
        <v>517840</v>
      </c>
      <c r="D2145" s="2381">
        <v>460300</v>
      </c>
      <c r="E2145" s="2381">
        <v>517840</v>
      </c>
    </row>
    <row r="2146" spans="1:5" s="171" customFormat="1" ht="19.5" thickBot="1" x14ac:dyDescent="0.35">
      <c r="A2146" s="2046">
        <v>22021000</v>
      </c>
      <c r="B2146" s="2191" t="s">
        <v>73</v>
      </c>
      <c r="C2146" s="2382">
        <f>SUM(C2147:C2152)</f>
        <v>4878580</v>
      </c>
      <c r="D2146" s="2382">
        <f>SUM(D2147:D2152)</f>
        <v>3103000</v>
      </c>
      <c r="E2146" s="2382">
        <f>SUM(E2147:E2152)</f>
        <v>5778580</v>
      </c>
    </row>
    <row r="2147" spans="1:5" s="171" customFormat="1" ht="17.25" customHeight="1" x14ac:dyDescent="0.3">
      <c r="A2147" s="2049">
        <v>22021002</v>
      </c>
      <c r="B2147" s="2146" t="s">
        <v>1922</v>
      </c>
      <c r="C2147" s="2381">
        <v>1968600</v>
      </c>
      <c r="D2147" s="2498">
        <v>1861000</v>
      </c>
      <c r="E2147" s="2381">
        <v>1968600</v>
      </c>
    </row>
    <row r="2148" spans="1:5" s="171" customFormat="1" ht="18.75" x14ac:dyDescent="0.3">
      <c r="A2148" s="2049">
        <v>22021002</v>
      </c>
      <c r="B2148" s="2146" t="s">
        <v>1921</v>
      </c>
      <c r="C2148" s="2381">
        <v>270000</v>
      </c>
      <c r="D2148" s="2498">
        <v>150000</v>
      </c>
      <c r="E2148" s="2381">
        <v>1170000</v>
      </c>
    </row>
    <row r="2149" spans="1:5" s="171" customFormat="1" ht="18.75" x14ac:dyDescent="0.3">
      <c r="A2149" s="2049">
        <v>22021002</v>
      </c>
      <c r="B2149" s="2146" t="s">
        <v>1579</v>
      </c>
      <c r="C2149" s="2381">
        <v>1400000</v>
      </c>
      <c r="D2149" s="2381"/>
      <c r="E2149" s="2381">
        <v>1400000</v>
      </c>
    </row>
    <row r="2150" spans="1:5" s="171" customFormat="1" ht="18.75" x14ac:dyDescent="0.3">
      <c r="A2150" s="2049">
        <v>22021003</v>
      </c>
      <c r="B2150" s="3230" t="s">
        <v>1931</v>
      </c>
      <c r="C2150" s="3229">
        <v>207670</v>
      </c>
      <c r="D2150" s="2381">
        <v>206000</v>
      </c>
      <c r="E2150" s="2381">
        <v>207670</v>
      </c>
    </row>
    <row r="2151" spans="1:5" s="171" customFormat="1" ht="18.75" x14ac:dyDescent="0.3">
      <c r="A2151" s="2049">
        <v>22021001</v>
      </c>
      <c r="B2151" s="2146" t="s">
        <v>1932</v>
      </c>
      <c r="C2151" s="3229">
        <v>310150</v>
      </c>
      <c r="D2151" s="2498">
        <v>206000</v>
      </c>
      <c r="E2151" s="2381">
        <v>310150</v>
      </c>
    </row>
    <row r="2152" spans="1:5" s="171" customFormat="1" ht="18.75" x14ac:dyDescent="0.3">
      <c r="A2152" s="2049">
        <v>22021007</v>
      </c>
      <c r="B2152" s="2146" t="s">
        <v>1933</v>
      </c>
      <c r="C2152" s="3210">
        <v>722160</v>
      </c>
      <c r="D2152" s="2496">
        <v>680000</v>
      </c>
      <c r="E2152" s="2380">
        <v>722160</v>
      </c>
    </row>
    <row r="2153" spans="1:5" s="171" customFormat="1" ht="19.5" thickBot="1" x14ac:dyDescent="0.35">
      <c r="A2153" s="2049"/>
      <c r="B2153" s="2191"/>
      <c r="C2153" s="3231"/>
      <c r="D2153" s="3198"/>
      <c r="E2153" s="3198"/>
    </row>
    <row r="2154" spans="1:5" s="171" customFormat="1" ht="19.5" thickBot="1" x14ac:dyDescent="0.35">
      <c r="A2154" s="2401"/>
      <c r="B2154" s="2473" t="s">
        <v>1934</v>
      </c>
      <c r="C2154" s="2437">
        <f>SUM(C2129,C2131,C2133,C2140,C2144,C2146)</f>
        <v>26640000</v>
      </c>
      <c r="D2154" s="2437">
        <f>SUM(D2129,D2131,D2133,D2140,D2144,D2146)</f>
        <v>20795275</v>
      </c>
      <c r="E2154" s="2437">
        <f>SUM(E2129,E2131,E2133,E2140,E2144,E2146)</f>
        <v>39463000</v>
      </c>
    </row>
    <row r="2155" spans="1:5" s="171" customFormat="1" ht="18.75" x14ac:dyDescent="0.3">
      <c r="B2155" s="169"/>
      <c r="C2155" s="2465"/>
      <c r="D2155" s="2466"/>
      <c r="E2155" s="2465"/>
    </row>
    <row r="2156" spans="1:5" s="171" customFormat="1" ht="18.75" x14ac:dyDescent="0.3">
      <c r="A2156" s="3486" t="s">
        <v>1475</v>
      </c>
      <c r="B2156" s="3486"/>
      <c r="C2156" s="3486"/>
      <c r="D2156" s="3486"/>
      <c r="E2156" s="3486"/>
    </row>
    <row r="2157" spans="1:5" s="171" customFormat="1" ht="19.5" thickBot="1" x14ac:dyDescent="0.35">
      <c r="A2157" s="3488" t="s">
        <v>1935</v>
      </c>
      <c r="B2157" s="3488"/>
      <c r="C2157" s="3488"/>
      <c r="D2157" s="3488"/>
      <c r="E2157" s="3488"/>
    </row>
    <row r="2158" spans="1:5" s="2048" customFormat="1" ht="57" thickBot="1" x14ac:dyDescent="0.35">
      <c r="A2158" s="2290" t="s">
        <v>1014</v>
      </c>
      <c r="B2158" s="2290" t="s">
        <v>282</v>
      </c>
      <c r="C2158" s="2453" t="s">
        <v>1174</v>
      </c>
      <c r="D2158" s="2457" t="s">
        <v>1145</v>
      </c>
      <c r="E2158" s="2453" t="s">
        <v>3096</v>
      </c>
    </row>
    <row r="2159" spans="1:5" s="2499" customFormat="1" ht="17.25" thickBot="1" x14ac:dyDescent="0.3">
      <c r="A2159" s="2173">
        <v>22020100</v>
      </c>
      <c r="B2159" s="2174" t="s">
        <v>64</v>
      </c>
      <c r="C2159" s="2172">
        <f>SUM(C2160:C2160)</f>
        <v>1400000</v>
      </c>
      <c r="D2159" s="2500">
        <f>SUM(D2160:D2160)</f>
        <v>1194000</v>
      </c>
      <c r="E2159" s="2501">
        <f>SUM(E2160:E2160)</f>
        <v>1400000</v>
      </c>
    </row>
    <row r="2160" spans="1:5" s="2499" customFormat="1" ht="17.25" thickBot="1" x14ac:dyDescent="0.3">
      <c r="A2160" s="2167">
        <v>22020102</v>
      </c>
      <c r="B2160" s="2168" t="s">
        <v>10</v>
      </c>
      <c r="C2160" s="2175">
        <v>1400000</v>
      </c>
      <c r="D2160" s="2175">
        <v>1194000</v>
      </c>
      <c r="E2160" s="2175">
        <v>1400000</v>
      </c>
    </row>
    <row r="2161" spans="1:5" s="2499" customFormat="1" ht="17.25" thickBot="1" x14ac:dyDescent="0.3">
      <c r="A2161" s="2173">
        <v>22020200</v>
      </c>
      <c r="B2161" s="2171" t="s">
        <v>65</v>
      </c>
      <c r="C2161" s="2500">
        <f>SUM(C2162:C2163)</f>
        <v>1700000</v>
      </c>
      <c r="D2161" s="2500">
        <f>SUM(D2162:D2163)</f>
        <v>388000</v>
      </c>
      <c r="E2161" s="2500">
        <f>SUM(E2162:E2163)</f>
        <v>1300000</v>
      </c>
    </row>
    <row r="2162" spans="1:5" s="2499" customFormat="1" ht="16.5" x14ac:dyDescent="0.25">
      <c r="A2162" s="2167">
        <v>22020201</v>
      </c>
      <c r="B2162" s="2168" t="s">
        <v>1936</v>
      </c>
      <c r="C2162" s="2169">
        <v>300000</v>
      </c>
      <c r="D2162" s="2169">
        <v>88000</v>
      </c>
      <c r="E2162" s="2169">
        <v>300000</v>
      </c>
    </row>
    <row r="2163" spans="1:5" s="2499" customFormat="1" ht="17.25" thickBot="1" x14ac:dyDescent="0.3">
      <c r="A2163" s="2167">
        <v>22020202</v>
      </c>
      <c r="B2163" s="2168" t="s">
        <v>1937</v>
      </c>
      <c r="C2163" s="2175">
        <v>1400000</v>
      </c>
      <c r="D2163" s="2175">
        <v>300000</v>
      </c>
      <c r="E2163" s="2175">
        <v>1000000</v>
      </c>
    </row>
    <row r="2164" spans="1:5" s="2499" customFormat="1" ht="17.25" thickBot="1" x14ac:dyDescent="0.3">
      <c r="A2164" s="2173">
        <v>22020300</v>
      </c>
      <c r="B2164" s="2174" t="s">
        <v>66</v>
      </c>
      <c r="C2164" s="2172">
        <f>SUM(C2165:C2169)</f>
        <v>3450000</v>
      </c>
      <c r="D2164" s="2172">
        <f t="shared" ref="D2164:E2164" si="17">SUM(D2165:D2169)</f>
        <v>1799000</v>
      </c>
      <c r="E2164" s="2172">
        <f t="shared" si="17"/>
        <v>3250000</v>
      </c>
    </row>
    <row r="2165" spans="1:5" s="2499" customFormat="1" ht="16.5" x14ac:dyDescent="0.25">
      <c r="A2165" s="2167">
        <v>22020301</v>
      </c>
      <c r="B2165" s="2168" t="s">
        <v>17</v>
      </c>
      <c r="C2165" s="2169">
        <v>750000</v>
      </c>
      <c r="D2165" s="2169">
        <v>750000</v>
      </c>
      <c r="E2165" s="2169">
        <v>750000</v>
      </c>
    </row>
    <row r="2166" spans="1:5" s="2499" customFormat="1" ht="16.5" x14ac:dyDescent="0.25">
      <c r="A2166" s="2167">
        <v>22020302</v>
      </c>
      <c r="B2166" s="2168" t="s">
        <v>18</v>
      </c>
      <c r="C2166" s="2169">
        <v>350000</v>
      </c>
      <c r="D2166" s="2169">
        <v>0</v>
      </c>
      <c r="E2166" s="2169">
        <v>350000</v>
      </c>
    </row>
    <row r="2167" spans="1:5" s="2499" customFormat="1" ht="16.5" x14ac:dyDescent="0.25">
      <c r="A2167" s="2167">
        <v>22020304</v>
      </c>
      <c r="B2167" s="2168" t="s">
        <v>724</v>
      </c>
      <c r="C2167" s="2169">
        <v>150000</v>
      </c>
      <c r="D2167" s="2169">
        <v>32000</v>
      </c>
      <c r="E2167" s="2169">
        <v>150000</v>
      </c>
    </row>
    <row r="2168" spans="1:5" s="2499" customFormat="1" ht="16.5" x14ac:dyDescent="0.25">
      <c r="A2168" s="2167">
        <v>22020310</v>
      </c>
      <c r="B2168" s="2168" t="s">
        <v>24</v>
      </c>
      <c r="C2168" s="2169">
        <v>700000</v>
      </c>
      <c r="D2168" s="2169">
        <v>365000</v>
      </c>
      <c r="E2168" s="2169">
        <v>700000</v>
      </c>
    </row>
    <row r="2169" spans="1:5" s="2499" customFormat="1" ht="17.25" thickBot="1" x14ac:dyDescent="0.3">
      <c r="A2169" s="2167">
        <v>22020311</v>
      </c>
      <c r="B2169" s="2168" t="s">
        <v>1938</v>
      </c>
      <c r="C2169" s="2175">
        <v>1500000</v>
      </c>
      <c r="D2169" s="2175">
        <v>652000</v>
      </c>
      <c r="E2169" s="2175">
        <v>1300000</v>
      </c>
    </row>
    <row r="2170" spans="1:5" s="2499" customFormat="1" ht="17.25" thickBot="1" x14ac:dyDescent="0.3">
      <c r="A2170" s="2173">
        <v>22020400</v>
      </c>
      <c r="B2170" s="2174" t="s">
        <v>67</v>
      </c>
      <c r="C2170" s="2172">
        <f>SUM(C2171:C2173)</f>
        <v>17800000</v>
      </c>
      <c r="D2170" s="2172">
        <f>SUM(D2171:D2173)</f>
        <v>15418219</v>
      </c>
      <c r="E2170" s="2172">
        <f>SUM(E2171:E2173)</f>
        <v>27203000</v>
      </c>
    </row>
    <row r="2171" spans="1:5" s="2499" customFormat="1" ht="16.5" x14ac:dyDescent="0.25">
      <c r="A2171" s="2167">
        <v>22020401</v>
      </c>
      <c r="B2171" s="2168" t="s">
        <v>79</v>
      </c>
      <c r="C2171" s="2169">
        <v>600000</v>
      </c>
      <c r="D2171" s="2169">
        <v>724000</v>
      </c>
      <c r="E2171" s="2169">
        <v>600000</v>
      </c>
    </row>
    <row r="2172" spans="1:5" s="2499" customFormat="1" ht="16.5" x14ac:dyDescent="0.25">
      <c r="A2172" s="2167">
        <v>22020402</v>
      </c>
      <c r="B2172" s="2168" t="s">
        <v>182</v>
      </c>
      <c r="C2172" s="2169">
        <v>700000</v>
      </c>
      <c r="D2172" s="2169">
        <v>644000</v>
      </c>
      <c r="E2172" s="2169">
        <v>700000</v>
      </c>
    </row>
    <row r="2173" spans="1:5" s="2499" customFormat="1" ht="17.25" thickBot="1" x14ac:dyDescent="0.3">
      <c r="A2173" s="2167">
        <v>22020406</v>
      </c>
      <c r="B2173" s="2168" t="s">
        <v>2099</v>
      </c>
      <c r="C2173" s="2170">
        <v>16500000</v>
      </c>
      <c r="D2173" s="2502">
        <v>14050219</v>
      </c>
      <c r="E2173" s="2170">
        <v>25903000</v>
      </c>
    </row>
    <row r="2174" spans="1:5" s="2499" customFormat="1" ht="17.25" thickBot="1" x14ac:dyDescent="0.3">
      <c r="A2174" s="2173">
        <v>22020500</v>
      </c>
      <c r="B2174" s="2174" t="s">
        <v>68</v>
      </c>
      <c r="C2174" s="2172">
        <f>SUM(C2175:C2176)</f>
        <v>2300000</v>
      </c>
      <c r="D2174" s="2172">
        <f t="shared" ref="D2174:E2174" si="18">SUM(D2175:D2176)</f>
        <v>1634000</v>
      </c>
      <c r="E2174" s="2172">
        <f t="shared" si="18"/>
        <v>3850000</v>
      </c>
    </row>
    <row r="2175" spans="1:5" s="2499" customFormat="1" ht="16.5" x14ac:dyDescent="0.25">
      <c r="A2175" s="2167">
        <v>22020501</v>
      </c>
      <c r="B2175" s="2168" t="s">
        <v>30</v>
      </c>
      <c r="C2175" s="2169">
        <v>1300000</v>
      </c>
      <c r="D2175" s="2169">
        <v>900000</v>
      </c>
      <c r="E2175" s="2169">
        <v>2850000</v>
      </c>
    </row>
    <row r="2176" spans="1:5" s="2499" customFormat="1" ht="17.25" thickBot="1" x14ac:dyDescent="0.3">
      <c r="A2176" s="2167">
        <v>22020503</v>
      </c>
      <c r="B2176" s="2168" t="s">
        <v>1939</v>
      </c>
      <c r="C2176" s="2175">
        <v>1000000</v>
      </c>
      <c r="D2176" s="2175">
        <v>734000</v>
      </c>
      <c r="E2176" s="2175">
        <v>1000000</v>
      </c>
    </row>
    <row r="2177" spans="1:5" s="2499" customFormat="1" ht="17.25" thickBot="1" x14ac:dyDescent="0.3">
      <c r="A2177" s="2173">
        <v>22020700</v>
      </c>
      <c r="B2177" s="2174" t="s">
        <v>70</v>
      </c>
      <c r="C2177" s="2172">
        <f>SUM(C2178:C2178)</f>
        <v>200000</v>
      </c>
      <c r="D2177" s="2172">
        <f t="shared" ref="D2177:E2177" si="19">SUM(D2178:D2178)</f>
        <v>0</v>
      </c>
      <c r="E2177" s="2172">
        <f t="shared" si="19"/>
        <v>200000</v>
      </c>
    </row>
    <row r="2178" spans="1:5" s="2499" customFormat="1" ht="17.25" thickBot="1" x14ac:dyDescent="0.3">
      <c r="A2178" s="2167">
        <v>22020701</v>
      </c>
      <c r="B2178" s="2168" t="s">
        <v>1940</v>
      </c>
      <c r="C2178" s="2503">
        <v>200000</v>
      </c>
      <c r="D2178" s="2503">
        <v>0</v>
      </c>
      <c r="E2178" s="2503">
        <v>200000</v>
      </c>
    </row>
    <row r="2179" spans="1:5" s="2499" customFormat="1" ht="17.25" thickBot="1" x14ac:dyDescent="0.3">
      <c r="A2179" s="2173">
        <v>22020800</v>
      </c>
      <c r="B2179" s="2174" t="s">
        <v>71</v>
      </c>
      <c r="C2179" s="2172">
        <f>SUM(C2180:C2180)</f>
        <v>450000</v>
      </c>
      <c r="D2179" s="2172">
        <f t="shared" ref="D2179:E2179" si="20">SUM(D2180:D2180)</f>
        <v>0</v>
      </c>
      <c r="E2179" s="2172">
        <f t="shared" si="20"/>
        <v>450000</v>
      </c>
    </row>
    <row r="2180" spans="1:5" s="2499" customFormat="1" ht="17.25" thickBot="1" x14ac:dyDescent="0.3">
      <c r="A2180" s="2167">
        <v>22020803</v>
      </c>
      <c r="B2180" s="2168" t="s">
        <v>115</v>
      </c>
      <c r="C2180" s="2504">
        <v>450000</v>
      </c>
      <c r="D2180" s="2504">
        <v>0</v>
      </c>
      <c r="E2180" s="2504">
        <v>450000</v>
      </c>
    </row>
    <row r="2181" spans="1:5" s="2499" customFormat="1" ht="19.5" thickBot="1" x14ac:dyDescent="0.3">
      <c r="A2181" s="2173">
        <v>22021000</v>
      </c>
      <c r="B2181" s="2174" t="s">
        <v>73</v>
      </c>
      <c r="C2181" s="2382">
        <f>SUM(C2182:C2189)</f>
        <v>4480000</v>
      </c>
      <c r="D2181" s="2382">
        <f t="shared" ref="D2181:E2181" si="21">SUM(D2182:D2189)</f>
        <v>815000</v>
      </c>
      <c r="E2181" s="2382">
        <f t="shared" si="21"/>
        <v>4480000</v>
      </c>
    </row>
    <row r="2182" spans="1:5" s="2499" customFormat="1" ht="18.75" x14ac:dyDescent="0.25">
      <c r="A2182" s="2049">
        <v>22021001</v>
      </c>
      <c r="B2182" s="2168" t="s">
        <v>41</v>
      </c>
      <c r="C2182" s="2169">
        <v>380000</v>
      </c>
      <c r="D2182" s="2169">
        <v>11000</v>
      </c>
      <c r="E2182" s="2169">
        <v>380000</v>
      </c>
    </row>
    <row r="2183" spans="1:5" s="2499" customFormat="1" ht="18.75" x14ac:dyDescent="0.25">
      <c r="A2183" s="2049">
        <v>22021002</v>
      </c>
      <c r="B2183" s="2168" t="s">
        <v>1701</v>
      </c>
      <c r="C2183" s="2381">
        <v>1000000</v>
      </c>
      <c r="D2183" s="2169">
        <v>0</v>
      </c>
      <c r="E2183" s="2169">
        <v>1150000</v>
      </c>
    </row>
    <row r="2184" spans="1:5" s="171" customFormat="1" ht="18.75" x14ac:dyDescent="0.3">
      <c r="A2184" s="2049">
        <v>22021003</v>
      </c>
      <c r="B2184" s="2168" t="s">
        <v>42</v>
      </c>
      <c r="C2184" s="2380">
        <v>400000</v>
      </c>
      <c r="D2184" s="2380">
        <v>0</v>
      </c>
      <c r="E2184" s="2380">
        <v>250000</v>
      </c>
    </row>
    <row r="2185" spans="1:5" s="171" customFormat="1" ht="18.75" x14ac:dyDescent="0.3">
      <c r="A2185" s="2049">
        <v>22021007</v>
      </c>
      <c r="B2185" s="2168" t="s">
        <v>44</v>
      </c>
      <c r="C2185" s="2380">
        <v>800000</v>
      </c>
      <c r="D2185" s="2380">
        <v>0</v>
      </c>
      <c r="E2185" s="2380">
        <v>650000</v>
      </c>
    </row>
    <row r="2186" spans="1:5" s="171" customFormat="1" ht="18.75" x14ac:dyDescent="0.3">
      <c r="A2186" s="2049">
        <v>22021009</v>
      </c>
      <c r="B2186" s="2168" t="s">
        <v>46</v>
      </c>
      <c r="C2186" s="2380">
        <v>0</v>
      </c>
      <c r="D2186" s="2380">
        <v>0</v>
      </c>
      <c r="E2186" s="2380">
        <v>150000</v>
      </c>
    </row>
    <row r="2187" spans="1:5" s="2499" customFormat="1" ht="18.75" x14ac:dyDescent="0.25">
      <c r="A2187" s="2049">
        <v>22021019</v>
      </c>
      <c r="B2187" s="2168" t="s">
        <v>224</v>
      </c>
      <c r="C2187" s="2169">
        <v>550000</v>
      </c>
      <c r="D2187" s="2169">
        <v>0</v>
      </c>
      <c r="E2187" s="2169">
        <v>550000</v>
      </c>
    </row>
    <row r="2188" spans="1:5" s="171" customFormat="1" ht="18.75" x14ac:dyDescent="0.3">
      <c r="A2188" s="2049">
        <v>22021010</v>
      </c>
      <c r="B2188" s="2168" t="s">
        <v>1829</v>
      </c>
      <c r="C2188" s="2380">
        <v>300000</v>
      </c>
      <c r="D2188" s="2380">
        <v>0</v>
      </c>
      <c r="E2188" s="2380">
        <v>300000</v>
      </c>
    </row>
    <row r="2189" spans="1:5" s="171" customFormat="1" ht="18.75" x14ac:dyDescent="0.3">
      <c r="A2189" s="2049">
        <v>22021041</v>
      </c>
      <c r="B2189" s="2168" t="s">
        <v>3066</v>
      </c>
      <c r="C2189" s="2380">
        <v>1050000</v>
      </c>
      <c r="D2189" s="2380">
        <v>804000</v>
      </c>
      <c r="E2189" s="2380">
        <v>1050000</v>
      </c>
    </row>
    <row r="2190" spans="1:5" s="171" customFormat="1" ht="19.5" thickBot="1" x14ac:dyDescent="0.35">
      <c r="A2190" s="2445"/>
      <c r="B2190" s="2191"/>
      <c r="C2190" s="2471"/>
      <c r="D2190" s="2471"/>
      <c r="E2190" s="2471"/>
    </row>
    <row r="2191" spans="1:5" s="171" customFormat="1" ht="19.5" thickBot="1" x14ac:dyDescent="0.35">
      <c r="A2191" s="2472"/>
      <c r="B2191" s="2505" t="s">
        <v>1941</v>
      </c>
      <c r="C2191" s="2382">
        <f>C2159+C2161+C2164+C2170+C2174+C2177+C2179+C2181+C2190</f>
        <v>31780000</v>
      </c>
      <c r="D2191" s="2382">
        <f>D2159+D2161+D2164+D2170+D2174+D2177+D2179+D2181+D2190</f>
        <v>21248219</v>
      </c>
      <c r="E2191" s="2384">
        <f>E2159+E2161+E2164+E2170+E2174+E2177+E2179+E2181+E2190</f>
        <v>42133000</v>
      </c>
    </row>
    <row r="2192" spans="1:5" s="171" customFormat="1" ht="18.75" x14ac:dyDescent="0.3">
      <c r="B2192" s="169"/>
      <c r="C2192" s="2465"/>
      <c r="D2192" s="2466"/>
      <c r="E2192" s="2465"/>
    </row>
    <row r="2193" spans="1:5" x14ac:dyDescent="0.2">
      <c r="A2193" s="2043"/>
      <c r="B2193" s="2044"/>
      <c r="C2193" s="2045"/>
      <c r="D2193" s="2045"/>
      <c r="E2193" s="2045"/>
    </row>
    <row r="2194" spans="1:5" x14ac:dyDescent="0.2">
      <c r="A2194" s="3477" t="s">
        <v>1855</v>
      </c>
      <c r="B2194" s="3477"/>
      <c r="C2194" s="3477"/>
      <c r="D2194" s="3477"/>
      <c r="E2194" s="3477"/>
    </row>
    <row r="2195" spans="1:5" ht="21" thickBot="1" x14ac:dyDescent="0.25">
      <c r="A2195" s="3476" t="s">
        <v>1187</v>
      </c>
      <c r="B2195" s="3476"/>
      <c r="C2195" s="3476"/>
      <c r="D2195" s="3476"/>
      <c r="E2195" s="3476"/>
    </row>
    <row r="2196" spans="1:5" s="2260" customFormat="1" ht="32.25" thickBot="1" x14ac:dyDescent="0.3">
      <c r="A2196" s="2261" t="s">
        <v>1014</v>
      </c>
      <c r="B2196" s="2261" t="s">
        <v>282</v>
      </c>
      <c r="C2196" s="2262" t="s">
        <v>1174</v>
      </c>
      <c r="D2196" s="2262" t="s">
        <v>1145</v>
      </c>
      <c r="E2196" s="2262" t="s">
        <v>3096</v>
      </c>
    </row>
    <row r="2197" spans="1:5" s="2203" customFormat="1" thickBot="1" x14ac:dyDescent="0.25">
      <c r="A2197" s="2533">
        <v>22020100</v>
      </c>
      <c r="B2197" s="2534" t="s">
        <v>64</v>
      </c>
      <c r="C2197" s="2545">
        <f>SUM(C2198:C2200)</f>
        <v>2100000</v>
      </c>
      <c r="D2197" s="2222">
        <f>SUM(D2198:D2200)</f>
        <v>2132500</v>
      </c>
      <c r="E2197" s="2545">
        <f>SUM(E2198:E2200)</f>
        <v>5600000</v>
      </c>
    </row>
    <row r="2198" spans="1:5" s="2203" customFormat="1" ht="19.5" x14ac:dyDescent="0.2">
      <c r="A2198" s="2207">
        <v>22020101</v>
      </c>
      <c r="B2198" s="2208" t="s">
        <v>9</v>
      </c>
      <c r="C2198" s="2206">
        <v>1000000</v>
      </c>
      <c r="D2198" s="2209">
        <v>1000000</v>
      </c>
      <c r="E2198" s="2206">
        <v>1000000</v>
      </c>
    </row>
    <row r="2199" spans="1:5" s="2203" customFormat="1" ht="19.5" x14ac:dyDescent="0.2">
      <c r="A2199" s="2207">
        <v>22020102</v>
      </c>
      <c r="B2199" s="2208" t="s">
        <v>10</v>
      </c>
      <c r="C2199" s="2206">
        <v>1100000</v>
      </c>
      <c r="D2199" s="2209">
        <v>187500</v>
      </c>
      <c r="E2199" s="2206">
        <v>1100000</v>
      </c>
    </row>
    <row r="2200" spans="1:5" s="2203" customFormat="1" thickBot="1" x14ac:dyDescent="0.25">
      <c r="A2200" s="2207">
        <v>22020103</v>
      </c>
      <c r="B2200" s="2208" t="s">
        <v>714</v>
      </c>
      <c r="C2200" s="2221"/>
      <c r="D2200" s="2221">
        <v>945000</v>
      </c>
      <c r="E2200" s="2221">
        <v>3500000</v>
      </c>
    </row>
    <row r="2201" spans="1:5" s="2203" customFormat="1" thickBot="1" x14ac:dyDescent="0.25">
      <c r="A2201" s="2204">
        <v>22020200</v>
      </c>
      <c r="B2201" s="2205" t="s">
        <v>65</v>
      </c>
      <c r="C2201" s="2545">
        <f>SUM(C2202:C2202)</f>
        <v>700000</v>
      </c>
      <c r="D2201" s="2222">
        <f>SUM(D2202:D2202)</f>
        <v>0</v>
      </c>
      <c r="E2201" s="2545">
        <f>SUM(E2202:E2202)</f>
        <v>700000</v>
      </c>
    </row>
    <row r="2202" spans="1:5" s="2203" customFormat="1" thickBot="1" x14ac:dyDescent="0.25">
      <c r="A2202" s="2207">
        <v>22020201</v>
      </c>
      <c r="B2202" s="2208" t="s">
        <v>13</v>
      </c>
      <c r="C2202" s="2221">
        <v>700000</v>
      </c>
      <c r="D2202" s="2221"/>
      <c r="E2202" s="2221">
        <v>700000</v>
      </c>
    </row>
    <row r="2203" spans="1:5" s="2203" customFormat="1" thickBot="1" x14ac:dyDescent="0.25">
      <c r="A2203" s="2204">
        <v>22020300</v>
      </c>
      <c r="B2203" s="2205" t="s">
        <v>66</v>
      </c>
      <c r="C2203" s="2545">
        <f>SUM(C2204:C2205)</f>
        <v>22050000</v>
      </c>
      <c r="D2203" s="2222">
        <f>SUM(D2204:D2205)</f>
        <v>15851082</v>
      </c>
      <c r="E2203" s="2545">
        <f>SUM(E2204:E2205)</f>
        <v>22050000</v>
      </c>
    </row>
    <row r="2204" spans="1:5" s="2203" customFormat="1" ht="19.5" x14ac:dyDescent="0.2">
      <c r="A2204" s="2207">
        <v>22020301</v>
      </c>
      <c r="B2204" s="2208" t="s">
        <v>17</v>
      </c>
      <c r="C2204" s="2206">
        <v>1050000</v>
      </c>
      <c r="D2204" s="2209">
        <v>350000</v>
      </c>
      <c r="E2204" s="2206">
        <v>1050000</v>
      </c>
    </row>
    <row r="2205" spans="1:5" s="2203" customFormat="1" thickBot="1" x14ac:dyDescent="0.25">
      <c r="A2205" s="2207">
        <v>22020308</v>
      </c>
      <c r="B2205" s="2208" t="s">
        <v>1188</v>
      </c>
      <c r="C2205" s="2221">
        <v>21000000</v>
      </c>
      <c r="D2205" s="2212">
        <v>15501082</v>
      </c>
      <c r="E2205" s="2221">
        <v>21000000</v>
      </c>
    </row>
    <row r="2206" spans="1:5" s="2203" customFormat="1" thickBot="1" x14ac:dyDescent="0.25">
      <c r="A2206" s="2204">
        <v>22020400</v>
      </c>
      <c r="B2206" s="2205" t="s">
        <v>67</v>
      </c>
      <c r="C2206" s="2545">
        <f>SUM(C2207:C2209)</f>
        <v>32760000</v>
      </c>
      <c r="D2206" s="2222">
        <f>SUM(D2207:D2209)</f>
        <v>16474997</v>
      </c>
      <c r="E2206" s="2545">
        <f>SUM(E2207:E2209)</f>
        <v>32760000</v>
      </c>
    </row>
    <row r="2207" spans="1:5" s="2203" customFormat="1" ht="19.5" x14ac:dyDescent="0.2">
      <c r="A2207" s="2207">
        <v>22020401</v>
      </c>
      <c r="B2207" s="2219" t="s">
        <v>79</v>
      </c>
      <c r="C2207" s="2206">
        <v>1260000</v>
      </c>
      <c r="D2207" s="2209">
        <v>525000</v>
      </c>
      <c r="E2207" s="2206">
        <v>1260000</v>
      </c>
    </row>
    <row r="2208" spans="1:5" s="2203" customFormat="1" ht="19.5" x14ac:dyDescent="0.2">
      <c r="A2208" s="2207">
        <v>22020404</v>
      </c>
      <c r="B2208" s="2208" t="s">
        <v>716</v>
      </c>
      <c r="C2208" s="2221">
        <v>30300000</v>
      </c>
      <c r="D2208" s="2212">
        <v>15149997</v>
      </c>
      <c r="E2208" s="2221">
        <v>30300000</v>
      </c>
    </row>
    <row r="2209" spans="1:5" s="2203" customFormat="1" thickBot="1" x14ac:dyDescent="0.25">
      <c r="A2209" s="2207">
        <v>22020406</v>
      </c>
      <c r="B2209" s="2208" t="s">
        <v>29</v>
      </c>
      <c r="C2209" s="2206">
        <v>1200000</v>
      </c>
      <c r="D2209" s="2209">
        <v>800000</v>
      </c>
      <c r="E2209" s="2206">
        <v>1200000</v>
      </c>
    </row>
    <row r="2210" spans="1:5" s="2203" customFormat="1" thickBot="1" x14ac:dyDescent="0.25">
      <c r="A2210" s="2204">
        <v>22020500</v>
      </c>
      <c r="B2210" s="2205" t="s">
        <v>68</v>
      </c>
      <c r="C2210" s="2545">
        <f>SUM(C2211:C2211)</f>
        <v>2100000</v>
      </c>
      <c r="D2210" s="2222">
        <f>SUM(D2211:D2211)</f>
        <v>0</v>
      </c>
      <c r="E2210" s="2545">
        <f>SUM(E2211:E2211)</f>
        <v>2100000</v>
      </c>
    </row>
    <row r="2211" spans="1:5" s="2203" customFormat="1" thickBot="1" x14ac:dyDescent="0.25">
      <c r="A2211" s="2207">
        <v>22020501</v>
      </c>
      <c r="B2211" s="2208" t="s">
        <v>30</v>
      </c>
      <c r="C2211" s="2211">
        <f>1400000+700000</f>
        <v>2100000</v>
      </c>
      <c r="D2211" s="2221"/>
      <c r="E2211" s="2211">
        <f>1400000+700000</f>
        <v>2100000</v>
      </c>
    </row>
    <row r="2212" spans="1:5" s="2203" customFormat="1" thickBot="1" x14ac:dyDescent="0.25">
      <c r="A2212" s="2204">
        <v>22021000</v>
      </c>
      <c r="B2212" s="2205" t="s">
        <v>73</v>
      </c>
      <c r="C2212" s="2230">
        <f>SUM(C2213:C2219)</f>
        <v>11585000</v>
      </c>
      <c r="D2212" s="2535">
        <f>SUM(D2213:D2219)</f>
        <v>6262500</v>
      </c>
      <c r="E2212" s="2535">
        <f>SUM(E2213:E2219)</f>
        <v>187908695</v>
      </c>
    </row>
    <row r="2213" spans="1:5" s="2203" customFormat="1" ht="19.5" x14ac:dyDescent="0.2">
      <c r="A2213" s="2207">
        <v>22021001</v>
      </c>
      <c r="B2213" s="2208" t="s">
        <v>41</v>
      </c>
      <c r="C2213" s="2206">
        <v>525000</v>
      </c>
      <c r="D2213" s="2209">
        <v>262500</v>
      </c>
      <c r="E2213" s="2206">
        <v>525000</v>
      </c>
    </row>
    <row r="2214" spans="1:5" s="2203" customFormat="1" ht="19.5" x14ac:dyDescent="0.2">
      <c r="A2214" s="2207">
        <v>22021003</v>
      </c>
      <c r="B2214" s="2208" t="s">
        <v>42</v>
      </c>
      <c r="C2214" s="2220">
        <f>3500000+560000</f>
        <v>4060000</v>
      </c>
      <c r="D2214" s="2209">
        <v>3250000</v>
      </c>
      <c r="E2214" s="2220">
        <f>3500000+560000</f>
        <v>4060000</v>
      </c>
    </row>
    <row r="2215" spans="1:5" s="2203" customFormat="1" ht="19.5" x14ac:dyDescent="0.2">
      <c r="A2215" s="2207">
        <v>22021041</v>
      </c>
      <c r="B2215" s="2208" t="s">
        <v>715</v>
      </c>
      <c r="C2215" s="2206">
        <v>3500000</v>
      </c>
      <c r="D2215" s="2209">
        <v>1000000</v>
      </c>
      <c r="E2215" s="2206">
        <v>3500000</v>
      </c>
    </row>
    <row r="2216" spans="1:5" s="2203" customFormat="1" ht="19.5" x14ac:dyDescent="0.2">
      <c r="A2216" s="2207">
        <v>22021041</v>
      </c>
      <c r="B2216" s="2219" t="s">
        <v>717</v>
      </c>
      <c r="C2216" s="3179">
        <v>3500000</v>
      </c>
      <c r="D2216" s="2212">
        <v>1750000</v>
      </c>
      <c r="E2216" s="2221">
        <v>3500000</v>
      </c>
    </row>
    <row r="2217" spans="1:5" s="2203" customFormat="1" ht="19.5" x14ac:dyDescent="0.2">
      <c r="A2217" s="2207">
        <v>22021041</v>
      </c>
      <c r="B2217" s="2546" t="s">
        <v>1725</v>
      </c>
      <c r="C2217" s="3236" t="s">
        <v>179</v>
      </c>
      <c r="D2217" s="2547" t="s">
        <v>179</v>
      </c>
      <c r="E2217" s="2221">
        <v>36323695</v>
      </c>
    </row>
    <row r="2218" spans="1:5" s="2203" customFormat="1" ht="19.5" x14ac:dyDescent="0.2">
      <c r="A2218" s="2207">
        <v>22021041</v>
      </c>
      <c r="B2218" s="2546" t="s">
        <v>1726</v>
      </c>
      <c r="C2218" s="3236" t="s">
        <v>179</v>
      </c>
      <c r="D2218" s="2547" t="s">
        <v>179</v>
      </c>
      <c r="E2218" s="2212">
        <v>40000000</v>
      </c>
    </row>
    <row r="2219" spans="1:5" s="2203" customFormat="1" thickBot="1" x14ac:dyDescent="0.25">
      <c r="A2219" s="2207">
        <v>22021041</v>
      </c>
      <c r="B2219" s="2546" t="s">
        <v>1727</v>
      </c>
      <c r="C2219" s="3236" t="s">
        <v>179</v>
      </c>
      <c r="D2219" s="2547" t="s">
        <v>179</v>
      </c>
      <c r="E2219" s="2212">
        <v>100000000</v>
      </c>
    </row>
    <row r="2220" spans="1:5" s="2203" customFormat="1" thickBot="1" x14ac:dyDescent="0.25">
      <c r="A2220" s="2207"/>
      <c r="B2220" s="2205"/>
      <c r="C2220" s="2230"/>
      <c r="D2220" s="2535"/>
      <c r="E2220" s="2535"/>
    </row>
    <row r="2221" spans="1:5" s="2203" customFormat="1" thickBot="1" x14ac:dyDescent="0.25">
      <c r="A2221" s="3237"/>
      <c r="B2221" s="3238" t="s">
        <v>1357</v>
      </c>
      <c r="C2221" s="2230">
        <f>SUM(C2197,C2201,C2203,C2206,C2210,C2212)</f>
        <v>71295000</v>
      </c>
      <c r="D2221" s="2535">
        <f>SUM(D2197,D2201,D2203,D2206,D2210,D2212)</f>
        <v>40721079</v>
      </c>
      <c r="E2221" s="2535">
        <f>SUM(E2197,E2201,E2203,E2206,E2210,E2212)</f>
        <v>251118695</v>
      </c>
    </row>
    <row r="2222" spans="1:5" x14ac:dyDescent="0.2">
      <c r="A2222" s="3477"/>
      <c r="B2222" s="3477"/>
      <c r="C2222" s="3477"/>
      <c r="D2222" s="3477"/>
      <c r="E2222" s="3477"/>
    </row>
    <row r="2223" spans="1:5" x14ac:dyDescent="0.2">
      <c r="A2223" s="2043"/>
      <c r="B2223" s="2506"/>
      <c r="C2223" s="2003"/>
      <c r="D2223" s="2003"/>
      <c r="E2223" s="2003"/>
    </row>
    <row r="2224" spans="1:5" x14ac:dyDescent="0.2">
      <c r="A2224" s="3477" t="s">
        <v>1856</v>
      </c>
      <c r="B2224" s="3477"/>
      <c r="C2224" s="3477"/>
      <c r="D2224" s="3477"/>
      <c r="E2224" s="3477"/>
    </row>
    <row r="2225" spans="1:5" x14ac:dyDescent="0.2">
      <c r="A2225" s="3477" t="s">
        <v>1052</v>
      </c>
      <c r="B2225" s="3477"/>
      <c r="C2225" s="3477"/>
      <c r="D2225" s="3477"/>
      <c r="E2225" s="3477"/>
    </row>
    <row r="2226" spans="1:5" ht="21" thickBot="1" x14ac:dyDescent="0.25">
      <c r="A2226" s="3476" t="s">
        <v>138</v>
      </c>
      <c r="B2226" s="3476"/>
      <c r="C2226" s="3476"/>
      <c r="D2226" s="3476"/>
      <c r="E2226" s="3476"/>
    </row>
    <row r="2227" spans="1:5" ht="81.75" thickBot="1" x14ac:dyDescent="0.35">
      <c r="A2227" s="2004" t="s">
        <v>1014</v>
      </c>
      <c r="B2227" s="2004" t="s">
        <v>282</v>
      </c>
      <c r="C2227" s="173" t="s">
        <v>1174</v>
      </c>
      <c r="D2227" s="173" t="s">
        <v>1145</v>
      </c>
      <c r="E2227" s="173" t="s">
        <v>3096</v>
      </c>
    </row>
    <row r="2228" spans="1:5" ht="21" thickBot="1" x14ac:dyDescent="0.25">
      <c r="A2228" s="2005">
        <v>22020100</v>
      </c>
      <c r="B2228" s="2059" t="s">
        <v>64</v>
      </c>
      <c r="C2228" s="2012">
        <f>SUM(C2229:C2230)</f>
        <v>2100000</v>
      </c>
      <c r="D2228" s="2012">
        <f>SUM(D2229:D2230)</f>
        <v>0</v>
      </c>
      <c r="E2228" s="2012">
        <f>SUM(E2229:E2230)</f>
        <v>2100000</v>
      </c>
    </row>
    <row r="2229" spans="1:5" x14ac:dyDescent="0.2">
      <c r="A2229" s="1861">
        <v>22020101</v>
      </c>
      <c r="B2229" s="151" t="s">
        <v>9</v>
      </c>
      <c r="C2229" s="1892">
        <v>1000000</v>
      </c>
      <c r="D2229" s="1892"/>
      <c r="E2229" s="1892">
        <v>1000000</v>
      </c>
    </row>
    <row r="2230" spans="1:5" ht="21" thickBot="1" x14ac:dyDescent="0.25">
      <c r="A2230" s="1861">
        <v>22020102</v>
      </c>
      <c r="B2230" s="151" t="s">
        <v>10</v>
      </c>
      <c r="C2230" s="1892">
        <v>1100000</v>
      </c>
      <c r="D2230" s="1892"/>
      <c r="E2230" s="1892">
        <v>1100000</v>
      </c>
    </row>
    <row r="2231" spans="1:5" ht="21" thickBot="1" x14ac:dyDescent="0.25">
      <c r="A2231" s="1993">
        <v>22020200</v>
      </c>
      <c r="B2231" s="2010" t="s">
        <v>65</v>
      </c>
      <c r="C2231" s="2012">
        <f>SUM(C2232:C2232)</f>
        <v>214200</v>
      </c>
      <c r="D2231" s="2011">
        <f>SUM(D2232:D2232)</f>
        <v>0</v>
      </c>
      <c r="E2231" s="2012">
        <f>SUM(E2232:E2232)</f>
        <v>214200</v>
      </c>
    </row>
    <row r="2232" spans="1:5" s="2063" customFormat="1" ht="21" thickBot="1" x14ac:dyDescent="0.25">
      <c r="A2232" s="1861">
        <v>22020203</v>
      </c>
      <c r="B2232" s="151" t="s">
        <v>15</v>
      </c>
      <c r="C2232" s="1892">
        <v>214200</v>
      </c>
      <c r="D2232" s="1892"/>
      <c r="E2232" s="1892">
        <v>214200</v>
      </c>
    </row>
    <row r="2233" spans="1:5" ht="21" thickBot="1" x14ac:dyDescent="0.25">
      <c r="A2233" s="1993">
        <v>22020300</v>
      </c>
      <c r="B2233" s="2010" t="s">
        <v>66</v>
      </c>
      <c r="C2233" s="2012">
        <f>SUM(C2234:C2234)</f>
        <v>1142400</v>
      </c>
      <c r="D2233" s="2011">
        <f>SUM(D2234:D2234)</f>
        <v>0</v>
      </c>
      <c r="E2233" s="2012">
        <f>SUM(E2234:E2234)</f>
        <v>1142400</v>
      </c>
    </row>
    <row r="2234" spans="1:5" ht="21" thickBot="1" x14ac:dyDescent="0.25">
      <c r="A2234" s="1861">
        <v>22020301</v>
      </c>
      <c r="B2234" s="151" t="s">
        <v>17</v>
      </c>
      <c r="C2234" s="152">
        <v>1142400</v>
      </c>
      <c r="D2234" s="152"/>
      <c r="E2234" s="152">
        <v>1142400</v>
      </c>
    </row>
    <row r="2235" spans="1:5" ht="21" thickBot="1" x14ac:dyDescent="0.25">
      <c r="A2235" s="1993">
        <v>22020400</v>
      </c>
      <c r="B2235" s="2010" t="s">
        <v>67</v>
      </c>
      <c r="C2235" s="2012">
        <f>SUM(C2236:C2237)</f>
        <v>1679038</v>
      </c>
      <c r="D2235" s="2011">
        <f>SUM(D2236:D2237)</f>
        <v>0</v>
      </c>
      <c r="E2235" s="2012">
        <f>SUM(E2236:E2237)</f>
        <v>1679038</v>
      </c>
    </row>
    <row r="2236" spans="1:5" x14ac:dyDescent="0.2">
      <c r="A2236" s="1861">
        <v>22020401</v>
      </c>
      <c r="B2236" s="2024" t="s">
        <v>79</v>
      </c>
      <c r="C2236" s="152">
        <v>479038</v>
      </c>
      <c r="D2236" s="152"/>
      <c r="E2236" s="152">
        <v>479038</v>
      </c>
    </row>
    <row r="2237" spans="1:5" ht="21" thickBot="1" x14ac:dyDescent="0.25">
      <c r="A2237" s="1861">
        <v>22020406</v>
      </c>
      <c r="B2237" s="151" t="s">
        <v>29</v>
      </c>
      <c r="C2237" s="1892">
        <v>1200000</v>
      </c>
      <c r="D2237" s="1892"/>
      <c r="E2237" s="1892">
        <v>1200000</v>
      </c>
    </row>
    <row r="2238" spans="1:5" ht="21" thickBot="1" x14ac:dyDescent="0.25">
      <c r="A2238" s="1993">
        <v>22020500</v>
      </c>
      <c r="B2238" s="2010" t="s">
        <v>68</v>
      </c>
      <c r="C2238" s="2012">
        <f>SUM(C2239:C2239)</f>
        <v>211200</v>
      </c>
      <c r="D2238" s="2011">
        <f>SUM(D2239:D2239)</f>
        <v>0</v>
      </c>
      <c r="E2238" s="2012">
        <f>SUM(E2239:E2239)</f>
        <v>211200</v>
      </c>
    </row>
    <row r="2239" spans="1:5" ht="21" thickBot="1" x14ac:dyDescent="0.25">
      <c r="A2239" s="1861">
        <v>22020501</v>
      </c>
      <c r="B2239" s="151" t="s">
        <v>30</v>
      </c>
      <c r="C2239" s="2037">
        <f>64200+147000</f>
        <v>211200</v>
      </c>
      <c r="D2239" s="1892"/>
      <c r="E2239" s="2037">
        <f>64200+147000</f>
        <v>211200</v>
      </c>
    </row>
    <row r="2240" spans="1:5" ht="21" thickBot="1" x14ac:dyDescent="0.25">
      <c r="A2240" s="1993">
        <v>22021000</v>
      </c>
      <c r="B2240" s="2010" t="s">
        <v>73</v>
      </c>
      <c r="C2240" s="2012">
        <f>SUM(C2241)</f>
        <v>571200</v>
      </c>
      <c r="D2240" s="2011">
        <f>SUM(D2241)</f>
        <v>0</v>
      </c>
      <c r="E2240" s="2012">
        <f>SUM(E2241)</f>
        <v>571200</v>
      </c>
    </row>
    <row r="2241" spans="1:5" ht="21" thickBot="1" x14ac:dyDescent="0.25">
      <c r="A2241" s="1861">
        <v>22021001</v>
      </c>
      <c r="B2241" s="151" t="s">
        <v>41</v>
      </c>
      <c r="C2241" s="2076">
        <v>571200</v>
      </c>
      <c r="D2241" s="1892"/>
      <c r="E2241" s="1892">
        <v>571200</v>
      </c>
    </row>
    <row r="2242" spans="1:5" ht="21" thickBot="1" x14ac:dyDescent="0.35">
      <c r="A2242" s="2131">
        <v>22040100</v>
      </c>
      <c r="B2242" s="2507" t="s">
        <v>75</v>
      </c>
      <c r="C2242" s="2062">
        <f>SUM(C2243:C2243)</f>
        <v>26843265</v>
      </c>
      <c r="D2242" s="2018">
        <f>SUM(D2243:D2243)</f>
        <v>0</v>
      </c>
      <c r="E2242" s="2018">
        <f>SUM(E2243:E2243)</f>
        <v>0</v>
      </c>
    </row>
    <row r="2243" spans="1:5" ht="21" thickBot="1" x14ac:dyDescent="0.25">
      <c r="A2243" s="1861">
        <v>22040109</v>
      </c>
      <c r="B2243" s="151" t="s">
        <v>1452</v>
      </c>
      <c r="C2243" s="2508">
        <f>2587564+1100000+23155701</f>
        <v>26843265</v>
      </c>
      <c r="D2243" s="1892"/>
      <c r="E2243" s="1892" t="s">
        <v>179</v>
      </c>
    </row>
    <row r="2244" spans="1:5" ht="21" thickBot="1" x14ac:dyDescent="0.25">
      <c r="A2244" s="1861"/>
      <c r="B2244" s="2010"/>
      <c r="C2244" s="2062"/>
      <c r="D2244" s="2018"/>
      <c r="E2244" s="2018"/>
    </row>
    <row r="2245" spans="1:5" ht="21" thickBot="1" x14ac:dyDescent="0.25">
      <c r="A2245" s="2177"/>
      <c r="B2245" s="2105" t="s">
        <v>1366</v>
      </c>
      <c r="C2245" s="2062">
        <f>SUM(C2228,C2231,C2233,C2235,C2238,C2240,C2242)</f>
        <v>32761303</v>
      </c>
      <c r="D2245" s="2018">
        <f>SUM(D2228,D2231,D2233,D2235,D2238,D2240,D2242)</f>
        <v>0</v>
      </c>
      <c r="E2245" s="2018">
        <f>SUM(E2228,E2231,E2233,E2235,E2238,E2240,E2242)</f>
        <v>5918038</v>
      </c>
    </row>
    <row r="2246" spans="1:5" x14ac:dyDescent="0.2">
      <c r="A2246" s="3477"/>
      <c r="B2246" s="3477"/>
      <c r="C2246" s="3477"/>
      <c r="D2246" s="3477"/>
      <c r="E2246" s="3477"/>
    </row>
    <row r="2247" spans="1:5" x14ac:dyDescent="0.2">
      <c r="A2247" s="3477" t="s">
        <v>1475</v>
      </c>
      <c r="B2247" s="3477"/>
      <c r="C2247" s="3477"/>
      <c r="D2247" s="3477"/>
      <c r="E2247" s="3477"/>
    </row>
    <row r="2248" spans="1:5" x14ac:dyDescent="0.2">
      <c r="A2248" s="3477" t="s">
        <v>1050</v>
      </c>
      <c r="B2248" s="3477"/>
      <c r="C2248" s="3477"/>
      <c r="D2248" s="3477"/>
      <c r="E2248" s="3477"/>
    </row>
    <row r="2249" spans="1:5" ht="21" thickBot="1" x14ac:dyDescent="0.25">
      <c r="A2249" s="3476" t="s">
        <v>1557</v>
      </c>
      <c r="B2249" s="3476"/>
      <c r="C2249" s="3476"/>
      <c r="D2249" s="3476"/>
      <c r="E2249" s="3476"/>
    </row>
    <row r="2250" spans="1:5" ht="81.75" thickBot="1" x14ac:dyDescent="0.35">
      <c r="A2250" s="2004" t="s">
        <v>1014</v>
      </c>
      <c r="B2250" s="2004" t="s">
        <v>282</v>
      </c>
      <c r="C2250" s="173" t="s">
        <v>1174</v>
      </c>
      <c r="D2250" s="173" t="s">
        <v>1145</v>
      </c>
      <c r="E2250" s="173" t="s">
        <v>3096</v>
      </c>
    </row>
    <row r="2251" spans="1:5" ht="21" thickBot="1" x14ac:dyDescent="0.25">
      <c r="A2251" s="2019"/>
      <c r="B2251" s="2020"/>
      <c r="C2251" s="2021"/>
      <c r="D2251" s="2022"/>
      <c r="E2251" s="2023"/>
    </row>
    <row r="2252" spans="1:5" ht="21" thickBot="1" x14ac:dyDescent="0.25">
      <c r="A2252" s="1993">
        <v>22020100</v>
      </c>
      <c r="B2252" s="2010" t="s">
        <v>64</v>
      </c>
      <c r="C2252" s="1994">
        <f>SUM(C2253:C2254)</f>
        <v>1208601</v>
      </c>
      <c r="D2252" s="2011">
        <f>SUM(D2253:D2254)</f>
        <v>525000</v>
      </c>
      <c r="E2252" s="2012">
        <f>SUM(E2253:E2254)</f>
        <v>1424000</v>
      </c>
    </row>
    <row r="2253" spans="1:5" x14ac:dyDescent="0.2">
      <c r="A2253" s="1861">
        <v>22020101</v>
      </c>
      <c r="B2253" s="151" t="s">
        <v>3303</v>
      </c>
      <c r="C2253" s="1892">
        <v>206000</v>
      </c>
      <c r="D2253" s="1892">
        <v>85000</v>
      </c>
      <c r="E2253" s="1892">
        <v>306000</v>
      </c>
    </row>
    <row r="2254" spans="1:5" ht="21" thickBot="1" x14ac:dyDescent="0.25">
      <c r="A2254" s="1861">
        <v>22020102</v>
      </c>
      <c r="B2254" s="151" t="s">
        <v>10</v>
      </c>
      <c r="C2254" s="152">
        <v>1002601</v>
      </c>
      <c r="D2254" s="152">
        <v>440000</v>
      </c>
      <c r="E2254" s="152">
        <v>1118000</v>
      </c>
    </row>
    <row r="2255" spans="1:5" s="2083" customFormat="1" ht="21" thickBot="1" x14ac:dyDescent="0.35">
      <c r="A2255" s="1993">
        <v>22020300</v>
      </c>
      <c r="B2255" s="2010" t="s">
        <v>66</v>
      </c>
      <c r="C2255" s="1994">
        <f>SUM(C2256:C2256)</f>
        <v>306000</v>
      </c>
      <c r="D2255" s="2011">
        <f>SUM(D2256:D2256)</f>
        <v>30000</v>
      </c>
      <c r="E2255" s="2012">
        <f>SUM(E2256:E2256)</f>
        <v>500000</v>
      </c>
    </row>
    <row r="2256" spans="1:5" s="2083" customFormat="1" ht="21" thickBot="1" x14ac:dyDescent="0.35">
      <c r="A2256" s="1861">
        <v>22020301</v>
      </c>
      <c r="B2256" s="151" t="s">
        <v>17</v>
      </c>
      <c r="C2256" s="152">
        <v>306000</v>
      </c>
      <c r="D2256" s="152">
        <v>30000</v>
      </c>
      <c r="E2256" s="152">
        <v>500000</v>
      </c>
    </row>
    <row r="2257" spans="1:5" s="2083" customFormat="1" ht="21" thickBot="1" x14ac:dyDescent="0.35">
      <c r="A2257" s="1993">
        <v>22020400</v>
      </c>
      <c r="B2257" s="2010" t="s">
        <v>67</v>
      </c>
      <c r="C2257" s="1994">
        <f>SUM(C2258:C2259)</f>
        <v>29800000</v>
      </c>
      <c r="D2257" s="1994">
        <f>SUM(D2258:D2259)</f>
        <v>8739704</v>
      </c>
      <c r="E2257" s="1994">
        <f>SUM(E2258:E2259)</f>
        <v>30860000</v>
      </c>
    </row>
    <row r="2258" spans="1:5" s="2083" customFormat="1" x14ac:dyDescent="0.3">
      <c r="A2258" s="1861">
        <v>22020401</v>
      </c>
      <c r="B2258" s="151" t="s">
        <v>79</v>
      </c>
      <c r="C2258" s="152">
        <v>1800000</v>
      </c>
      <c r="D2258" s="152">
        <v>1474929</v>
      </c>
      <c r="E2258" s="152">
        <v>2860000</v>
      </c>
    </row>
    <row r="2259" spans="1:5" s="2083" customFormat="1" ht="21" thickBot="1" x14ac:dyDescent="0.35">
      <c r="A2259" s="1861">
        <v>22020414</v>
      </c>
      <c r="B2259" s="2452" t="s">
        <v>3297</v>
      </c>
      <c r="C2259" s="2057">
        <v>28000000</v>
      </c>
      <c r="D2259" s="2057">
        <v>7264775</v>
      </c>
      <c r="E2259" s="2057">
        <v>28000000</v>
      </c>
    </row>
    <row r="2260" spans="1:5" s="2083" customFormat="1" ht="21" thickBot="1" x14ac:dyDescent="0.35">
      <c r="A2260" s="1993">
        <v>22021000</v>
      </c>
      <c r="B2260" s="2010" t="s">
        <v>73</v>
      </c>
      <c r="C2260" s="1994">
        <f>SUM(C2261:C2263)</f>
        <v>1458665</v>
      </c>
      <c r="D2260" s="1994">
        <f>SUM(D2261:D2263)</f>
        <v>80000</v>
      </c>
      <c r="E2260" s="2018">
        <f>SUM(E2261:E2263)</f>
        <v>1814665</v>
      </c>
    </row>
    <row r="2261" spans="1:5" s="2083" customFormat="1" x14ac:dyDescent="0.3">
      <c r="A2261" s="1861">
        <v>22021001</v>
      </c>
      <c r="B2261" s="151" t="s">
        <v>41</v>
      </c>
      <c r="C2261" s="152">
        <v>208000</v>
      </c>
      <c r="D2261" s="152">
        <v>80000</v>
      </c>
      <c r="E2261" s="152">
        <v>508000</v>
      </c>
    </row>
    <row r="2262" spans="1:5" s="2083" customFormat="1" x14ac:dyDescent="0.3">
      <c r="A2262" s="1861">
        <v>22021002</v>
      </c>
      <c r="B2262" s="153" t="s">
        <v>1530</v>
      </c>
      <c r="C2262" s="1892">
        <v>1200000</v>
      </c>
      <c r="D2262" s="1892"/>
      <c r="E2262" s="1892">
        <v>1200000</v>
      </c>
    </row>
    <row r="2263" spans="1:5" s="2083" customFormat="1" x14ac:dyDescent="0.3">
      <c r="A2263" s="1861">
        <v>22021003</v>
      </c>
      <c r="B2263" s="153" t="s">
        <v>42</v>
      </c>
      <c r="C2263" s="152">
        <v>50665</v>
      </c>
      <c r="D2263" s="152"/>
      <c r="E2263" s="152">
        <v>106665</v>
      </c>
    </row>
    <row r="2264" spans="1:5" s="2083" customFormat="1" ht="21" thickBot="1" x14ac:dyDescent="0.35">
      <c r="A2264" s="2131"/>
      <c r="B2264" s="2010"/>
      <c r="C2264" s="2069"/>
      <c r="D2264" s="2069"/>
      <c r="E2264" s="2069"/>
    </row>
    <row r="2265" spans="1:5" s="2083" customFormat="1" ht="21" thickBot="1" x14ac:dyDescent="0.35">
      <c r="A2265" s="2104"/>
      <c r="B2265" s="2187" t="s">
        <v>2533</v>
      </c>
      <c r="C2265" s="1994">
        <f>C2252+C2255+C2257+C2260+C2264</f>
        <v>32773266</v>
      </c>
      <c r="D2265" s="2011">
        <f>D2252+D2255+D2257+D2260+D2264</f>
        <v>9374704</v>
      </c>
      <c r="E2265" s="2012">
        <f>E2252+E2255+E2257+E2260+E2264</f>
        <v>34598665</v>
      </c>
    </row>
    <row r="2266" spans="1:5" s="2083" customFormat="1" x14ac:dyDescent="0.3">
      <c r="A2266" s="2111"/>
      <c r="B2266" s="2044"/>
      <c r="C2266" s="2045"/>
      <c r="D2266" s="2045"/>
      <c r="E2266" s="2045"/>
    </row>
    <row r="2267" spans="1:5" s="2083" customFormat="1" x14ac:dyDescent="0.3">
      <c r="A2267" s="2111"/>
      <c r="B2267" s="2044"/>
      <c r="C2267" s="2045"/>
      <c r="D2267" s="2045"/>
      <c r="E2267" s="2045"/>
    </row>
    <row r="2268" spans="1:5" s="2083" customFormat="1" x14ac:dyDescent="0.3">
      <c r="A2268" s="3477" t="s">
        <v>1855</v>
      </c>
      <c r="B2268" s="3477"/>
      <c r="C2268" s="3477"/>
      <c r="D2268" s="3477"/>
      <c r="E2268" s="3477"/>
    </row>
    <row r="2269" spans="1:5" s="2083" customFormat="1" x14ac:dyDescent="0.3">
      <c r="A2269" s="3477" t="s">
        <v>1050</v>
      </c>
      <c r="B2269" s="3477"/>
      <c r="C2269" s="3477"/>
      <c r="D2269" s="3477"/>
      <c r="E2269" s="3477"/>
    </row>
    <row r="2270" spans="1:5" s="2083" customFormat="1" ht="21" thickBot="1" x14ac:dyDescent="0.35">
      <c r="A2270" s="3476" t="s">
        <v>1265</v>
      </c>
      <c r="B2270" s="3476"/>
      <c r="C2270" s="3476"/>
      <c r="D2270" s="3476"/>
      <c r="E2270" s="3476"/>
    </row>
    <row r="2271" spans="1:5" s="2116" customFormat="1" ht="81.75" thickBot="1" x14ac:dyDescent="0.25">
      <c r="A2271" s="2004" t="s">
        <v>1014</v>
      </c>
      <c r="B2271" s="2004" t="s">
        <v>282</v>
      </c>
      <c r="C2271" s="2509" t="s">
        <v>1174</v>
      </c>
      <c r="D2271" s="2509" t="s">
        <v>1145</v>
      </c>
      <c r="E2271" s="2509" t="s">
        <v>3096</v>
      </c>
    </row>
    <row r="2272" spans="1:5" ht="21" thickBot="1" x14ac:dyDescent="0.25">
      <c r="A2272" s="2005">
        <v>22020100</v>
      </c>
      <c r="B2272" s="2059" t="s">
        <v>64</v>
      </c>
      <c r="C2272" s="2012">
        <f>SUM(C2273:C2274)</f>
        <v>2800000</v>
      </c>
      <c r="D2272" s="2012">
        <f>SUM(D2273:D2274)</f>
        <v>1653330</v>
      </c>
      <c r="E2272" s="2012">
        <f>SUM(E2273:E2274)</f>
        <v>25000000</v>
      </c>
    </row>
    <row r="2273" spans="1:5" s="2112" customFormat="1" x14ac:dyDescent="0.2">
      <c r="A2273" s="1861">
        <v>22020101</v>
      </c>
      <c r="B2273" s="151" t="s">
        <v>2502</v>
      </c>
      <c r="C2273" s="152"/>
      <c r="D2273" s="152"/>
      <c r="E2273" s="152">
        <v>20000000</v>
      </c>
    </row>
    <row r="2274" spans="1:5" s="2112" customFormat="1" ht="21" thickBot="1" x14ac:dyDescent="0.25">
      <c r="A2274" s="1861">
        <v>22020102</v>
      </c>
      <c r="B2274" s="151" t="s">
        <v>10</v>
      </c>
      <c r="C2274" s="152">
        <v>2800000</v>
      </c>
      <c r="D2274" s="152">
        <v>1653330</v>
      </c>
      <c r="E2274" s="152">
        <v>5000000</v>
      </c>
    </row>
    <row r="2275" spans="1:5" s="2112" customFormat="1" ht="21" thickBot="1" x14ac:dyDescent="0.25">
      <c r="A2275" s="1993">
        <v>22020200</v>
      </c>
      <c r="B2275" s="2010" t="s">
        <v>65</v>
      </c>
      <c r="C2275" s="2012">
        <f>SUM(C2276:C2276)</f>
        <v>840000</v>
      </c>
      <c r="D2275" s="2012">
        <f>SUM(D2276:D2276)</f>
        <v>0</v>
      </c>
      <c r="E2275" s="2012">
        <f>SUM(E2276:E2276)</f>
        <v>1200000</v>
      </c>
    </row>
    <row r="2276" spans="1:5" s="2112" customFormat="1" ht="21" thickBot="1" x14ac:dyDescent="0.25">
      <c r="A2276" s="1861">
        <v>22020201</v>
      </c>
      <c r="B2276" s="151" t="s">
        <v>1736</v>
      </c>
      <c r="C2276" s="152">
        <v>840000</v>
      </c>
      <c r="D2276" s="152"/>
      <c r="E2276" s="152">
        <v>1200000</v>
      </c>
    </row>
    <row r="2277" spans="1:5" s="2112" customFormat="1" ht="21" thickBot="1" x14ac:dyDescent="0.25">
      <c r="A2277" s="1993">
        <v>22020300</v>
      </c>
      <c r="B2277" s="2010" t="s">
        <v>66</v>
      </c>
      <c r="C2277" s="2012">
        <f>SUM(C2278:C2279)</f>
        <v>1050000</v>
      </c>
      <c r="D2277" s="2012">
        <f>SUM(D2278:D2279)</f>
        <v>620000</v>
      </c>
      <c r="E2277" s="2012">
        <f>SUM(E2278:E2279)</f>
        <v>2700000</v>
      </c>
    </row>
    <row r="2278" spans="1:5" s="2112" customFormat="1" x14ac:dyDescent="0.2">
      <c r="A2278" s="1861">
        <v>22020301</v>
      </c>
      <c r="B2278" s="151" t="s">
        <v>17</v>
      </c>
      <c r="C2278" s="152">
        <v>1050000</v>
      </c>
      <c r="D2278" s="152">
        <v>620000</v>
      </c>
      <c r="E2278" s="152">
        <v>1500000</v>
      </c>
    </row>
    <row r="2279" spans="1:5" s="2112" customFormat="1" ht="21" thickBot="1" x14ac:dyDescent="0.25">
      <c r="A2279" s="1861">
        <v>22020305</v>
      </c>
      <c r="B2279" s="151" t="s">
        <v>1994</v>
      </c>
      <c r="C2279" s="1892"/>
      <c r="D2279" s="1892"/>
      <c r="E2279" s="1892">
        <v>1200000</v>
      </c>
    </row>
    <row r="2280" spans="1:5" s="2112" customFormat="1" ht="21" thickBot="1" x14ac:dyDescent="0.25">
      <c r="A2280" s="1993">
        <v>22020400</v>
      </c>
      <c r="B2280" s="2010" t="s">
        <v>67</v>
      </c>
      <c r="C2280" s="2001">
        <f>SUM(C2281:C2282)</f>
        <v>2730000</v>
      </c>
      <c r="D2280" s="2018">
        <f>SUM(D2281:D2282)</f>
        <v>1196000</v>
      </c>
      <c r="E2280" s="2062">
        <f>SUM(E2281:E2282)</f>
        <v>2730000</v>
      </c>
    </row>
    <row r="2281" spans="1:5" s="2112" customFormat="1" x14ac:dyDescent="0.2">
      <c r="A2281" s="1861">
        <v>22020401</v>
      </c>
      <c r="B2281" s="2024" t="s">
        <v>79</v>
      </c>
      <c r="C2281" s="2037">
        <f>1180000+350000</f>
        <v>1530000</v>
      </c>
      <c r="D2281" s="1892">
        <v>496000</v>
      </c>
      <c r="E2281" s="2037">
        <f>1180000+350000</f>
        <v>1530000</v>
      </c>
    </row>
    <row r="2282" spans="1:5" s="2112" customFormat="1" ht="21" thickBot="1" x14ac:dyDescent="0.25">
      <c r="A2282" s="1861">
        <v>22020406</v>
      </c>
      <c r="B2282" s="151" t="s">
        <v>29</v>
      </c>
      <c r="C2282" s="2076">
        <v>1200000</v>
      </c>
      <c r="D2282" s="1892">
        <v>700000</v>
      </c>
      <c r="E2282" s="1892">
        <v>1200000</v>
      </c>
    </row>
    <row r="2283" spans="1:5" s="2112" customFormat="1" x14ac:dyDescent="0.2">
      <c r="A2283" s="1993">
        <v>22021000</v>
      </c>
      <c r="B2283" s="2010" t="s">
        <v>73</v>
      </c>
      <c r="C2283" s="2456">
        <f>SUM(C2284:C2284)</f>
        <v>700000</v>
      </c>
      <c r="D2283" s="2233">
        <f>SUM(D2284:D2284)</f>
        <v>413330</v>
      </c>
      <c r="E2283" s="2233">
        <f>SUM(E2284:E2284)</f>
        <v>1000000</v>
      </c>
    </row>
    <row r="2284" spans="1:5" s="2112" customFormat="1" x14ac:dyDescent="0.2">
      <c r="A2284" s="1861">
        <v>22021001</v>
      </c>
      <c r="B2284" s="151" t="s">
        <v>41</v>
      </c>
      <c r="C2284" s="2075">
        <v>700000</v>
      </c>
      <c r="D2284" s="152">
        <v>413330</v>
      </c>
      <c r="E2284" s="152">
        <v>1000000</v>
      </c>
    </row>
    <row r="2285" spans="1:5" s="2112" customFormat="1" ht="21" thickBot="1" x14ac:dyDescent="0.25">
      <c r="A2285" s="1861"/>
      <c r="B2285" s="2010"/>
      <c r="C2285" s="3235"/>
      <c r="D2285" s="3146"/>
      <c r="E2285" s="3146"/>
    </row>
    <row r="2286" spans="1:5" ht="21" thickBot="1" x14ac:dyDescent="0.25">
      <c r="A2286" s="2177"/>
      <c r="B2286" s="2105" t="s">
        <v>1367</v>
      </c>
      <c r="C2286" s="2062">
        <f>SUM(C2272,C2275,C2277,C2280,C2283)</f>
        <v>8120000</v>
      </c>
      <c r="D2286" s="2018">
        <f>SUM(D2272,D2275,D2277,D2280,D2283)</f>
        <v>3882660</v>
      </c>
      <c r="E2286" s="2018">
        <f>SUM(E2272,E2275,E2277,E2280,E2283)</f>
        <v>32630000</v>
      </c>
    </row>
    <row r="2287" spans="1:5" x14ac:dyDescent="0.2">
      <c r="A2287" s="3477"/>
      <c r="B2287" s="3477"/>
      <c r="C2287" s="3479"/>
      <c r="D2287" s="3479"/>
      <c r="E2287" s="3479"/>
    </row>
    <row r="2288" spans="1:5" x14ac:dyDescent="0.2">
      <c r="A2288" s="3477" t="s">
        <v>1855</v>
      </c>
      <c r="B2288" s="3477"/>
      <c r="C2288" s="3477"/>
      <c r="D2288" s="3477"/>
      <c r="E2288" s="3477"/>
    </row>
    <row r="2289" spans="1:5" x14ac:dyDescent="0.2">
      <c r="A2289" s="3477" t="s">
        <v>1050</v>
      </c>
      <c r="B2289" s="3477"/>
      <c r="C2289" s="3477"/>
      <c r="D2289" s="3477"/>
      <c r="E2289" s="3477"/>
    </row>
    <row r="2290" spans="1:5" ht="21" thickBot="1" x14ac:dyDescent="0.25">
      <c r="A2290" s="3476" t="s">
        <v>140</v>
      </c>
      <c r="B2290" s="3476"/>
      <c r="C2290" s="3476"/>
      <c r="D2290" s="3476"/>
      <c r="E2290" s="3476"/>
    </row>
    <row r="2291" spans="1:5" ht="81.75" thickBot="1" x14ac:dyDescent="0.25">
      <c r="A2291" s="2004" t="s">
        <v>1014</v>
      </c>
      <c r="B2291" s="2004" t="s">
        <v>282</v>
      </c>
      <c r="C2291" s="2509" t="s">
        <v>1174</v>
      </c>
      <c r="D2291" s="2509" t="s">
        <v>1145</v>
      </c>
      <c r="E2291" s="2509" t="s">
        <v>3096</v>
      </c>
    </row>
    <row r="2292" spans="1:5" ht="21" thickBot="1" x14ac:dyDescent="0.25">
      <c r="A2292" s="2019"/>
      <c r="B2292" s="2020"/>
      <c r="C2292" s="2021"/>
      <c r="D2292" s="2022"/>
      <c r="E2292" s="2023"/>
    </row>
    <row r="2293" spans="1:5" ht="21" thickBot="1" x14ac:dyDescent="0.25">
      <c r="A2293" s="1993">
        <v>22020100</v>
      </c>
      <c r="B2293" s="2010" t="s">
        <v>64</v>
      </c>
      <c r="C2293" s="2012">
        <f>SUM(C2294:C2295)</f>
        <v>1740000</v>
      </c>
      <c r="D2293" s="2011">
        <f>SUM(D2294:D2295)</f>
        <v>50000</v>
      </c>
      <c r="E2293" s="2012">
        <f>SUM(E2294:E2295)</f>
        <v>1740000</v>
      </c>
    </row>
    <row r="2294" spans="1:5" x14ac:dyDescent="0.2">
      <c r="A2294" s="1861">
        <v>22020101</v>
      </c>
      <c r="B2294" s="151" t="s">
        <v>9</v>
      </c>
      <c r="C2294" s="152">
        <v>740000</v>
      </c>
      <c r="D2294" s="2099"/>
      <c r="E2294" s="152">
        <v>740000</v>
      </c>
    </row>
    <row r="2295" spans="1:5" ht="21" thickBot="1" x14ac:dyDescent="0.25">
      <c r="A2295" s="1861">
        <v>22020102</v>
      </c>
      <c r="B2295" s="151" t="s">
        <v>10</v>
      </c>
      <c r="C2295" s="152">
        <v>1000000</v>
      </c>
      <c r="D2295" s="2099">
        <v>50000</v>
      </c>
      <c r="E2295" s="152">
        <v>1000000</v>
      </c>
    </row>
    <row r="2296" spans="1:5" ht="21" thickBot="1" x14ac:dyDescent="0.25">
      <c r="A2296" s="1993">
        <v>22020200</v>
      </c>
      <c r="B2296" s="2010" t="s">
        <v>65</v>
      </c>
      <c r="C2296" s="2012">
        <f>SUM(C2297:C2297)</f>
        <v>700000</v>
      </c>
      <c r="D2296" s="2011">
        <f>SUM(D2297:D2297)</f>
        <v>0</v>
      </c>
      <c r="E2296" s="2012">
        <f>SUM(E2297:E2297)</f>
        <v>700000</v>
      </c>
    </row>
    <row r="2297" spans="1:5" ht="21" thickBot="1" x14ac:dyDescent="0.25">
      <c r="A2297" s="1861">
        <v>22020201</v>
      </c>
      <c r="B2297" s="151" t="s">
        <v>13</v>
      </c>
      <c r="C2297" s="152">
        <v>700000</v>
      </c>
      <c r="D2297" s="152"/>
      <c r="E2297" s="152">
        <v>700000</v>
      </c>
    </row>
    <row r="2298" spans="1:5" s="1997" customFormat="1" ht="21" thickBot="1" x14ac:dyDescent="0.25">
      <c r="A2298" s="1993">
        <v>22020300</v>
      </c>
      <c r="B2298" s="2010" t="s">
        <v>66</v>
      </c>
      <c r="C2298" s="2012">
        <f>SUM(C2299:C2299)</f>
        <v>1050000</v>
      </c>
      <c r="D2298" s="2011">
        <f>SUM(D2299:D2299)</f>
        <v>525000</v>
      </c>
      <c r="E2298" s="2012">
        <f>SUM(E2299:E2299)</f>
        <v>1050000</v>
      </c>
    </row>
    <row r="2299" spans="1:5" ht="21" thickBot="1" x14ac:dyDescent="0.25">
      <c r="A2299" s="1861">
        <v>22020301</v>
      </c>
      <c r="B2299" s="151" t="s">
        <v>17</v>
      </c>
      <c r="C2299" s="152">
        <v>1050000</v>
      </c>
      <c r="D2299" s="2099">
        <v>525000</v>
      </c>
      <c r="E2299" s="152">
        <v>1050000</v>
      </c>
    </row>
    <row r="2300" spans="1:5" ht="21" thickBot="1" x14ac:dyDescent="0.25">
      <c r="A2300" s="1993">
        <v>22020400</v>
      </c>
      <c r="B2300" s="2010" t="s">
        <v>67</v>
      </c>
      <c r="C2300" s="2012">
        <f>SUM(C2301:C2302)</f>
        <v>2460000</v>
      </c>
      <c r="D2300" s="2011">
        <f>SUM(D2301:D2302)</f>
        <v>1430000</v>
      </c>
      <c r="E2300" s="2012">
        <f>SUM(E2301:E2303)</f>
        <v>4460000</v>
      </c>
    </row>
    <row r="2301" spans="1:5" x14ac:dyDescent="0.2">
      <c r="A2301" s="1861">
        <v>22020401</v>
      </c>
      <c r="B2301" s="151" t="s">
        <v>79</v>
      </c>
      <c r="C2301" s="152">
        <v>1260000</v>
      </c>
      <c r="D2301" s="2099">
        <v>630000</v>
      </c>
      <c r="E2301" s="152">
        <v>1260000</v>
      </c>
    </row>
    <row r="2302" spans="1:5" x14ac:dyDescent="0.2">
      <c r="A2302" s="1861">
        <v>22020406</v>
      </c>
      <c r="B2302" s="151" t="s">
        <v>29</v>
      </c>
      <c r="C2302" s="1990">
        <v>1200000</v>
      </c>
      <c r="D2302" s="2325">
        <v>800000</v>
      </c>
      <c r="E2302" s="1990">
        <v>1200000</v>
      </c>
    </row>
    <row r="2303" spans="1:5" ht="21" thickBot="1" x14ac:dyDescent="0.25">
      <c r="A2303" s="2510">
        <v>22020404</v>
      </c>
      <c r="B2303" s="2511" t="s">
        <v>1729</v>
      </c>
      <c r="C2303" s="3232" t="s">
        <v>1730</v>
      </c>
      <c r="D2303" s="3233" t="s">
        <v>1731</v>
      </c>
      <c r="E2303" s="2325">
        <v>2000000</v>
      </c>
    </row>
    <row r="2304" spans="1:5" ht="21" thickBot="1" x14ac:dyDescent="0.25">
      <c r="A2304" s="1993">
        <v>22020500</v>
      </c>
      <c r="B2304" s="2010" t="s">
        <v>68</v>
      </c>
      <c r="C2304" s="2012">
        <f>SUM(C2305:C2305)</f>
        <v>490000</v>
      </c>
      <c r="D2304" s="2011">
        <f>SUM(D2305:D2305)</f>
        <v>0</v>
      </c>
      <c r="E2304" s="2012">
        <f>SUM(E2305:E2305)</f>
        <v>490000</v>
      </c>
    </row>
    <row r="2305" spans="1:5" ht="21" thickBot="1" x14ac:dyDescent="0.25">
      <c r="A2305" s="1861">
        <v>22020501</v>
      </c>
      <c r="B2305" s="151" t="s">
        <v>30</v>
      </c>
      <c r="C2305" s="3151">
        <v>490000</v>
      </c>
      <c r="D2305" s="152"/>
      <c r="E2305" s="2000">
        <v>490000</v>
      </c>
    </row>
    <row r="2306" spans="1:5" ht="21" thickBot="1" x14ac:dyDescent="0.25">
      <c r="A2306" s="1993">
        <v>22021000</v>
      </c>
      <c r="B2306" s="2030" t="s">
        <v>73</v>
      </c>
      <c r="C2306" s="1994">
        <f>SUM(C2307:C2307)</f>
        <v>525000</v>
      </c>
      <c r="D2306" s="2011">
        <f>SUM(D2307:D2307)</f>
        <v>70000</v>
      </c>
      <c r="E2306" s="2018">
        <f>SUM(E2307:E2307)</f>
        <v>525000</v>
      </c>
    </row>
    <row r="2307" spans="1:5" x14ac:dyDescent="0.2">
      <c r="A2307" s="1861">
        <v>22021001</v>
      </c>
      <c r="B2307" s="151" t="s">
        <v>41</v>
      </c>
      <c r="C2307" s="2405">
        <v>525000</v>
      </c>
      <c r="D2307" s="2408">
        <v>70000</v>
      </c>
      <c r="E2307" s="1893">
        <v>525000</v>
      </c>
    </row>
    <row r="2308" spans="1:5" ht="21" thickBot="1" x14ac:dyDescent="0.25">
      <c r="A2308" s="1861"/>
      <c r="B2308" s="2010"/>
      <c r="C2308" s="2008"/>
      <c r="D2308" s="2015"/>
      <c r="E2308" s="2007"/>
    </row>
    <row r="2309" spans="1:5" ht="21" thickBot="1" x14ac:dyDescent="0.25">
      <c r="A2309" s="2177"/>
      <c r="B2309" s="2105" t="s">
        <v>1369</v>
      </c>
      <c r="C2309" s="2062">
        <f>SUM(C2293,C2296,C2298,C2300,C2304,C2306)</f>
        <v>6965000</v>
      </c>
      <c r="D2309" s="2018">
        <f>SUM(D2293,D2296,D2298,D2300,D2304,D2306)</f>
        <v>2075000</v>
      </c>
      <c r="E2309" s="2018">
        <f>SUM(E2293,E2296,E2298,E2300,E2304,E2306)</f>
        <v>8965000</v>
      </c>
    </row>
    <row r="2310" spans="1:5" x14ac:dyDescent="0.2">
      <c r="A2310" s="3477"/>
      <c r="B2310" s="3477"/>
      <c r="C2310" s="3479"/>
      <c r="D2310" s="3479"/>
      <c r="E2310" s="3479"/>
    </row>
    <row r="2312" spans="1:5" x14ac:dyDescent="0.2">
      <c r="A2312" s="3477" t="s">
        <v>1856</v>
      </c>
      <c r="B2312" s="3477"/>
      <c r="C2312" s="3477"/>
      <c r="D2312" s="3477"/>
      <c r="E2312" s="3477"/>
    </row>
    <row r="2313" spans="1:5" x14ac:dyDescent="0.2">
      <c r="A2313" s="3477" t="s">
        <v>1050</v>
      </c>
      <c r="B2313" s="3477"/>
      <c r="C2313" s="3477"/>
      <c r="D2313" s="3477"/>
      <c r="E2313" s="3477"/>
    </row>
    <row r="2314" spans="1:5" ht="21" thickBot="1" x14ac:dyDescent="0.25">
      <c r="A2314" s="3476" t="s">
        <v>136</v>
      </c>
      <c r="B2314" s="3476"/>
      <c r="C2314" s="3476"/>
      <c r="D2314" s="3476"/>
      <c r="E2314" s="3476"/>
    </row>
    <row r="2315" spans="1:5" ht="81.75" thickBot="1" x14ac:dyDescent="0.25">
      <c r="A2315" s="2004" t="s">
        <v>1014</v>
      </c>
      <c r="B2315" s="2004" t="s">
        <v>282</v>
      </c>
      <c r="C2315" s="2509" t="s">
        <v>1174</v>
      </c>
      <c r="D2315" s="2509" t="s">
        <v>1145</v>
      </c>
      <c r="E2315" s="2509" t="s">
        <v>3096</v>
      </c>
    </row>
    <row r="2316" spans="1:5" ht="21" thickBot="1" x14ac:dyDescent="0.25">
      <c r="A2316" s="2055"/>
      <c r="B2316" s="2056"/>
      <c r="C2316" s="2023"/>
      <c r="D2316" s="2022"/>
      <c r="E2316" s="2023"/>
    </row>
    <row r="2317" spans="1:5" ht="21" thickBot="1" x14ac:dyDescent="0.25">
      <c r="A2317" s="1993">
        <v>22020100</v>
      </c>
      <c r="B2317" s="2010" t="s">
        <v>64</v>
      </c>
      <c r="C2317" s="2012">
        <f>SUM(C2318:C2319)</f>
        <v>1740000</v>
      </c>
      <c r="D2317" s="2012">
        <f>SUM(D2318:D2319)</f>
        <v>930000</v>
      </c>
      <c r="E2317" s="2012">
        <f>SUM(E2318:E2319)</f>
        <v>3000000</v>
      </c>
    </row>
    <row r="2318" spans="1:5" x14ac:dyDescent="0.2">
      <c r="A2318" s="1861">
        <v>22020101</v>
      </c>
      <c r="B2318" s="151" t="s">
        <v>9</v>
      </c>
      <c r="C2318" s="152">
        <v>1000000</v>
      </c>
      <c r="D2318" s="152">
        <v>530000</v>
      </c>
      <c r="E2318" s="152">
        <v>2000000</v>
      </c>
    </row>
    <row r="2319" spans="1:5" ht="21" thickBot="1" x14ac:dyDescent="0.25">
      <c r="A2319" s="1861">
        <v>22020102</v>
      </c>
      <c r="B2319" s="151" t="s">
        <v>10</v>
      </c>
      <c r="C2319" s="1892">
        <v>740000</v>
      </c>
      <c r="D2319" s="1892">
        <v>400000</v>
      </c>
      <c r="E2319" s="1892">
        <v>1000000</v>
      </c>
    </row>
    <row r="2320" spans="1:5" ht="21" thickBot="1" x14ac:dyDescent="0.25">
      <c r="A2320" s="1993">
        <v>22020200</v>
      </c>
      <c r="B2320" s="2010" t="s">
        <v>65</v>
      </c>
      <c r="C2320" s="2012">
        <f>SUM(C2321:C2321)</f>
        <v>210000</v>
      </c>
      <c r="D2320" s="2011">
        <f>SUM(D2321:D2321)</f>
        <v>0</v>
      </c>
      <c r="E2320" s="2012">
        <f>SUM(E2321:E2321)</f>
        <v>300000</v>
      </c>
    </row>
    <row r="2321" spans="1:5" ht="21" thickBot="1" x14ac:dyDescent="0.25">
      <c r="A2321" s="1861">
        <v>22020202</v>
      </c>
      <c r="B2321" s="151" t="s">
        <v>15</v>
      </c>
      <c r="C2321" s="152">
        <v>210000</v>
      </c>
      <c r="D2321" s="152"/>
      <c r="E2321" s="152">
        <v>300000</v>
      </c>
    </row>
    <row r="2322" spans="1:5" ht="21" thickBot="1" x14ac:dyDescent="0.25">
      <c r="A2322" s="1993">
        <v>22020300</v>
      </c>
      <c r="B2322" s="2010" t="s">
        <v>66</v>
      </c>
      <c r="C2322" s="2012">
        <f>SUM(C2323:C2324)</f>
        <v>1190000</v>
      </c>
      <c r="D2322" s="2011">
        <f>SUM(D2323:D2324)</f>
        <v>527000</v>
      </c>
      <c r="E2322" s="2012">
        <f>SUM(E2323:E2324)</f>
        <v>1700000</v>
      </c>
    </row>
    <row r="2323" spans="1:5" x14ac:dyDescent="0.2">
      <c r="A2323" s="1861">
        <v>22020301</v>
      </c>
      <c r="B2323" s="151" t="s">
        <v>17</v>
      </c>
      <c r="C2323" s="152">
        <v>700000</v>
      </c>
      <c r="D2323" s="152">
        <v>310000</v>
      </c>
      <c r="E2323" s="152">
        <v>1000000</v>
      </c>
    </row>
    <row r="2324" spans="1:5" ht="21" thickBot="1" x14ac:dyDescent="0.25">
      <c r="A2324" s="1861">
        <v>22020305</v>
      </c>
      <c r="B2324" s="151" t="s">
        <v>20</v>
      </c>
      <c r="C2324" s="1892">
        <v>490000</v>
      </c>
      <c r="D2324" s="1892">
        <v>217000</v>
      </c>
      <c r="E2324" s="1892">
        <v>700000</v>
      </c>
    </row>
    <row r="2325" spans="1:5" ht="21" thickBot="1" x14ac:dyDescent="0.25">
      <c r="A2325" s="1993">
        <v>22020400</v>
      </c>
      <c r="B2325" s="2010" t="s">
        <v>67</v>
      </c>
      <c r="C2325" s="2012">
        <f>SUM(C2326:C2327)</f>
        <v>2950000</v>
      </c>
      <c r="D2325" s="2011">
        <f>SUM(D2326:D2327)</f>
        <v>1475000</v>
      </c>
      <c r="E2325" s="2012">
        <f>SUM(E2326:E2327)</f>
        <v>3700000</v>
      </c>
    </row>
    <row r="2326" spans="1:5" x14ac:dyDescent="0.2">
      <c r="A2326" s="1861">
        <v>22020401</v>
      </c>
      <c r="B2326" s="151" t="s">
        <v>79</v>
      </c>
      <c r="C2326" s="152">
        <v>1750000</v>
      </c>
      <c r="D2326" s="152">
        <v>775000</v>
      </c>
      <c r="E2326" s="152">
        <v>2500000</v>
      </c>
    </row>
    <row r="2327" spans="1:5" ht="21" thickBot="1" x14ac:dyDescent="0.25">
      <c r="A2327" s="1861">
        <v>22020406</v>
      </c>
      <c r="B2327" s="151" t="s">
        <v>29</v>
      </c>
      <c r="C2327" s="1892">
        <v>1200000</v>
      </c>
      <c r="D2327" s="1892">
        <v>700000</v>
      </c>
      <c r="E2327" s="1892">
        <v>1200000</v>
      </c>
    </row>
    <row r="2328" spans="1:5" ht="21" thickBot="1" x14ac:dyDescent="0.25">
      <c r="A2328" s="1993">
        <v>22021000</v>
      </c>
      <c r="B2328" s="2010" t="s">
        <v>73</v>
      </c>
      <c r="C2328" s="2062">
        <f>SUM(C2329:C2329)</f>
        <v>210000</v>
      </c>
      <c r="D2328" s="2018">
        <f>SUM(D2329:D2329)</f>
        <v>93000</v>
      </c>
      <c r="E2328" s="2018">
        <f>SUM(E2329:E2329)</f>
        <v>300000</v>
      </c>
    </row>
    <row r="2329" spans="1:5" s="1997" customFormat="1" x14ac:dyDescent="0.2">
      <c r="A2329" s="1861">
        <v>22021001</v>
      </c>
      <c r="B2329" s="151" t="s">
        <v>41</v>
      </c>
      <c r="C2329" s="2075">
        <v>210000</v>
      </c>
      <c r="D2329" s="152">
        <v>93000</v>
      </c>
      <c r="E2329" s="152">
        <v>300000</v>
      </c>
    </row>
    <row r="2330" spans="1:5" ht="21" thickBot="1" x14ac:dyDescent="0.25">
      <c r="A2330" s="1861"/>
      <c r="B2330" s="2010"/>
      <c r="C2330" s="3234"/>
      <c r="D2330" s="3133"/>
      <c r="E2330" s="3133"/>
    </row>
    <row r="2331" spans="1:5" ht="21" thickBot="1" x14ac:dyDescent="0.25">
      <c r="A2331" s="2104"/>
      <c r="B2331" s="2105" t="s">
        <v>1368</v>
      </c>
      <c r="C2331" s="2062">
        <f>SUM(C2317,C2320,C2322,C2325,C2328)</f>
        <v>6300000</v>
      </c>
      <c r="D2331" s="2018">
        <f>SUM(D2317,D2320,D2322,D2325,D2328)</f>
        <v>3025000</v>
      </c>
      <c r="E2331" s="2018">
        <f>SUM(E2317,E2320,E2322,E2325,E2328)</f>
        <v>9000000</v>
      </c>
    </row>
  </sheetData>
  <sheetProtection selectLockedCells="1"/>
  <mergeCells count="279">
    <mergeCell ref="A922:E922"/>
    <mergeCell ref="A1812:E1812"/>
    <mergeCell ref="A1446:E1446"/>
    <mergeCell ref="A1447:E1447"/>
    <mergeCell ref="A1209:E1209"/>
    <mergeCell ref="A1210:E1210"/>
    <mergeCell ref="A1211:E1211"/>
    <mergeCell ref="A1234:E1234"/>
    <mergeCell ref="A1644:E1644"/>
    <mergeCell ref="A1777:E1777"/>
    <mergeCell ref="A1778:E1778"/>
    <mergeCell ref="A1645:E1645"/>
    <mergeCell ref="A1411:E1411"/>
    <mergeCell ref="A1529:E1529"/>
    <mergeCell ref="A1530:E1530"/>
    <mergeCell ref="A1473:E1473"/>
    <mergeCell ref="A1475:E1475"/>
    <mergeCell ref="A1237:E1237"/>
    <mergeCell ref="A1271:E1271"/>
    <mergeCell ref="A1643:E1643"/>
    <mergeCell ref="A1550:E1550"/>
    <mergeCell ref="A1623:E1623"/>
    <mergeCell ref="A1412:E1412"/>
    <mergeCell ref="A1384:E1384"/>
    <mergeCell ref="A159:E159"/>
    <mergeCell ref="A160:E160"/>
    <mergeCell ref="A161:E161"/>
    <mergeCell ref="A1163:E1163"/>
    <mergeCell ref="A1119:E1119"/>
    <mergeCell ref="A1165:E1165"/>
    <mergeCell ref="A1236:E1236"/>
    <mergeCell ref="A1185:E1185"/>
    <mergeCell ref="A1186:E1186"/>
    <mergeCell ref="A1187:E1187"/>
    <mergeCell ref="A793:E793"/>
    <mergeCell ref="A794:E794"/>
    <mergeCell ref="A869:E869"/>
    <mergeCell ref="A870:E870"/>
    <mergeCell ref="A871:E871"/>
    <mergeCell ref="A934:E934"/>
    <mergeCell ref="A795:E795"/>
    <mergeCell ref="A1036:E1036"/>
    <mergeCell ref="A1037:E1037"/>
    <mergeCell ref="A935:E935"/>
    <mergeCell ref="A909:E909"/>
    <mergeCell ref="A910:E910"/>
    <mergeCell ref="A921:E921"/>
    <mergeCell ref="A816:E816"/>
    <mergeCell ref="A817:E817"/>
    <mergeCell ref="A984:E984"/>
    <mergeCell ref="A1016:E1016"/>
    <mergeCell ref="A1577:E1577"/>
    <mergeCell ref="A1621:E1621"/>
    <mergeCell ref="A1622:E1622"/>
    <mergeCell ref="A1358:E1358"/>
    <mergeCell ref="A1359:E1359"/>
    <mergeCell ref="A1338:E1338"/>
    <mergeCell ref="A1339:E1339"/>
    <mergeCell ref="A1272:E1272"/>
    <mergeCell ref="A1273:E1273"/>
    <mergeCell ref="A1357:E1357"/>
    <mergeCell ref="A1294:E1294"/>
    <mergeCell ref="A1495:E1495"/>
    <mergeCell ref="A1496:E1496"/>
    <mergeCell ref="A1319:E1319"/>
    <mergeCell ref="A1337:E1337"/>
    <mergeCell ref="A1551:E1551"/>
    <mergeCell ref="A1552:E1552"/>
    <mergeCell ref="A1574:E1574"/>
    <mergeCell ref="A1575:E1575"/>
    <mergeCell ref="A1576:E1576"/>
    <mergeCell ref="A1318:E1318"/>
    <mergeCell ref="A1017:E1017"/>
    <mergeCell ref="A1117:E1117"/>
    <mergeCell ref="A1164:E1164"/>
    <mergeCell ref="A965:E965"/>
    <mergeCell ref="A1064:E1064"/>
    <mergeCell ref="A1035:E1035"/>
    <mergeCell ref="A983:E983"/>
    <mergeCell ref="A1317:E1317"/>
    <mergeCell ref="A1295:E1295"/>
    <mergeCell ref="A1296:E1296"/>
    <mergeCell ref="A1297:E1297"/>
    <mergeCell ref="A1262:E1262"/>
    <mergeCell ref="A1002:E1002"/>
    <mergeCell ref="A1018:E1018"/>
    <mergeCell ref="A1235:E1235"/>
    <mergeCell ref="A1261:E1261"/>
    <mergeCell ref="A1118:E1118"/>
    <mergeCell ref="A1531:E1531"/>
    <mergeCell ref="A1258:E1258"/>
    <mergeCell ref="A1497:E1497"/>
    <mergeCell ref="A271:E271"/>
    <mergeCell ref="A183:E183"/>
    <mergeCell ref="A184:E184"/>
    <mergeCell ref="A251:E251"/>
    <mergeCell ref="A252:E252"/>
    <mergeCell ref="A380:E380"/>
    <mergeCell ref="A381:E381"/>
    <mergeCell ref="A404:E404"/>
    <mergeCell ref="A379:E379"/>
    <mergeCell ref="A204:E204"/>
    <mergeCell ref="A205:E205"/>
    <mergeCell ref="A206:E206"/>
    <mergeCell ref="A225:E225"/>
    <mergeCell ref="A226:E226"/>
    <mergeCell ref="A227:E227"/>
    <mergeCell ref="A364:E364"/>
    <mergeCell ref="A272:E272"/>
    <mergeCell ref="A273:E273"/>
    <mergeCell ref="A294:E294"/>
    <mergeCell ref="A295:E295"/>
    <mergeCell ref="A296:E296"/>
    <mergeCell ref="A297:E297"/>
    <mergeCell ref="A363:E363"/>
    <mergeCell ref="A485:E485"/>
    <mergeCell ref="A441:E441"/>
    <mergeCell ref="A442:E442"/>
    <mergeCell ref="A443:E443"/>
    <mergeCell ref="A405:E405"/>
    <mergeCell ref="A406:E406"/>
    <mergeCell ref="A407:E407"/>
    <mergeCell ref="A420:E420"/>
    <mergeCell ref="A421:E421"/>
    <mergeCell ref="A328:B328"/>
    <mergeCell ref="A422:E422"/>
    <mergeCell ref="A463:E463"/>
    <mergeCell ref="A464:E464"/>
    <mergeCell ref="A465:E465"/>
    <mergeCell ref="A1:E1"/>
    <mergeCell ref="A2:E2"/>
    <mergeCell ref="A3:E3"/>
    <mergeCell ref="A29:E29"/>
    <mergeCell ref="A30:E30"/>
    <mergeCell ref="A100:E100"/>
    <mergeCell ref="A101:E101"/>
    <mergeCell ref="A127:E127"/>
    <mergeCell ref="A32:E32"/>
    <mergeCell ref="A53:E53"/>
    <mergeCell ref="A76:E76"/>
    <mergeCell ref="A78:E78"/>
    <mergeCell ref="A54:E54"/>
    <mergeCell ref="A55:E55"/>
    <mergeCell ref="A56:E56"/>
    <mergeCell ref="A102:E102"/>
    <mergeCell ref="A104:E104"/>
    <mergeCell ref="A182:E182"/>
    <mergeCell ref="A31:E31"/>
    <mergeCell ref="A77:E77"/>
    <mergeCell ref="A103:E103"/>
    <mergeCell ref="A125:E125"/>
    <mergeCell ref="A126:E126"/>
    <mergeCell ref="A2222:E2222"/>
    <mergeCell ref="A1830:E1830"/>
    <mergeCell ref="A1831:E1831"/>
    <mergeCell ref="A1919:E1919"/>
    <mergeCell ref="A1598:E1598"/>
    <mergeCell ref="A1599:E1599"/>
    <mergeCell ref="A1600:E1600"/>
    <mergeCell ref="A1979:E1979"/>
    <mergeCell ref="A1980:E1980"/>
    <mergeCell ref="A1858:E1858"/>
    <mergeCell ref="A1859:E1859"/>
    <mergeCell ref="A2157:E2157"/>
    <mergeCell ref="A2005:E2005"/>
    <mergeCell ref="A2029:E2029"/>
    <mergeCell ref="A2030:E2030"/>
    <mergeCell ref="A2031:E2031"/>
    <mergeCell ref="A2044:E2044"/>
    <mergeCell ref="A2045:E2045"/>
    <mergeCell ref="A1776:E1776"/>
    <mergeCell ref="A626:E626"/>
    <mergeCell ref="A849:E849"/>
    <mergeCell ref="A1087:E1087"/>
    <mergeCell ref="A1088:E1088"/>
    <mergeCell ref="A1001:E1001"/>
    <mergeCell ref="A2156:E2156"/>
    <mergeCell ref="A1941:E1941"/>
    <mergeCell ref="A1942:E1942"/>
    <mergeCell ref="A1958:E1958"/>
    <mergeCell ref="A1959:E1959"/>
    <mergeCell ref="A1857:E1857"/>
    <mergeCell ref="A2070:E2070"/>
    <mergeCell ref="A1887:E1887"/>
    <mergeCell ref="A1888:E1888"/>
    <mergeCell ref="A1920:E1920"/>
    <mergeCell ref="A2096:E2096"/>
    <mergeCell ref="A2097:E2097"/>
    <mergeCell ref="A1063:E1063"/>
    <mergeCell ref="A936:E936"/>
    <mergeCell ref="A963:E963"/>
    <mergeCell ref="A964:E964"/>
    <mergeCell ref="A1382:E1382"/>
    <mergeCell ref="A1260:E1260"/>
    <mergeCell ref="A2003:E2003"/>
    <mergeCell ref="A2004:E2004"/>
    <mergeCell ref="A1813:E1813"/>
    <mergeCell ref="A1383:E1383"/>
    <mergeCell ref="A1624:E1624"/>
    <mergeCell ref="A1474:E1474"/>
    <mergeCell ref="A627:E627"/>
    <mergeCell ref="A628:E628"/>
    <mergeCell ref="A629:E629"/>
    <mergeCell ref="A650:E650"/>
    <mergeCell ref="A651:E651"/>
    <mergeCell ref="A767:E767"/>
    <mergeCell ref="A768:E768"/>
    <mergeCell ref="A742:E742"/>
    <mergeCell ref="A717:E717"/>
    <mergeCell ref="A718:E718"/>
    <mergeCell ref="A652:E652"/>
    <mergeCell ref="A675:E675"/>
    <mergeCell ref="A695:E695"/>
    <mergeCell ref="A696:E696"/>
    <mergeCell ref="A741:E741"/>
    <mergeCell ref="A672:E672"/>
    <mergeCell ref="A847:E847"/>
    <mergeCell ref="A848:E848"/>
    <mergeCell ref="A1682:E1682"/>
    <mergeCell ref="A1683:E1683"/>
    <mergeCell ref="A1684:E1684"/>
    <mergeCell ref="A2224:E2224"/>
    <mergeCell ref="A2225:E2225"/>
    <mergeCell ref="A2226:E2226"/>
    <mergeCell ref="A2195:E2195"/>
    <mergeCell ref="A1726:E1726"/>
    <mergeCell ref="A1727:E1727"/>
    <mergeCell ref="A1705:E1705"/>
    <mergeCell ref="A1706:E1706"/>
    <mergeCell ref="A1748:E1748"/>
    <mergeCell ref="A1749:E1749"/>
    <mergeCell ref="A2126:E2126"/>
    <mergeCell ref="A2127:E2127"/>
    <mergeCell ref="A2194:E2194"/>
    <mergeCell ref="A1978:E1978"/>
    <mergeCell ref="A1977:E1977"/>
    <mergeCell ref="A1921:E1921"/>
    <mergeCell ref="A1814:E1814"/>
    <mergeCell ref="A1815:E1815"/>
    <mergeCell ref="A2046:E2046"/>
    <mergeCell ref="A2068:E2068"/>
    <mergeCell ref="A2069:E2069"/>
    <mergeCell ref="A2314:E2314"/>
    <mergeCell ref="A2288:E2288"/>
    <mergeCell ref="A2289:E2289"/>
    <mergeCell ref="A2290:E2290"/>
    <mergeCell ref="A2246:E2246"/>
    <mergeCell ref="A2268:E2268"/>
    <mergeCell ref="A2269:E2269"/>
    <mergeCell ref="A2270:E2270"/>
    <mergeCell ref="A2287:E2287"/>
    <mergeCell ref="A2312:E2312"/>
    <mergeCell ref="A2247:E2247"/>
    <mergeCell ref="A2248:E2248"/>
    <mergeCell ref="A2249:E2249"/>
    <mergeCell ref="A2310:E2310"/>
    <mergeCell ref="A2313:E2313"/>
    <mergeCell ref="A769:E769"/>
    <mergeCell ref="A486:E486"/>
    <mergeCell ref="A525:E525"/>
    <mergeCell ref="A526:E526"/>
    <mergeCell ref="A527:E527"/>
    <mergeCell ref="A598:E598"/>
    <mergeCell ref="A600:E600"/>
    <mergeCell ref="A577:E577"/>
    <mergeCell ref="A599:E599"/>
    <mergeCell ref="A575:E575"/>
    <mergeCell ref="A504:E504"/>
    <mergeCell ref="A506:E506"/>
    <mergeCell ref="A505:E505"/>
    <mergeCell ref="A576:E576"/>
    <mergeCell ref="A552:E552"/>
    <mergeCell ref="A578:E578"/>
    <mergeCell ref="A550:E550"/>
    <mergeCell ref="A551:E551"/>
    <mergeCell ref="A673:E673"/>
    <mergeCell ref="A692:E692"/>
    <mergeCell ref="A674:E674"/>
    <mergeCell ref="A697:E697"/>
  </mergeCells>
  <printOptions horizontalCentered="1" verticalCentered="1"/>
  <pageMargins left="0.71428571428571397" right="0.30454545454545501" top="0.74803149606299202" bottom="0.74803149606299202" header="0.31496062992126" footer="0.31496062992126"/>
  <pageSetup paperSize="9" scale="70" firstPageNumber="137" fitToHeight="0" orientation="landscape" useFirstPageNumber="1" r:id="rId1"/>
  <headerFooter>
    <oddHeader>&amp;L&amp;G&amp;R&amp;11&amp;K05+000KATSINA STATE GOVERNMENT 2021 APPROVED APPROPRIATION LAW</oddHeader>
    <oddFooter>&amp;L&amp;11&amp;K05+000KATSINA STATE GOVERNMENT 2021 APPROVED APPROPRIATION LAW&amp;C&amp;16&amp;P&amp;R&amp;G</oddFooter>
  </headerFooter>
  <rowBreaks count="93" manualBreakCount="93">
    <brk id="28" max="16383" man="1"/>
    <brk id="52" max="4" man="1"/>
    <brk id="75" max="16383" man="1"/>
    <brk id="99" max="4" man="1"/>
    <brk id="124" max="16383" man="1"/>
    <brk id="157" max="4" man="1"/>
    <brk id="180" max="4" man="1"/>
    <brk id="203" max="16383" man="1"/>
    <brk id="223" max="4" man="1"/>
    <brk id="249" max="4" man="1"/>
    <brk id="270" max="4" man="1"/>
    <brk id="294" max="4" man="1"/>
    <brk id="327" max="4" man="1"/>
    <brk id="362" max="4" man="1"/>
    <brk id="378" max="16383" man="1"/>
    <brk id="403" max="4" man="1"/>
    <brk id="419" max="16383" man="1"/>
    <brk id="440" max="16383" man="1"/>
    <brk id="462" max="16383" man="1"/>
    <brk id="484" max="16383" man="1"/>
    <brk id="503" max="16383" man="1"/>
    <brk id="524" max="4" man="1"/>
    <brk id="549" max="4" man="1"/>
    <brk id="574" max="4" man="1"/>
    <brk id="597" max="4" man="1"/>
    <brk id="626" max="16383" man="1"/>
    <brk id="649" max="4" man="1"/>
    <brk id="672" max="16383" man="1"/>
    <brk id="694" max="16383" man="1"/>
    <brk id="715" max="16383" man="1"/>
    <brk id="740" max="4" man="1"/>
    <brk id="766" max="16383" man="1"/>
    <brk id="792" max="4" man="1"/>
    <brk id="815" max="16383" man="1"/>
    <brk id="845" max="4" man="1"/>
    <brk id="868" max="4" man="1"/>
    <brk id="907" max="4" man="1"/>
    <brk id="932" max="4" man="1"/>
    <brk id="962" max="4" man="1"/>
    <brk id="981" max="16383" man="1"/>
    <brk id="999" max="16383" man="1"/>
    <brk id="1015" max="16383" man="1"/>
    <brk id="1034" max="4" man="1"/>
    <brk id="1060" max="4" man="1"/>
    <brk id="1086" max="4" man="1"/>
    <brk id="1116" max="16383" man="1"/>
    <brk id="1160" max="16383" man="1"/>
    <brk id="1184" max="16383" man="1"/>
    <brk id="1208" max="16383" man="1"/>
    <brk id="1234" max="4" man="1"/>
    <brk id="1257" max="4" man="1"/>
    <brk id="1270" max="4" man="1"/>
    <brk id="1293" max="4" man="1"/>
    <brk id="1316" max="4" man="1"/>
    <brk id="1337" max="16383" man="1"/>
    <brk id="1355" max="4" man="1"/>
    <brk id="1381" max="4" man="1"/>
    <brk id="1410" max="16383" man="1"/>
    <brk id="1445" max="16383" man="1"/>
    <brk id="1472" max="4" man="1"/>
    <brk id="1494" max="4" man="1"/>
    <brk id="1527" max="4" man="1"/>
    <brk id="1549" max="16383" man="1"/>
    <brk id="1573" max="16383" man="1"/>
    <brk id="1596" max="16383" man="1"/>
    <brk id="1621" max="16383" man="1"/>
    <brk id="1642" max="16383" man="1"/>
    <brk id="1681" max="16383" man="1"/>
    <brk id="1704" max="16383" man="1"/>
    <brk id="1725" max="16383" man="1"/>
    <brk id="1747" max="16383" man="1"/>
    <brk id="1775" max="4" man="1"/>
    <brk id="1811" max="4" man="1"/>
    <brk id="1829" max="16383" man="1"/>
    <brk id="1856" max="16383" man="1"/>
    <brk id="1886" max="4" man="1"/>
    <brk id="1918" max="4" man="1"/>
    <brk id="1940" max="16383" man="1"/>
    <brk id="1957" max="16383" man="1"/>
    <brk id="1977" max="16383" man="1"/>
    <brk id="1999" max="4" man="1"/>
    <brk id="2026" max="4" man="1"/>
    <brk id="2042" max="4" man="1"/>
    <brk id="2067" max="16383" man="1"/>
    <brk id="2094" max="4" man="1"/>
    <brk id="2125" max="16383" man="1"/>
    <brk id="2155" max="4" man="1"/>
    <brk id="2191" max="4" man="1"/>
    <brk id="2222" max="4" man="1"/>
    <brk id="2246" max="16383" man="1"/>
    <brk id="2266" max="16383" man="1"/>
    <brk id="2287" max="16383" man="1"/>
    <brk id="2311" max="16383" man="1"/>
  </rowBreaks>
  <ignoredErrors>
    <ignoredError sqref="D889" formula="1"/>
    <ignoredError sqref="C523" unlockedFormula="1"/>
  </ignoredErrors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view="pageLayout" topLeftCell="A28" zoomScale="40" zoomScaleNormal="40" zoomScaleSheetLayoutView="90" zoomScalePageLayoutView="40" workbookViewId="0">
      <selection activeCell="F43" sqref="F42:F43"/>
    </sheetView>
  </sheetViews>
  <sheetFormatPr defaultRowHeight="21.95" customHeight="1" x14ac:dyDescent="0.35"/>
  <cols>
    <col min="1" max="1" width="16.140625" style="72" customWidth="1"/>
    <col min="2" max="2" width="114.42578125" style="60" customWidth="1"/>
    <col min="3" max="3" width="39.28515625" style="126" customWidth="1"/>
    <col min="4" max="4" width="32" style="117" customWidth="1"/>
    <col min="5" max="5" width="35.5703125" style="126" customWidth="1"/>
    <col min="6" max="6" width="36.140625" style="126" customWidth="1"/>
    <col min="7" max="7" width="35.7109375" style="126" customWidth="1"/>
    <col min="8" max="8" width="35.85546875" style="60" customWidth="1"/>
    <col min="9" max="16384" width="9.140625" style="60"/>
  </cols>
  <sheetData>
    <row r="1" spans="1:9" ht="23.25" x14ac:dyDescent="0.35"/>
    <row r="2" spans="1:9" ht="33" x14ac:dyDescent="0.45">
      <c r="A2" s="3503" t="s">
        <v>128</v>
      </c>
      <c r="B2" s="3503"/>
      <c r="C2" s="3503"/>
      <c r="D2" s="3503"/>
      <c r="E2" s="3503"/>
      <c r="F2" s="3503"/>
      <c r="G2" s="3503"/>
      <c r="H2" s="3503"/>
      <c r="I2" s="59"/>
    </row>
    <row r="3" spans="1:9" ht="33" x14ac:dyDescent="0.45">
      <c r="A3" s="3504" t="s">
        <v>2875</v>
      </c>
      <c r="B3" s="3504"/>
      <c r="C3" s="3504"/>
      <c r="D3" s="3504"/>
      <c r="E3" s="3505"/>
      <c r="F3" s="3505"/>
      <c r="G3" s="3505"/>
      <c r="H3" s="3505"/>
      <c r="I3" s="61"/>
    </row>
    <row r="4" spans="1:9" s="644" customFormat="1" ht="49.5" customHeight="1" x14ac:dyDescent="0.2">
      <c r="A4" s="3506" t="s">
        <v>82</v>
      </c>
      <c r="B4" s="3506" t="s">
        <v>74</v>
      </c>
      <c r="C4" s="62" t="s">
        <v>1312</v>
      </c>
      <c r="D4" s="63" t="s">
        <v>1313</v>
      </c>
      <c r="E4" s="640" t="s">
        <v>3097</v>
      </c>
      <c r="F4" s="641" t="s">
        <v>615</v>
      </c>
      <c r="G4" s="642" t="s">
        <v>1314</v>
      </c>
      <c r="H4" s="643" t="s">
        <v>1031</v>
      </c>
    </row>
    <row r="5" spans="1:9" s="64" customFormat="1" ht="21.75" customHeight="1" x14ac:dyDescent="0.3">
      <c r="A5" s="3507"/>
      <c r="B5" s="3507"/>
      <c r="C5" s="65" t="s">
        <v>49</v>
      </c>
      <c r="D5" s="66" t="s">
        <v>49</v>
      </c>
      <c r="E5" s="118" t="s">
        <v>49</v>
      </c>
      <c r="F5" s="119" t="s">
        <v>49</v>
      </c>
      <c r="G5" s="120" t="s">
        <v>49</v>
      </c>
      <c r="H5" s="67" t="s">
        <v>49</v>
      </c>
    </row>
    <row r="6" spans="1:9" s="64" customFormat="1" ht="30" x14ac:dyDescent="0.4">
      <c r="A6" s="68" t="s">
        <v>83</v>
      </c>
      <c r="B6" s="69" t="s">
        <v>641</v>
      </c>
      <c r="C6" s="83"/>
      <c r="D6" s="84"/>
      <c r="E6" s="121"/>
      <c r="F6" s="122"/>
      <c r="G6" s="122"/>
      <c r="H6" s="85"/>
    </row>
    <row r="7" spans="1:9" ht="30.75" x14ac:dyDescent="0.45">
      <c r="A7" s="70"/>
      <c r="B7" s="92" t="s">
        <v>84</v>
      </c>
      <c r="C7" s="123">
        <v>3427356825</v>
      </c>
      <c r="D7" s="86">
        <v>0</v>
      </c>
      <c r="E7" s="116">
        <f>'6 SUMMARY OF DETAILS EXP'!C37</f>
        <v>3817024406.9400005</v>
      </c>
      <c r="F7" s="154">
        <f>E7*10%+E7</f>
        <v>4198726847.6340008</v>
      </c>
      <c r="G7" s="155">
        <f>F7*10%+F7</f>
        <v>4618599532.3974009</v>
      </c>
      <c r="H7" s="155">
        <f>SUM(E7:G7)</f>
        <v>12634350786.971401</v>
      </c>
    </row>
    <row r="8" spans="1:9" ht="30.75" x14ac:dyDescent="0.45">
      <c r="A8" s="70"/>
      <c r="B8" s="92" t="s">
        <v>85</v>
      </c>
      <c r="C8" s="123">
        <v>8388808497</v>
      </c>
      <c r="D8" s="87">
        <v>0</v>
      </c>
      <c r="E8" s="156">
        <f>'6 SUMMARY OF DETAILS EXP'!E37</f>
        <v>9213892385</v>
      </c>
      <c r="F8" s="154">
        <f t="shared" ref="F8:G10" si="0">E8*10%+E8</f>
        <v>10135281623.5</v>
      </c>
      <c r="G8" s="155">
        <f t="shared" si="0"/>
        <v>11148809785.85</v>
      </c>
      <c r="H8" s="155">
        <f>SUM(E8:G8)</f>
        <v>30497983794.349998</v>
      </c>
    </row>
    <row r="9" spans="1:9" ht="30.75" x14ac:dyDescent="0.45">
      <c r="A9" s="70"/>
      <c r="B9" s="92" t="s">
        <v>241</v>
      </c>
      <c r="C9" s="157">
        <v>11754051720</v>
      </c>
      <c r="D9" s="88">
        <v>0</v>
      </c>
      <c r="E9" s="155">
        <f>'6 SUMMARY OF DETAILS EXP'!D37</f>
        <v>12501344241</v>
      </c>
      <c r="F9" s="154">
        <f>E9*10%+E9</f>
        <v>13751478665.1</v>
      </c>
      <c r="G9" s="155">
        <f t="shared" si="0"/>
        <v>15126626531.610001</v>
      </c>
      <c r="H9" s="155">
        <f>SUM(E9:G9)</f>
        <v>41379449437.709999</v>
      </c>
    </row>
    <row r="10" spans="1:9" ht="35.25" x14ac:dyDescent="0.75">
      <c r="A10" s="70"/>
      <c r="B10" s="92" t="s">
        <v>86</v>
      </c>
      <c r="C10" s="127">
        <f>SUM(C5,C9)</f>
        <v>11754051720</v>
      </c>
      <c r="D10" s="89">
        <v>0</v>
      </c>
      <c r="E10" s="158">
        <f>'6 SUMMARY OF DETAILS EXP'!G37</f>
        <v>14450679055</v>
      </c>
      <c r="F10" s="161">
        <f t="shared" si="0"/>
        <v>15895746960.5</v>
      </c>
      <c r="G10" s="158">
        <f t="shared" si="0"/>
        <v>17485321656.549999</v>
      </c>
      <c r="H10" s="158">
        <f>SUM(E10:G10)</f>
        <v>47831747672.050003</v>
      </c>
    </row>
    <row r="11" spans="1:9" s="72" customFormat="1" ht="30" x14ac:dyDescent="0.4">
      <c r="A11" s="71"/>
      <c r="B11" s="646" t="s">
        <v>2872</v>
      </c>
      <c r="C11" s="631">
        <f>SUM(C7:C10)</f>
        <v>35324268762</v>
      </c>
      <c r="D11" s="632">
        <f t="shared" ref="D11:H11" si="1">SUM(D7:D10)</f>
        <v>0</v>
      </c>
      <c r="E11" s="633">
        <f t="shared" si="1"/>
        <v>39982940087.940002</v>
      </c>
      <c r="F11" s="633">
        <f t="shared" si="1"/>
        <v>43981234096.734001</v>
      </c>
      <c r="G11" s="633">
        <f t="shared" si="1"/>
        <v>48379357506.407402</v>
      </c>
      <c r="H11" s="634">
        <f t="shared" si="1"/>
        <v>132343531691.08141</v>
      </c>
    </row>
    <row r="12" spans="1:9" ht="30.75" x14ac:dyDescent="0.45">
      <c r="A12" s="73" t="s">
        <v>87</v>
      </c>
      <c r="B12" s="74" t="s">
        <v>80</v>
      </c>
      <c r="C12" s="123"/>
      <c r="D12" s="88"/>
      <c r="E12" s="155"/>
      <c r="F12" s="155"/>
      <c r="G12" s="155"/>
      <c r="H12" s="160"/>
    </row>
    <row r="13" spans="1:9" ht="30.75" x14ac:dyDescent="0.45">
      <c r="A13" s="70"/>
      <c r="B13" s="92" t="s">
        <v>84</v>
      </c>
      <c r="C13" s="123">
        <v>3518183290</v>
      </c>
      <c r="D13" s="88">
        <v>0</v>
      </c>
      <c r="E13" s="155">
        <f>'6 SUMMARY OF DETAILS EXP'!C69</f>
        <v>2312849697.9400001</v>
      </c>
      <c r="F13" s="154">
        <f t="shared" ref="F13:G16" si="2">E13*10%+E13</f>
        <v>2544134667.7340002</v>
      </c>
      <c r="G13" s="155">
        <f t="shared" si="2"/>
        <v>2798548134.5074</v>
      </c>
      <c r="H13" s="155">
        <f>SUM(E13:G13)</f>
        <v>7655532500.1814003</v>
      </c>
    </row>
    <row r="14" spans="1:9" ht="30.75" x14ac:dyDescent="0.45">
      <c r="A14" s="70"/>
      <c r="B14" s="92" t="s">
        <v>85</v>
      </c>
      <c r="C14" s="123">
        <v>17349202368</v>
      </c>
      <c r="D14" s="88">
        <v>0</v>
      </c>
      <c r="E14" s="155">
        <f>'6 SUMMARY OF DETAILS EXP'!E69</f>
        <v>27380337432</v>
      </c>
      <c r="F14" s="154">
        <f t="shared" si="2"/>
        <v>30118371175.200001</v>
      </c>
      <c r="G14" s="155">
        <f>F14*10%+F14</f>
        <v>33130208292.720001</v>
      </c>
      <c r="H14" s="155">
        <f>SUM(E14:G14)</f>
        <v>90628916899.919998</v>
      </c>
    </row>
    <row r="15" spans="1:9" ht="30.75" x14ac:dyDescent="0.45">
      <c r="A15" s="70"/>
      <c r="B15" s="92" t="s">
        <v>241</v>
      </c>
      <c r="C15" s="123">
        <v>954606257</v>
      </c>
      <c r="D15" s="88">
        <v>0</v>
      </c>
      <c r="E15" s="155">
        <f>'6 SUMMARY OF DETAILS EXP'!D69</f>
        <v>145154730</v>
      </c>
      <c r="F15" s="154">
        <f t="shared" si="2"/>
        <v>159670203</v>
      </c>
      <c r="G15" s="155">
        <f>F15*10%+F15</f>
        <v>175637223.30000001</v>
      </c>
      <c r="H15" s="155">
        <f>SUM(E15:G15)</f>
        <v>480462156.30000001</v>
      </c>
    </row>
    <row r="16" spans="1:9" ht="35.25" x14ac:dyDescent="0.75">
      <c r="A16" s="70"/>
      <c r="B16" s="92" t="s">
        <v>86</v>
      </c>
      <c r="C16" s="666">
        <v>42744348292</v>
      </c>
      <c r="D16" s="89">
        <v>0</v>
      </c>
      <c r="E16" s="158">
        <f>'6 SUMMARY OF DETAILS EXP'!G69</f>
        <v>105593874038</v>
      </c>
      <c r="F16" s="161">
        <f t="shared" si="2"/>
        <v>116153261441.8</v>
      </c>
      <c r="G16" s="158">
        <f>F16*10%+F16</f>
        <v>127768587585.98001</v>
      </c>
      <c r="H16" s="158">
        <f>SUM(E16:G16)</f>
        <v>349515723065.78003</v>
      </c>
    </row>
    <row r="17" spans="1:8" s="72" customFormat="1" ht="30" x14ac:dyDescent="0.4">
      <c r="A17" s="75"/>
      <c r="B17" s="647" t="s">
        <v>89</v>
      </c>
      <c r="C17" s="633">
        <f>SUM(C13:C16)</f>
        <v>64566340207</v>
      </c>
      <c r="D17" s="635">
        <v>0</v>
      </c>
      <c r="E17" s="633">
        <f>SUM(E13:E16)</f>
        <v>135432215897.94</v>
      </c>
      <c r="F17" s="633">
        <f>SUM(F13:F16)</f>
        <v>148975437487.73401</v>
      </c>
      <c r="G17" s="633">
        <f>SUM(G13:G16)</f>
        <v>163872981236.50742</v>
      </c>
      <c r="H17" s="636">
        <f>SUM(H13:H16)</f>
        <v>448280634622.1814</v>
      </c>
    </row>
    <row r="18" spans="1:8" ht="30.75" x14ac:dyDescent="0.45">
      <c r="A18" s="73" t="s">
        <v>125</v>
      </c>
      <c r="B18" s="648" t="s">
        <v>147</v>
      </c>
      <c r="C18" s="123"/>
      <c r="D18" s="88"/>
      <c r="E18" s="155"/>
      <c r="F18" s="155"/>
      <c r="G18" s="155"/>
      <c r="H18" s="160"/>
    </row>
    <row r="19" spans="1:8" ht="30.75" x14ac:dyDescent="0.45">
      <c r="A19" s="70"/>
      <c r="B19" s="92" t="s">
        <v>84</v>
      </c>
      <c r="C19" s="123">
        <v>1732545995</v>
      </c>
      <c r="D19" s="88">
        <v>0</v>
      </c>
      <c r="E19" s="155">
        <f>'6 SUMMARY OF DETAILS EXP'!C77</f>
        <v>1473601291.017</v>
      </c>
      <c r="F19" s="154">
        <f t="shared" ref="F19:G22" si="3">E19*10%+E19</f>
        <v>1620961420.1187</v>
      </c>
      <c r="G19" s="155">
        <f t="shared" si="3"/>
        <v>1783057562.1305699</v>
      </c>
      <c r="H19" s="155">
        <f>SUM(E19:G19)</f>
        <v>4877620273.2662697</v>
      </c>
    </row>
    <row r="20" spans="1:8" ht="30.75" x14ac:dyDescent="0.45">
      <c r="A20" s="70"/>
      <c r="B20" s="92" t="s">
        <v>85</v>
      </c>
      <c r="C20" s="123">
        <v>1886878435</v>
      </c>
      <c r="D20" s="88">
        <v>0</v>
      </c>
      <c r="E20" s="155">
        <f>'6 SUMMARY OF DETAILS EXP'!E77</f>
        <v>1795678138</v>
      </c>
      <c r="F20" s="154">
        <f t="shared" si="3"/>
        <v>1975245951.8</v>
      </c>
      <c r="G20" s="155">
        <f t="shared" si="3"/>
        <v>2172770546.98</v>
      </c>
      <c r="H20" s="155">
        <f>SUM(E20:G20)</f>
        <v>5943694636.7800007</v>
      </c>
    </row>
    <row r="21" spans="1:8" ht="30.75" x14ac:dyDescent="0.45">
      <c r="A21" s="70"/>
      <c r="B21" s="92" t="s">
        <v>241</v>
      </c>
      <c r="C21" s="123">
        <v>82848110</v>
      </c>
      <c r="D21" s="88">
        <v>0</v>
      </c>
      <c r="E21" s="155">
        <f>'6 SUMMARY OF DETAILS EXP'!D77</f>
        <v>104894370.16</v>
      </c>
      <c r="F21" s="154">
        <f t="shared" si="3"/>
        <v>115383807.176</v>
      </c>
      <c r="G21" s="155">
        <f t="shared" si="3"/>
        <v>126922187.8936</v>
      </c>
      <c r="H21" s="155">
        <f>SUM(E21:G21)</f>
        <v>347200365.22960001</v>
      </c>
    </row>
    <row r="22" spans="1:8" ht="35.25" x14ac:dyDescent="0.75">
      <c r="A22" s="70"/>
      <c r="B22" s="92" t="s">
        <v>86</v>
      </c>
      <c r="C22" s="162">
        <v>1061500000</v>
      </c>
      <c r="D22" s="89">
        <v>0</v>
      </c>
      <c r="E22" s="158">
        <f>'6 SUMMARY OF DETAILS EXP'!G77</f>
        <v>1296840000</v>
      </c>
      <c r="F22" s="161">
        <f t="shared" si="3"/>
        <v>1426524000</v>
      </c>
      <c r="G22" s="158">
        <f t="shared" si="3"/>
        <v>1569176400</v>
      </c>
      <c r="H22" s="158">
        <f>SUM(E22:G22)</f>
        <v>4292540400</v>
      </c>
    </row>
    <row r="23" spans="1:8" s="72" customFormat="1" ht="30" x14ac:dyDescent="0.4">
      <c r="A23" s="70"/>
      <c r="B23" s="76" t="s">
        <v>226</v>
      </c>
      <c r="C23" s="633">
        <f>SUM(C19:C22)</f>
        <v>4763772540</v>
      </c>
      <c r="D23" s="635">
        <v>0</v>
      </c>
      <c r="E23" s="633">
        <f>SUM(E19:E22)</f>
        <v>4671013799.177</v>
      </c>
      <c r="F23" s="633">
        <f>SUM(F19:F22)</f>
        <v>5138115179.0946999</v>
      </c>
      <c r="G23" s="633">
        <f>SUM(G19:G22)</f>
        <v>5651926697.0041695</v>
      </c>
      <c r="H23" s="633">
        <f>SUM(H19:H22)</f>
        <v>15461055675.275871</v>
      </c>
    </row>
    <row r="24" spans="1:8" s="72" customFormat="1" ht="30" x14ac:dyDescent="0.4">
      <c r="A24" s="77" t="s">
        <v>90</v>
      </c>
      <c r="B24" s="645" t="s">
        <v>81</v>
      </c>
      <c r="C24" s="124"/>
      <c r="D24" s="90"/>
      <c r="E24" s="159"/>
      <c r="F24" s="159"/>
      <c r="G24" s="159"/>
      <c r="H24" s="163"/>
    </row>
    <row r="25" spans="1:8" ht="30.75" x14ac:dyDescent="0.45">
      <c r="A25" s="70"/>
      <c r="B25" s="92" t="s">
        <v>84</v>
      </c>
      <c r="C25" s="123">
        <v>21653352145</v>
      </c>
      <c r="D25" s="88">
        <v>0</v>
      </c>
      <c r="E25" s="155">
        <f>'6 SUMMARY OF DETAILS EXP'!C112</f>
        <v>24075610650.350113</v>
      </c>
      <c r="F25" s="154">
        <f t="shared" ref="F25:G28" si="4">E25*10%+E25</f>
        <v>26483171715.385124</v>
      </c>
      <c r="G25" s="155">
        <f t="shared" si="4"/>
        <v>29131488886.923637</v>
      </c>
      <c r="H25" s="155">
        <f>SUM(E25:G25)</f>
        <v>79690271252.658875</v>
      </c>
    </row>
    <row r="26" spans="1:8" ht="30.75" x14ac:dyDescent="0.45">
      <c r="A26" s="70"/>
      <c r="B26" s="92" t="s">
        <v>85</v>
      </c>
      <c r="C26" s="123">
        <v>3547955325</v>
      </c>
      <c r="D26" s="88">
        <v>0</v>
      </c>
      <c r="E26" s="155">
        <f>'6 SUMMARY OF DETAILS EXP'!E112</f>
        <v>5727052378.4315004</v>
      </c>
      <c r="F26" s="154">
        <f t="shared" si="4"/>
        <v>6299757616.2746506</v>
      </c>
      <c r="G26" s="155">
        <f t="shared" si="4"/>
        <v>6929733377.9021158</v>
      </c>
      <c r="H26" s="155">
        <f>SUM(E26:G26)</f>
        <v>18956543372.608265</v>
      </c>
    </row>
    <row r="27" spans="1:8" ht="30.75" x14ac:dyDescent="0.45">
      <c r="A27" s="70"/>
      <c r="B27" s="92" t="s">
        <v>241</v>
      </c>
      <c r="C27" s="123">
        <v>153983990</v>
      </c>
      <c r="D27" s="88">
        <v>0</v>
      </c>
      <c r="E27" s="155">
        <f>'6 SUMMARY OF DETAILS EXP'!D112</f>
        <v>172667304</v>
      </c>
      <c r="F27" s="154">
        <f t="shared" si="4"/>
        <v>189934034.40000001</v>
      </c>
      <c r="G27" s="155">
        <f t="shared" si="4"/>
        <v>208927437.84</v>
      </c>
      <c r="H27" s="155">
        <f>SUM(E27:G27)</f>
        <v>571528776.24000001</v>
      </c>
    </row>
    <row r="28" spans="1:8" ht="35.25" x14ac:dyDescent="0.75">
      <c r="A28" s="70"/>
      <c r="B28" s="92" t="s">
        <v>86</v>
      </c>
      <c r="C28" s="164">
        <v>51620070207</v>
      </c>
      <c r="D28" s="89">
        <v>0</v>
      </c>
      <c r="E28" s="158">
        <f>'6 SUMMARY OF DETAILS EXP'!G112</f>
        <v>76576281225</v>
      </c>
      <c r="F28" s="161">
        <f t="shared" si="4"/>
        <v>84233909347.5</v>
      </c>
      <c r="G28" s="158">
        <f t="shared" si="4"/>
        <v>92657300282.25</v>
      </c>
      <c r="H28" s="158">
        <f>SUM(E28:G28)</f>
        <v>253467490854.75</v>
      </c>
    </row>
    <row r="29" spans="1:8" s="72" customFormat="1" ht="30" x14ac:dyDescent="0.4">
      <c r="A29" s="78"/>
      <c r="B29" s="79" t="s">
        <v>92</v>
      </c>
      <c r="C29" s="633">
        <f>SUM(C25:C28)</f>
        <v>76975361667</v>
      </c>
      <c r="D29" s="635">
        <v>0</v>
      </c>
      <c r="E29" s="633">
        <f>SUM(E25:E28)</f>
        <v>106551611557.78162</v>
      </c>
      <c r="F29" s="633">
        <f>SUM(F25:F28)</f>
        <v>117206772713.55978</v>
      </c>
      <c r="G29" s="633">
        <f>SUM(G25:G28)</f>
        <v>128927449984.91574</v>
      </c>
      <c r="H29" s="637">
        <f>SUM(H25:H28)</f>
        <v>352685834256.25714</v>
      </c>
    </row>
    <row r="30" spans="1:8" s="72" customFormat="1" ht="30" x14ac:dyDescent="0.3">
      <c r="A30" s="80"/>
      <c r="B30" s="664" t="s">
        <v>2874</v>
      </c>
      <c r="C30" s="568">
        <f>SUM(C11,C17,C29,C23)</f>
        <v>181629743176</v>
      </c>
      <c r="D30" s="665">
        <v>0</v>
      </c>
      <c r="E30" s="568">
        <f>SUM(E11,E17,E29,E23)</f>
        <v>286637781342.83862</v>
      </c>
      <c r="F30" s="568">
        <f>SUM(F11,F17,F29)</f>
        <v>310163444298.02783</v>
      </c>
      <c r="G30" s="568">
        <f>SUM(G11,G17,G29)</f>
        <v>341179788727.83057</v>
      </c>
      <c r="H30" s="638">
        <f>SUM(H11,H17,H29)</f>
        <v>933310000569.52002</v>
      </c>
    </row>
    <row r="31" spans="1:8" ht="28.5" customHeight="1" x14ac:dyDescent="0.45">
      <c r="A31" s="81"/>
      <c r="B31" s="649" t="s">
        <v>2873</v>
      </c>
      <c r="C31" s="125"/>
      <c r="D31" s="91"/>
      <c r="E31" s="165"/>
      <c r="F31" s="165"/>
      <c r="G31" s="165"/>
      <c r="H31" s="166"/>
    </row>
    <row r="32" spans="1:8" ht="30.75" x14ac:dyDescent="0.45">
      <c r="A32" s="70"/>
      <c r="B32" s="92" t="s">
        <v>84</v>
      </c>
      <c r="C32" s="123">
        <v>32364136515</v>
      </c>
      <c r="D32" s="88">
        <v>0</v>
      </c>
      <c r="E32" s="155">
        <f t="shared" ref="E32:H35" si="5">SUM(E7,E13,E19,E25)</f>
        <v>31679086046.247116</v>
      </c>
      <c r="F32" s="155">
        <f t="shared" si="5"/>
        <v>34846994650.871826</v>
      </c>
      <c r="G32" s="155">
        <f t="shared" si="5"/>
        <v>38331694115.959007</v>
      </c>
      <c r="H32" s="167">
        <f>SUM(H7,H13,H19,H25)</f>
        <v>104857774813.07794</v>
      </c>
    </row>
    <row r="33" spans="1:8" ht="30.75" x14ac:dyDescent="0.45">
      <c r="A33" s="70"/>
      <c r="B33" s="92" t="s">
        <v>85</v>
      </c>
      <c r="C33" s="123">
        <f>17613716772+6045000000</f>
        <v>23658716772</v>
      </c>
      <c r="D33" s="88">
        <v>0</v>
      </c>
      <c r="E33" s="155">
        <f t="shared" si="5"/>
        <v>44116960333.431503</v>
      </c>
      <c r="F33" s="155">
        <f t="shared" si="5"/>
        <v>48528656366.774651</v>
      </c>
      <c r="G33" s="155">
        <f t="shared" si="5"/>
        <v>53381522003.452118</v>
      </c>
      <c r="H33" s="167">
        <f t="shared" si="5"/>
        <v>146027138703.65826</v>
      </c>
    </row>
    <row r="34" spans="1:8" ht="30.75" x14ac:dyDescent="0.45">
      <c r="A34" s="70"/>
      <c r="B34" s="92" t="s">
        <v>241</v>
      </c>
      <c r="C34" s="123">
        <v>18426919670</v>
      </c>
      <c r="D34" s="88">
        <v>0</v>
      </c>
      <c r="E34" s="155">
        <f t="shared" si="5"/>
        <v>12924060645.16</v>
      </c>
      <c r="F34" s="155">
        <f t="shared" si="5"/>
        <v>14216466709.676001</v>
      </c>
      <c r="G34" s="155">
        <f t="shared" si="5"/>
        <v>15638113380.6436</v>
      </c>
      <c r="H34" s="167">
        <f t="shared" si="5"/>
        <v>42778640735.479599</v>
      </c>
    </row>
    <row r="35" spans="1:8" ht="35.25" x14ac:dyDescent="0.75">
      <c r="A35" s="70"/>
      <c r="B35" s="92" t="s">
        <v>86</v>
      </c>
      <c r="C35" s="164">
        <v>107179970219</v>
      </c>
      <c r="D35" s="89">
        <v>0</v>
      </c>
      <c r="E35" s="158">
        <f t="shared" si="5"/>
        <v>197917674318</v>
      </c>
      <c r="F35" s="158">
        <f t="shared" si="5"/>
        <v>217709441749.79999</v>
      </c>
      <c r="G35" s="158">
        <f t="shared" si="5"/>
        <v>239480385924.78</v>
      </c>
      <c r="H35" s="168">
        <f t="shared" si="5"/>
        <v>655107501992.58008</v>
      </c>
    </row>
    <row r="36" spans="1:8" s="72" customFormat="1" ht="30" x14ac:dyDescent="0.4">
      <c r="A36" s="82"/>
      <c r="B36" s="650" t="s">
        <v>2874</v>
      </c>
      <c r="C36" s="633">
        <f>SUM(C32:C35)</f>
        <v>181629743176</v>
      </c>
      <c r="D36" s="635">
        <v>0</v>
      </c>
      <c r="E36" s="633">
        <f>SUM(E32:E35)</f>
        <v>286637781342.83862</v>
      </c>
      <c r="F36" s="633">
        <f>SUM(F32:F35)</f>
        <v>315301559477.12244</v>
      </c>
      <c r="G36" s="633">
        <f>SUM(G32:G35)</f>
        <v>346831715424.83472</v>
      </c>
      <c r="H36" s="639">
        <f>SUM(H32:H35)</f>
        <v>948771056244.7959</v>
      </c>
    </row>
    <row r="37" spans="1:8" ht="6.75" customHeight="1" x14ac:dyDescent="0.35"/>
  </sheetData>
  <mergeCells count="4">
    <mergeCell ref="A2:H2"/>
    <mergeCell ref="A3:H3"/>
    <mergeCell ref="A4:A5"/>
    <mergeCell ref="B4:B5"/>
  </mergeCells>
  <phoneticPr fontId="8" type="noConversion"/>
  <printOptions horizontalCentered="1" verticalCentered="1"/>
  <pageMargins left="0.41666666666666702" right="0.25" top="1.1781250000000001" bottom="0.75" header="0.3" footer="0.3"/>
  <pageSetup scale="37" firstPageNumber="231" fitToHeight="0" orientation="landscape" useFirstPageNumber="1" r:id="rId1"/>
  <headerFooter>
    <oddHeader>&amp;L&amp;G&amp;R&amp;"Arial,Bold"&amp;18&amp;K05+000
KATSINA STATE GOVERNMENT 2021 APPROVED APPROPRIATION LAW</oddHeader>
    <oddFooter>&amp;L&amp;16&amp;K05+000KATSINA STATE GOVERNMENT 2021 APPROVED APPROPRIATION LAW&amp;C&amp;24&amp;P&amp;R&amp;G</oddFooter>
  </headerFooter>
  <ignoredErrors>
    <ignoredError sqref="A18 A24 A6 A12" numberStoredAsText="1"/>
  </ignoredErrors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BC3F14F-06FA-4337-BE01-034F10528AD5}"/>
</file>

<file path=customXml/itemProps2.xml><?xml version="1.0" encoding="utf-8"?>
<ds:datastoreItem xmlns:ds="http://schemas.openxmlformats.org/officeDocument/2006/customXml" ds:itemID="{DBABBAC1-9D8E-497B-AA39-FF31BE0EEC81}"/>
</file>

<file path=customXml/itemProps3.xml><?xml version="1.0" encoding="utf-8"?>
<ds:datastoreItem xmlns:ds="http://schemas.openxmlformats.org/officeDocument/2006/customXml" ds:itemID="{BA773B8A-046A-423D-A679-0E60D20FF07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14</vt:i4>
      </vt:variant>
    </vt:vector>
  </HeadingPairs>
  <TitlesOfParts>
    <vt:vector size="27" baseType="lpstr">
      <vt:lpstr>1 COVER</vt:lpstr>
      <vt:lpstr>2.FINANCIAL STATEMENT</vt:lpstr>
      <vt:lpstr>3 MASTER BUDGET</vt:lpstr>
      <vt:lpstr>4 SUMMARY OF REV BY MDAs</vt:lpstr>
      <vt:lpstr>5 RECEIPTS BY MDAs</vt:lpstr>
      <vt:lpstr>6 SUMMARY OF DETAILS EXP</vt:lpstr>
      <vt:lpstr>7 PERS COSTS SUMMARY</vt:lpstr>
      <vt:lpstr>8 OVERHEAD COSTS</vt:lpstr>
      <vt:lpstr>9 SUMMARY OF TOTAL EXP</vt:lpstr>
      <vt:lpstr>10 SUMMARY OF CAP EXP</vt:lpstr>
      <vt:lpstr>11 CAPITAL EXPENDITURE</vt:lpstr>
      <vt:lpstr>APPENDIX PERS COSTS DETAILS</vt:lpstr>
      <vt:lpstr>MDAs ADM Codes</vt:lpstr>
      <vt:lpstr>'1 COVER'!Print_Area</vt:lpstr>
      <vt:lpstr>'10 SUMMARY OF CAP EXP'!Print_Area</vt:lpstr>
      <vt:lpstr>'11 CAPITAL EXPENDITURE'!Print_Area</vt:lpstr>
      <vt:lpstr>'2.FINANCIAL STATEMENT'!Print_Area</vt:lpstr>
      <vt:lpstr>'3 MASTER BUDGET'!Print_Area</vt:lpstr>
      <vt:lpstr>'4 SUMMARY OF REV BY MDAs'!Print_Area</vt:lpstr>
      <vt:lpstr>'5 RECEIPTS BY MDAs'!Print_Area</vt:lpstr>
      <vt:lpstr>'6 SUMMARY OF DETAILS EXP'!Print_Area</vt:lpstr>
      <vt:lpstr>'7 PERS COSTS SUMMARY'!Print_Area</vt:lpstr>
      <vt:lpstr>'8 OVERHEAD COSTS'!Print_Area</vt:lpstr>
      <vt:lpstr>'9 SUMMARY OF TOTAL EXP'!Print_Area</vt:lpstr>
      <vt:lpstr>'APPENDIX PERS COSTS DETAILS'!Print_Area</vt:lpstr>
      <vt:lpstr>'10 SUMMARY OF CAP EXP'!Print_Titles</vt:lpstr>
      <vt:lpstr>'6 SUMMARY OF DETAILS EXP'!Print_Titles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2020 KTSG IPSAS BUDGET</dc:title>
  <dc:creator>NAZIFI ABDULLAHI</dc:creator>
  <cp:keywords>2020 KTSG IPSAS BUDGET; 2020 KTSG BUDGET; KTSG IPSAS</cp:keywords>
  <cp:lastModifiedBy>Aba Abdallah</cp:lastModifiedBy>
  <cp:lastPrinted>2021-01-14T15:44:06Z</cp:lastPrinted>
  <dcterms:created xsi:type="dcterms:W3CDTF">2013-09-06T17:31:21Z</dcterms:created>
  <dcterms:modified xsi:type="dcterms:W3CDTF">2021-01-17T20:45:04Z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