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meka Okonkwo\Documents\Revised Budget 2-7-2020\Mail to NGF 14-7-2020\"/>
    </mc:Choice>
  </mc:AlternateContent>
  <workbookProtection workbookAlgorithmName="SHA-512" workbookHashValue="WjVpnzJxW1MhY3VS+gDMgQGieB5aQ9sSAFIGj/6NdDE888iZNOQhwq+I2TOkWU8oU4EmTfk06i5t6vVzMePB9g==" workbookSaltValue="WI/mlbSZmQlRXtFdOLLDtw==" workbookSpinCount="100000" lockStructure="1"/>
  <bookViews>
    <workbookView xWindow="-120" yWindow="-120" windowWidth="20730" windowHeight="11760" firstSheet="2" activeTab="6"/>
  </bookViews>
  <sheets>
    <sheet name="CAP LIMIT" sheetId="16" state="hidden" r:id="rId1"/>
    <sheet name="ISSUES " sheetId="15" state="hidden" r:id="rId2"/>
    <sheet name="CAPEX" sheetId="10" r:id="rId3"/>
    <sheet name="Summary" sheetId="14" state="hidden" r:id="rId4"/>
    <sheet name="Summary (2)" sheetId="17" state="hidden" r:id="rId5"/>
    <sheet name="Summary (3)" sheetId="18" r:id="rId6"/>
    <sheet name="Sheet1" sheetId="19" r:id="rId7"/>
  </sheets>
  <externalReferences>
    <externalReference r:id="rId8"/>
    <externalReference r:id="rId9"/>
    <externalReference r:id="rId10"/>
    <externalReference r:id="rId11"/>
    <externalReference r:id="rId12"/>
    <externalReference r:id="rId13"/>
    <externalReference r:id="rId14"/>
  </externalReferences>
  <definedNames>
    <definedName name="PersonnelLU">'[1]Expenditure Codes'!$C$2:$C$14</definedName>
    <definedName name="_xlnm.Print_Area" localSheetId="0">'CAP LIMIT'!$A$1:$I$85</definedName>
    <definedName name="_xlnm.Print_Area" localSheetId="2">CAPEX!$A$1:$L$2383</definedName>
    <definedName name="_xlnm.Print_Area" localSheetId="1">'ISSUES '!$A$1:$K$94</definedName>
    <definedName name="_xlnm.Print_Area" localSheetId="6">Sheet1!$A$1:$J$78</definedName>
    <definedName name="_xlnm.Print_Area" localSheetId="3">Summary!$A$1:$E$44</definedName>
    <definedName name="_xlnm.Print_Area" localSheetId="4">'Summary (2)'!$A$1:$G$63</definedName>
    <definedName name="_xlnm.Print_Area" localSheetId="5">'Summary (3)'!$A$1:$G$160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56" i="10" l="1"/>
  <c r="K873" i="10"/>
  <c r="D17" i="18" l="1"/>
  <c r="E17" i="18"/>
  <c r="L1620" i="10"/>
  <c r="F11" i="18" s="1"/>
  <c r="L1520" i="10"/>
  <c r="F9" i="18" s="1"/>
  <c r="L385" i="10"/>
  <c r="F5" i="18" s="1"/>
  <c r="L2340" i="10"/>
  <c r="L2328" i="10"/>
  <c r="L2299" i="10"/>
  <c r="L2171" i="10"/>
  <c r="L2382" i="10" s="1"/>
  <c r="L2383" i="10" s="1"/>
  <c r="F13" i="18" s="1"/>
  <c r="L891" i="10"/>
  <c r="L511" i="10"/>
  <c r="L488" i="10"/>
  <c r="L1432" i="10" s="1"/>
  <c r="F7" i="18" s="1"/>
  <c r="M514" i="10"/>
  <c r="F17" i="18" l="1"/>
  <c r="K1470" i="10"/>
  <c r="K2337" i="10" l="1"/>
  <c r="K891" i="10" l="1"/>
  <c r="K511" i="10" l="1"/>
  <c r="K2222" i="10"/>
  <c r="K1532" i="10"/>
  <c r="K866" i="10" l="1"/>
  <c r="K778" i="10"/>
  <c r="K772" i="10"/>
  <c r="K749" i="10"/>
  <c r="K539" i="10"/>
  <c r="K528" i="10"/>
  <c r="K180" i="10" l="1"/>
  <c r="K168" i="10"/>
  <c r="K151" i="10"/>
  <c r="K147" i="10" l="1"/>
  <c r="K92" i="10"/>
  <c r="K68" i="10"/>
  <c r="K40" i="10"/>
  <c r="K892" i="10" l="1"/>
  <c r="K1718" i="10" l="1"/>
  <c r="C123" i="18" s="1"/>
  <c r="J1718" i="10"/>
  <c r="K2157" i="10" l="1"/>
  <c r="K2171" i="10"/>
  <c r="K373" i="10" l="1"/>
  <c r="K488" i="10" l="1"/>
  <c r="K495" i="10" s="1"/>
  <c r="K867" i="10" l="1"/>
  <c r="K31" i="10" l="1"/>
  <c r="J2241" i="10" l="1"/>
  <c r="K1486" i="10" l="1"/>
  <c r="K1431" i="10"/>
  <c r="K1391" i="10"/>
  <c r="K939" i="10"/>
  <c r="K922" i="10"/>
  <c r="K857" i="10"/>
  <c r="K765" i="10"/>
  <c r="K159" i="10"/>
  <c r="P160" i="10" s="1"/>
  <c r="K124" i="10"/>
  <c r="P125" i="10" s="1"/>
  <c r="K71" i="10"/>
  <c r="K42" i="10"/>
  <c r="P43" i="10" s="1"/>
  <c r="K1767" i="10"/>
  <c r="M12" i="19"/>
  <c r="M11" i="19"/>
  <c r="M10" i="19"/>
  <c r="M7" i="19"/>
  <c r="M6" i="19"/>
  <c r="M8" i="19"/>
  <c r="M5" i="19" l="1"/>
  <c r="L5" i="19"/>
  <c r="J74" i="19" l="1"/>
  <c r="K2182" i="10"/>
  <c r="K1282" i="10"/>
  <c r="K1619" i="10"/>
  <c r="J11" i="19" s="1"/>
  <c r="J7" i="19" l="1"/>
  <c r="C97" i="18"/>
  <c r="P1285" i="10"/>
  <c r="C115" i="18"/>
  <c r="C125" i="18"/>
  <c r="J5" i="19"/>
  <c r="K1706" i="10"/>
  <c r="K1606" i="10"/>
  <c r="J1532" i="10"/>
  <c r="C114" i="18" l="1"/>
  <c r="J16" i="19"/>
  <c r="C122" i="18"/>
  <c r="J30" i="19"/>
  <c r="K2243" i="10" l="1"/>
  <c r="J69" i="19" s="1"/>
  <c r="K1663" i="10"/>
  <c r="J65" i="19" s="1"/>
  <c r="C75" i="18"/>
  <c r="J49" i="19" s="1"/>
  <c r="K363" i="10"/>
  <c r="C74" i="18" s="1"/>
  <c r="J48" i="19" s="1"/>
  <c r="C94" i="18"/>
  <c r="K1397" i="10"/>
  <c r="K1402" i="10" s="1"/>
  <c r="K2382" i="10"/>
  <c r="K2354" i="10"/>
  <c r="J70" i="19" s="1"/>
  <c r="K1527" i="10"/>
  <c r="C113" i="18" s="1"/>
  <c r="P2256" i="10"/>
  <c r="K2284" i="10"/>
  <c r="J10" i="19" s="1"/>
  <c r="K2340" i="10"/>
  <c r="K2328" i="10"/>
  <c r="K2321" i="10"/>
  <c r="K2316" i="10"/>
  <c r="K2308" i="10"/>
  <c r="K2299" i="10"/>
  <c r="K2236" i="10"/>
  <c r="K2192" i="10"/>
  <c r="C126" i="18" s="1"/>
  <c r="J58" i="19" l="1"/>
  <c r="C133" i="18"/>
  <c r="J71" i="19"/>
  <c r="C129" i="18"/>
  <c r="C124" i="18"/>
  <c r="J20" i="19"/>
  <c r="J60" i="19"/>
  <c r="K60" i="19" s="1"/>
  <c r="C100" i="18"/>
  <c r="C132" i="18"/>
  <c r="J6" i="19"/>
  <c r="C120" i="18"/>
  <c r="P2190" i="10"/>
  <c r="J67" i="19"/>
  <c r="C130" i="18"/>
  <c r="J12" i="19"/>
  <c r="K835" i="10"/>
  <c r="J56" i="19" s="1"/>
  <c r="K818" i="10"/>
  <c r="J25" i="19" s="1"/>
  <c r="K673" i="10"/>
  <c r="C85" i="18"/>
  <c r="J13" i="19" s="1"/>
  <c r="C86" i="18"/>
  <c r="J53" i="19" s="1"/>
  <c r="C89" i="18"/>
  <c r="J19" i="19" s="1"/>
  <c r="C87" i="18" l="1"/>
  <c r="J17" i="19" s="1"/>
  <c r="P675" i="10"/>
  <c r="C91" i="18"/>
  <c r="C92" i="18"/>
  <c r="P529" i="10"/>
  <c r="K739" i="10"/>
  <c r="J54" i="19" s="1"/>
  <c r="C107" i="18"/>
  <c r="J27" i="19" s="1"/>
  <c r="K1677" i="10"/>
  <c r="J66" i="19" s="1"/>
  <c r="C128" i="18"/>
  <c r="I18" i="19"/>
  <c r="J18" i="19"/>
  <c r="C95" i="18"/>
  <c r="K1506" i="10"/>
  <c r="C108" i="18" s="1"/>
  <c r="J15" i="19"/>
  <c r="C101" i="18"/>
  <c r="J62" i="19" l="1"/>
  <c r="C121" i="18"/>
  <c r="C88" i="18"/>
  <c r="K1649" i="10"/>
  <c r="J64" i="19" s="1"/>
  <c r="N1649" i="10"/>
  <c r="K379" i="10"/>
  <c r="C76" i="18" s="1"/>
  <c r="K427" i="10"/>
  <c r="J52" i="19" s="1"/>
  <c r="K384" i="10"/>
  <c r="C77" i="18" s="1"/>
  <c r="J51" i="19" s="1"/>
  <c r="C84" i="18"/>
  <c r="J21" i="19" s="1"/>
  <c r="J50" i="19" l="1"/>
  <c r="C82" i="18"/>
  <c r="C119" i="18"/>
  <c r="C127" i="18"/>
  <c r="K2200" i="10"/>
  <c r="J68" i="19" s="1"/>
  <c r="K1519" i="10"/>
  <c r="J63" i="19" s="1"/>
  <c r="L64" i="19" s="1"/>
  <c r="C109" i="18" l="1"/>
  <c r="K1355" i="10" l="1"/>
  <c r="K455" i="10"/>
  <c r="C83" i="18" s="1"/>
  <c r="J28" i="19" s="1"/>
  <c r="J9" i="19" l="1"/>
  <c r="C98" i="18"/>
  <c r="J57" i="19"/>
  <c r="C93" i="18"/>
  <c r="K2349" i="10"/>
  <c r="K334" i="10"/>
  <c r="J46" i="19" s="1"/>
  <c r="C72" i="18" s="1"/>
  <c r="K418" i="10"/>
  <c r="K786" i="10"/>
  <c r="K1432" i="10" l="1"/>
  <c r="C131" i="18"/>
  <c r="J8" i="19"/>
  <c r="M9" i="19" s="1"/>
  <c r="M78" i="19" s="1"/>
  <c r="K2383" i="10"/>
  <c r="J55" i="19"/>
  <c r="C90" i="18"/>
  <c r="P418" i="10"/>
  <c r="J29" i="19"/>
  <c r="C81" i="18"/>
  <c r="C99" i="18"/>
  <c r="J26" i="19"/>
  <c r="L26" i="19" s="1"/>
  <c r="L78" i="19" s="1"/>
  <c r="K1448" i="10" l="1"/>
  <c r="K350" i="10"/>
  <c r="K1620" i="10"/>
  <c r="I78" i="19"/>
  <c r="I83" i="19" s="1"/>
  <c r="C73" i="18" l="1"/>
  <c r="J47" i="19" s="1"/>
  <c r="K1520" i="10"/>
  <c r="C106" i="18"/>
  <c r="J61" i="19" s="1"/>
  <c r="C134" i="18"/>
  <c r="C13" i="18" s="1"/>
  <c r="C116" i="18"/>
  <c r="C11" i="18" s="1"/>
  <c r="P33" i="10"/>
  <c r="J31" i="19"/>
  <c r="K47" i="10"/>
  <c r="J22" i="19" s="1"/>
  <c r="P147" i="10"/>
  <c r="J33" i="19"/>
  <c r="K174" i="10"/>
  <c r="K184" i="10"/>
  <c r="J35" i="19" s="1"/>
  <c r="K196" i="10"/>
  <c r="K212" i="10"/>
  <c r="J37" i="19" s="1"/>
  <c r="K228" i="10"/>
  <c r="J38" i="19" s="1"/>
  <c r="K233" i="10"/>
  <c r="J39" i="19" s="1"/>
  <c r="K251" i="10"/>
  <c r="K261" i="10"/>
  <c r="J41" i="19" s="1"/>
  <c r="K41" i="19" s="1"/>
  <c r="K78" i="19" s="1"/>
  <c r="K82" i="19" s="1"/>
  <c r="K271" i="10"/>
  <c r="J42" i="19" s="1"/>
  <c r="K282" i="10"/>
  <c r="J43" i="19" s="1"/>
  <c r="K296" i="10"/>
  <c r="K321" i="10"/>
  <c r="C110" i="18" l="1"/>
  <c r="C9" i="18" s="1"/>
  <c r="K385" i="10"/>
  <c r="P385" i="10" s="1"/>
  <c r="C96" i="18"/>
  <c r="C70" i="18"/>
  <c r="J44" i="19" s="1"/>
  <c r="C71" i="18"/>
  <c r="J45" i="19" s="1"/>
  <c r="J59" i="19" l="1"/>
  <c r="C102" i="18"/>
  <c r="C7" i="18" s="1"/>
  <c r="C69" i="18"/>
  <c r="C68" i="18"/>
  <c r="C67" i="18"/>
  <c r="C66" i="18"/>
  <c r="J40" i="19" s="1"/>
  <c r="C65" i="18"/>
  <c r="C64" i="18"/>
  <c r="C63" i="18"/>
  <c r="C62" i="18"/>
  <c r="J36" i="19" s="1"/>
  <c r="C61" i="18"/>
  <c r="C60" i="18"/>
  <c r="J34" i="19" s="1"/>
  <c r="C59" i="18"/>
  <c r="C56" i="18"/>
  <c r="J32" i="19" s="1"/>
  <c r="C55" i="18"/>
  <c r="C54" i="18"/>
  <c r="C53" i="18"/>
  <c r="J14" i="19" s="1"/>
  <c r="C57" i="18" l="1"/>
  <c r="J23" i="19" s="1"/>
  <c r="C58" i="18"/>
  <c r="N301" i="10"/>
  <c r="N296" i="10"/>
  <c r="H1618" i="10"/>
  <c r="F1485" i="10"/>
  <c r="C78" i="18" l="1"/>
  <c r="C5" i="18" s="1"/>
  <c r="C17" i="18" s="1"/>
  <c r="J24" i="19"/>
  <c r="J78" i="19" s="1"/>
  <c r="J85" i="19" s="1"/>
  <c r="J2280" i="10"/>
  <c r="P83" i="10" l="1"/>
  <c r="P47" i="10"/>
  <c r="J734" i="10" l="1"/>
  <c r="J739" i="10" s="1"/>
  <c r="J1486" i="10" l="1"/>
  <c r="J1367" i="10" l="1"/>
  <c r="J1223" i="10" l="1"/>
  <c r="J2382" i="10"/>
  <c r="J2354" i="10"/>
  <c r="J2236" i="10"/>
  <c r="J2200" i="10"/>
  <c r="J2192" i="10"/>
  <c r="J1663" i="10"/>
  <c r="J1649" i="10"/>
  <c r="J1527" i="10"/>
  <c r="J1506" i="10"/>
  <c r="J1448" i="10"/>
  <c r="J1431" i="10"/>
  <c r="J939" i="10"/>
  <c r="J922" i="10"/>
  <c r="J892" i="10"/>
  <c r="J867" i="10"/>
  <c r="J835" i="10"/>
  <c r="J818" i="10"/>
  <c r="J786" i="10"/>
  <c r="J539" i="10"/>
  <c r="J495" i="10"/>
  <c r="J427" i="10"/>
  <c r="J379" i="10"/>
  <c r="J373" i="10"/>
  <c r="J350" i="10"/>
  <c r="J334" i="10"/>
  <c r="J321" i="10"/>
  <c r="J296" i="10"/>
  <c r="J282" i="10"/>
  <c r="J271" i="10"/>
  <c r="J261" i="10"/>
  <c r="J251" i="10"/>
  <c r="J212" i="10"/>
  <c r="J196" i="10"/>
  <c r="J184" i="10"/>
  <c r="J174" i="10"/>
  <c r="J147" i="10"/>
  <c r="J124" i="10"/>
  <c r="J42" i="10"/>
  <c r="J2162" i="10"/>
  <c r="J1705" i="10"/>
  <c r="J2163" i="10"/>
  <c r="J1728" i="10" l="1"/>
  <c r="J1767" i="10" s="1"/>
  <c r="J1695" i="10"/>
  <c r="J2258" i="10"/>
  <c r="J2249" i="10"/>
  <c r="J152" i="10"/>
  <c r="J153" i="10"/>
  <c r="J356" i="10"/>
  <c r="J25" i="10"/>
  <c r="J31" i="10" s="1"/>
  <c r="J1398" i="10"/>
  <c r="J1396" i="10"/>
  <c r="J1382" i="10"/>
  <c r="J1610" i="10"/>
  <c r="J1611" i="10"/>
  <c r="J2332" i="10"/>
  <c r="J2349" i="10" s="1"/>
  <c r="J1402" i="10" l="1"/>
  <c r="J2284" i="10"/>
  <c r="J1619" i="10"/>
  <c r="J159" i="10"/>
  <c r="G134" i="18"/>
  <c r="G116" i="18"/>
  <c r="G110" i="18"/>
  <c r="G102" i="18"/>
  <c r="G78" i="18"/>
  <c r="E134" i="18"/>
  <c r="E110" i="18"/>
  <c r="E102" i="18"/>
  <c r="E78" i="18"/>
  <c r="J1193" i="10" l="1"/>
  <c r="H7" i="18" l="1"/>
  <c r="H2" i="18"/>
  <c r="I2" i="18" s="1"/>
  <c r="D18" i="18" l="1"/>
  <c r="J856" i="10"/>
  <c r="J857" i="10" s="1"/>
  <c r="O1856" i="10"/>
  <c r="O1857" i="10" s="1"/>
  <c r="P243" i="10"/>
  <c r="P463" i="10" l="1"/>
  <c r="P19" i="10"/>
  <c r="P859" i="10" l="1"/>
  <c r="J360" i="10" l="1"/>
  <c r="J355" i="10"/>
  <c r="J363" i="10" l="1"/>
  <c r="N363" i="10"/>
  <c r="O364" i="10" s="1"/>
  <c r="J2171" i="10"/>
  <c r="N1511" i="10" l="1"/>
  <c r="N1471" i="10"/>
  <c r="N1470" i="10"/>
  <c r="N1469" i="10"/>
  <c r="N1468" i="10"/>
  <c r="N1466" i="10"/>
  <c r="N1465" i="10"/>
  <c r="N1464" i="10"/>
  <c r="N1463" i="10"/>
  <c r="N1462" i="10"/>
  <c r="N1461" i="10"/>
  <c r="N1460" i="10"/>
  <c r="N1459" i="10"/>
  <c r="N1458" i="10"/>
  <c r="N1455" i="10"/>
  <c r="N1454" i="10"/>
  <c r="N1453" i="10"/>
  <c r="N856" i="10" l="1"/>
  <c r="N805" i="10"/>
  <c r="N804" i="10"/>
  <c r="N803" i="10"/>
  <c r="N802" i="10"/>
  <c r="N801" i="10"/>
  <c r="N800" i="10"/>
  <c r="N799" i="10"/>
  <c r="N798" i="10"/>
  <c r="N797" i="10"/>
  <c r="N796" i="10"/>
  <c r="N795" i="10"/>
  <c r="N793" i="10"/>
  <c r="N786" i="10"/>
  <c r="N518" i="10"/>
  <c r="N520" i="10"/>
  <c r="N514" i="10"/>
  <c r="N519" i="10"/>
  <c r="N517" i="10"/>
  <c r="N511" i="10"/>
  <c r="N232" i="10"/>
  <c r="N233" i="10" s="1"/>
  <c r="N227" i="10"/>
  <c r="N220" i="10"/>
  <c r="N219" i="10"/>
  <c r="N218" i="10"/>
  <c r="N212" i="10"/>
  <c r="P71" i="10"/>
  <c r="N52" i="10"/>
  <c r="N26" i="10"/>
  <c r="N13" i="10"/>
  <c r="N11" i="10"/>
  <c r="N10" i="10"/>
  <c r="N7" i="10"/>
  <c r="N5" i="10"/>
  <c r="N4" i="10"/>
  <c r="J1196" i="10" l="1"/>
  <c r="J2067" i="10" l="1"/>
  <c r="J224" i="10" l="1"/>
  <c r="J228" i="10" s="1"/>
  <c r="C12" i="14" l="1"/>
  <c r="P1723" i="10"/>
  <c r="P1722" i="10"/>
  <c r="J655" i="10"/>
  <c r="N673" i="10"/>
  <c r="O673" i="10"/>
  <c r="J636" i="10"/>
  <c r="J635" i="10"/>
  <c r="J624" i="10"/>
  <c r="J616" i="10"/>
  <c r="J546" i="10"/>
  <c r="J1684" i="10"/>
  <c r="P1689" i="10"/>
  <c r="J1692" i="10"/>
  <c r="J443" i="10"/>
  <c r="J455" i="10" s="1"/>
  <c r="P512" i="10"/>
  <c r="P528" i="10" s="1"/>
  <c r="J512" i="10"/>
  <c r="J673" i="10" l="1"/>
  <c r="P1684" i="10"/>
  <c r="J1706" i="10"/>
  <c r="B25" i="17"/>
  <c r="C28" i="17"/>
  <c r="I76" i="16" l="1"/>
  <c r="I5" i="16" l="1"/>
  <c r="C9" i="14"/>
  <c r="D31" i="14" l="1"/>
  <c r="D23" i="14"/>
  <c r="D20" i="14"/>
  <c r="D18" i="14" s="1"/>
  <c r="D14" i="14"/>
  <c r="D13" i="14"/>
  <c r="D12" i="14"/>
  <c r="D9" i="14"/>
  <c r="D8" i="14"/>
  <c r="D7" i="14"/>
  <c r="C7" i="14"/>
  <c r="D5" i="14"/>
  <c r="D4" i="14" l="1"/>
  <c r="D25" i="14" s="1"/>
  <c r="D11" i="14"/>
  <c r="J2174" i="10"/>
  <c r="J2175" i="10"/>
  <c r="J1519" i="10"/>
  <c r="J2182" i="10" l="1"/>
  <c r="P2183" i="10" s="1"/>
  <c r="D110" i="18"/>
  <c r="J1520" i="10"/>
  <c r="D16" i="14"/>
  <c r="D43" i="14"/>
  <c r="J70" i="10"/>
  <c r="J71" i="10" s="1"/>
  <c r="I53" i="16" l="1"/>
  <c r="I81" i="16"/>
  <c r="I6" i="16"/>
  <c r="P250" i="10"/>
  <c r="P254" i="10" s="1"/>
  <c r="N427" i="10"/>
  <c r="P674" i="10"/>
  <c r="J395" i="10"/>
  <c r="J418" i="10" l="1"/>
  <c r="C20" i="14" l="1"/>
  <c r="C5" i="14"/>
  <c r="N2182" i="10" l="1"/>
  <c r="N2353" i="10" l="1"/>
  <c r="N2354" i="10" s="1"/>
  <c r="I78" i="16" l="1"/>
  <c r="P2354" i="10" l="1"/>
  <c r="I1432" i="10"/>
  <c r="J232" i="10"/>
  <c r="J233" i="10" s="1"/>
  <c r="J46" i="10"/>
  <c r="J47" i="10" s="1"/>
  <c r="J1218" i="10"/>
  <c r="J1215" i="10"/>
  <c r="J1207" i="10"/>
  <c r="J1195" i="10"/>
  <c r="J1192" i="10"/>
  <c r="J1179" i="10"/>
  <c r="J1178" i="10"/>
  <c r="J1177" i="10"/>
  <c r="J1174" i="10"/>
  <c r="J1169" i="10"/>
  <c r="J1164" i="10"/>
  <c r="J1161" i="10"/>
  <c r="J1155" i="10"/>
  <c r="J1147" i="10"/>
  <c r="J1143" i="10"/>
  <c r="J1140" i="10"/>
  <c r="J1139" i="10"/>
  <c r="J1135" i="10"/>
  <c r="J1130" i="10"/>
  <c r="J1127" i="10"/>
  <c r="J1125" i="10"/>
  <c r="J1124" i="10"/>
  <c r="J1123" i="10"/>
  <c r="J1121" i="10"/>
  <c r="J1120" i="10"/>
  <c r="J1119" i="10"/>
  <c r="J1118" i="10"/>
  <c r="J1117" i="10"/>
  <c r="J1114" i="10"/>
  <c r="J1107" i="10"/>
  <c r="J1106" i="10"/>
  <c r="J1081" i="10"/>
  <c r="J1080" i="10"/>
  <c r="J1069" i="10"/>
  <c r="J1060" i="10"/>
  <c r="J1043" i="10"/>
  <c r="J1039" i="10"/>
  <c r="J1038" i="10"/>
  <c r="J1028" i="10"/>
  <c r="J1025" i="10"/>
  <c r="J1014" i="10"/>
  <c r="J1012" i="10"/>
  <c r="J1000" i="10"/>
  <c r="J998" i="10"/>
  <c r="J997" i="10"/>
  <c r="J991" i="10"/>
  <c r="J990" i="10"/>
  <c r="J989" i="10"/>
  <c r="J981" i="10"/>
  <c r="J975" i="10"/>
  <c r="J972" i="10"/>
  <c r="J969" i="10"/>
  <c r="J958" i="10"/>
  <c r="J956" i="10"/>
  <c r="J955" i="10"/>
  <c r="J954" i="10"/>
  <c r="J953" i="10"/>
  <c r="J949" i="10"/>
  <c r="J749" i="10"/>
  <c r="J755" i="10"/>
  <c r="J513" i="10"/>
  <c r="J528" i="10" s="1"/>
  <c r="J2240" i="10"/>
  <c r="J2243" i="10" s="1"/>
  <c r="J1352" i="10"/>
  <c r="J1354" i="10"/>
  <c r="J1606" i="10"/>
  <c r="J1620" i="10" s="1"/>
  <c r="J1653" i="10"/>
  <c r="P1651" i="10"/>
  <c r="J94" i="15"/>
  <c r="K95" i="15" s="1"/>
  <c r="N1282" i="10"/>
  <c r="J765" i="10" l="1"/>
  <c r="J1355" i="10"/>
  <c r="I64" i="16"/>
  <c r="I32" i="16"/>
  <c r="F65" i="16"/>
  <c r="F86" i="16" s="1"/>
  <c r="C84" i="16"/>
  <c r="J57" i="16"/>
  <c r="J66" i="16"/>
  <c r="P765" i="10" l="1"/>
  <c r="O2192" i="10"/>
  <c r="O2200" i="10" s="1"/>
  <c r="O867" i="10"/>
  <c r="J384" i="10" l="1"/>
  <c r="J385" i="10" l="1"/>
  <c r="I82" i="16"/>
  <c r="J1057" i="10"/>
  <c r="J1282" i="10" s="1"/>
  <c r="C798" i="10" l="1"/>
  <c r="I41" i="16" l="1"/>
  <c r="J41" i="16" s="1"/>
  <c r="N922" i="10"/>
  <c r="N892" i="10"/>
  <c r="F2280" i="10" l="1"/>
  <c r="I29" i="16" l="1"/>
  <c r="N1391" i="10"/>
  <c r="J1363" i="10" l="1"/>
  <c r="J1365" i="10"/>
  <c r="J1376" i="10"/>
  <c r="J1362" i="10"/>
  <c r="J1360" i="10"/>
  <c r="J1391" i="10" l="1"/>
  <c r="J1432" i="10" s="1"/>
  <c r="K32" i="16"/>
  <c r="I77" i="16" l="1"/>
  <c r="I34" i="16"/>
  <c r="K34" i="16" s="1"/>
  <c r="I25" i="16"/>
  <c r="F2279" i="10" l="1"/>
  <c r="F2277" i="10"/>
  <c r="F2275" i="10"/>
  <c r="F2276" i="10" s="1"/>
  <c r="F425" i="10" l="1"/>
  <c r="N1663" i="10"/>
  <c r="N454" i="10" l="1"/>
  <c r="K60" i="16" l="1"/>
  <c r="K58" i="16"/>
  <c r="K57" i="16"/>
  <c r="L53" i="16"/>
  <c r="K48" i="16"/>
  <c r="K41" i="16"/>
  <c r="K40" i="16"/>
  <c r="K30" i="16"/>
  <c r="K29" i="16"/>
  <c r="K25" i="16"/>
  <c r="K24" i="16"/>
  <c r="K23" i="16"/>
  <c r="K21" i="16"/>
  <c r="K19" i="16"/>
  <c r="K18" i="16"/>
  <c r="K15" i="16"/>
  <c r="K9" i="16"/>
  <c r="D116" i="18" l="1"/>
  <c r="I74" i="16"/>
  <c r="I11" i="16"/>
  <c r="J11" i="16" s="1"/>
  <c r="I36" i="16"/>
  <c r="I94" i="15" l="1"/>
  <c r="I96" i="15" s="1"/>
  <c r="B48" i="15"/>
  <c r="I43" i="16"/>
  <c r="N2192" i="10"/>
  <c r="B66" i="15"/>
  <c r="B7" i="15" s="1"/>
  <c r="I44" i="16"/>
  <c r="J44" i="16" s="1"/>
  <c r="I7" i="16"/>
  <c r="J1676" i="10"/>
  <c r="I28" i="16"/>
  <c r="I56" i="16"/>
  <c r="J56" i="16" s="1"/>
  <c r="N1706" i="10"/>
  <c r="J1670" i="10"/>
  <c r="I61" i="16"/>
  <c r="J61" i="16" s="1"/>
  <c r="I14" i="16"/>
  <c r="Q100" i="16"/>
  <c r="P100" i="16"/>
  <c r="O100" i="16"/>
  <c r="N100" i="16"/>
  <c r="M100" i="16"/>
  <c r="M92" i="16"/>
  <c r="D82" i="16"/>
  <c r="C65" i="16"/>
  <c r="G60" i="16"/>
  <c r="R59" i="16"/>
  <c r="G59" i="16"/>
  <c r="R58" i="16"/>
  <c r="G58" i="16"/>
  <c r="R56" i="16"/>
  <c r="G56" i="16"/>
  <c r="R55" i="16"/>
  <c r="G55" i="16"/>
  <c r="Z54" i="16"/>
  <c r="R54" i="16"/>
  <c r="G54" i="16"/>
  <c r="R53" i="16"/>
  <c r="G53" i="16"/>
  <c r="R52" i="16"/>
  <c r="G52" i="16"/>
  <c r="Z51" i="16"/>
  <c r="R51" i="16"/>
  <c r="N51" i="16"/>
  <c r="E98" i="16" s="1"/>
  <c r="G51" i="16"/>
  <c r="R50" i="16"/>
  <c r="G50" i="16"/>
  <c r="R49" i="16"/>
  <c r="G49" i="16"/>
  <c r="R48" i="16"/>
  <c r="G48" i="16"/>
  <c r="R47" i="16"/>
  <c r="G47" i="16"/>
  <c r="R46" i="16"/>
  <c r="G46" i="16"/>
  <c r="R45" i="16"/>
  <c r="G45" i="16"/>
  <c r="R44" i="16"/>
  <c r="G44" i="16"/>
  <c r="R42" i="16"/>
  <c r="G42" i="16"/>
  <c r="R41" i="16"/>
  <c r="G41" i="16"/>
  <c r="R40" i="16"/>
  <c r="G40" i="16"/>
  <c r="R39" i="16"/>
  <c r="G39" i="16"/>
  <c r="R38" i="16"/>
  <c r="G38" i="16"/>
  <c r="R37" i="16"/>
  <c r="G37" i="16"/>
  <c r="R36" i="16"/>
  <c r="G36" i="16"/>
  <c r="R34" i="16"/>
  <c r="G34" i="16"/>
  <c r="R33" i="16"/>
  <c r="G33" i="16"/>
  <c r="R32" i="16"/>
  <c r="R31" i="16"/>
  <c r="G31" i="16"/>
  <c r="D31" i="16"/>
  <c r="K31" i="16" s="1"/>
  <c r="R30" i="16"/>
  <c r="G30" i="16"/>
  <c r="R29" i="16"/>
  <c r="H29" i="16"/>
  <c r="H65" i="16" s="1"/>
  <c r="H86" i="16" s="1"/>
  <c r="G29" i="16"/>
  <c r="R28" i="16"/>
  <c r="G28" i="16"/>
  <c r="R27" i="16"/>
  <c r="R26" i="16"/>
  <c r="Q26" i="16"/>
  <c r="G26" i="16"/>
  <c r="D26" i="16"/>
  <c r="D65" i="16" s="1"/>
  <c r="R25" i="16"/>
  <c r="G25" i="16"/>
  <c r="R24" i="16"/>
  <c r="G24" i="16"/>
  <c r="R23" i="16"/>
  <c r="G23" i="16"/>
  <c r="R22" i="16"/>
  <c r="G22" i="16"/>
  <c r="R21" i="16"/>
  <c r="G21" i="16"/>
  <c r="R20" i="16"/>
  <c r="G20" i="16"/>
  <c r="R19" i="16"/>
  <c r="G19" i="16"/>
  <c r="R18" i="16"/>
  <c r="G18" i="16"/>
  <c r="R17" i="16"/>
  <c r="G17" i="16"/>
  <c r="R16" i="16"/>
  <c r="G16" i="16"/>
  <c r="R15" i="16"/>
  <c r="G15" i="16"/>
  <c r="R14" i="16"/>
  <c r="G14" i="16"/>
  <c r="R13" i="16"/>
  <c r="G13" i="16"/>
  <c r="R12" i="16"/>
  <c r="G12" i="16"/>
  <c r="R11" i="16"/>
  <c r="G11" i="16"/>
  <c r="R10" i="16"/>
  <c r="G10" i="16"/>
  <c r="R9" i="16"/>
  <c r="G9" i="16"/>
  <c r="R8" i="16"/>
  <c r="G8" i="16"/>
  <c r="R7" i="16"/>
  <c r="S7" i="16" s="1"/>
  <c r="G7" i="16"/>
  <c r="R6" i="16"/>
  <c r="G6" i="16"/>
  <c r="R5" i="16"/>
  <c r="R65" i="16" s="1"/>
  <c r="AA54" i="16" s="1"/>
  <c r="G5" i="16"/>
  <c r="G65" i="16" s="1"/>
  <c r="G86" i="16" s="1"/>
  <c r="H2" i="16"/>
  <c r="N271" i="10"/>
  <c r="C11" i="14"/>
  <c r="C18" i="14"/>
  <c r="C8" i="14"/>
  <c r="I54" i="16"/>
  <c r="I55" i="16"/>
  <c r="J55" i="16" s="1"/>
  <c r="N2382" i="10"/>
  <c r="N2349" i="10"/>
  <c r="N2284" i="10"/>
  <c r="N2236" i="10"/>
  <c r="N2200" i="10"/>
  <c r="B2192" i="10"/>
  <c r="B2200" i="10" s="1"/>
  <c r="I58" i="16"/>
  <c r="J58" i="16" s="1"/>
  <c r="N1767" i="10"/>
  <c r="I60" i="16"/>
  <c r="I69" i="16"/>
  <c r="I51" i="16"/>
  <c r="N1606" i="10"/>
  <c r="N1527" i="10"/>
  <c r="N1519" i="10"/>
  <c r="I49" i="16"/>
  <c r="N1506" i="10"/>
  <c r="I48" i="16"/>
  <c r="N1486" i="10"/>
  <c r="I50" i="16"/>
  <c r="K50" i="16" s="1"/>
  <c r="N1448" i="10"/>
  <c r="I35" i="16"/>
  <c r="J35" i="16" s="1"/>
  <c r="N1402" i="10"/>
  <c r="N1355" i="10"/>
  <c r="I30" i="16"/>
  <c r="J30" i="16" s="1"/>
  <c r="N939" i="10"/>
  <c r="J76" i="16"/>
  <c r="B867" i="10"/>
  <c r="N867" i="10"/>
  <c r="N857" i="10"/>
  <c r="N835" i="10"/>
  <c r="I42" i="16"/>
  <c r="N765" i="10"/>
  <c r="N818" i="10"/>
  <c r="I37" i="16"/>
  <c r="N739" i="10"/>
  <c r="J36" i="16"/>
  <c r="N539" i="10"/>
  <c r="I40" i="16"/>
  <c r="N455" i="10"/>
  <c r="N418" i="10"/>
  <c r="N379" i="10"/>
  <c r="I26" i="16"/>
  <c r="N373" i="10"/>
  <c r="I19" i="16"/>
  <c r="J19" i="16" s="1"/>
  <c r="N350" i="10"/>
  <c r="N334" i="10"/>
  <c r="N282" i="10"/>
  <c r="I8" i="16"/>
  <c r="N261" i="10"/>
  <c r="I15" i="16"/>
  <c r="N251" i="10"/>
  <c r="N228" i="10"/>
  <c r="N196" i="10"/>
  <c r="N184" i="10"/>
  <c r="N174" i="10"/>
  <c r="N159" i="10"/>
  <c r="N147" i="10"/>
  <c r="N124" i="10"/>
  <c r="N71" i="10"/>
  <c r="N47" i="10"/>
  <c r="N31" i="10"/>
  <c r="I39" i="16"/>
  <c r="J39" i="16" s="1"/>
  <c r="N528" i="10"/>
  <c r="N1620" i="10" l="1"/>
  <c r="J1677" i="10"/>
  <c r="J2383" i="10" s="1"/>
  <c r="I9" i="16"/>
  <c r="I24" i="16"/>
  <c r="I38" i="16"/>
  <c r="J38" i="16" s="1"/>
  <c r="D102" i="18"/>
  <c r="I20" i="16"/>
  <c r="J20" i="16" s="1"/>
  <c r="I21" i="16"/>
  <c r="I22" i="16"/>
  <c r="I17" i="16"/>
  <c r="I23" i="16"/>
  <c r="I13" i="16"/>
  <c r="I10" i="16"/>
  <c r="I12" i="16"/>
  <c r="I16" i="16"/>
  <c r="P228" i="10"/>
  <c r="I63" i="16"/>
  <c r="G27" i="16"/>
  <c r="J69" i="16"/>
  <c r="G32" i="16"/>
  <c r="E59" i="16"/>
  <c r="I31" i="16"/>
  <c r="J31" i="16" s="1"/>
  <c r="C33" i="14"/>
  <c r="I62" i="16"/>
  <c r="J62" i="16" s="1"/>
  <c r="I68" i="16"/>
  <c r="I84" i="16" s="1"/>
  <c r="I18" i="16"/>
  <c r="I52" i="16"/>
  <c r="K52" i="16" s="1"/>
  <c r="K61" i="16" s="1"/>
  <c r="J5" i="16"/>
  <c r="E26" i="16"/>
  <c r="E18" i="16"/>
  <c r="E24" i="16"/>
  <c r="I33" i="16"/>
  <c r="J33" i="16" s="1"/>
  <c r="E37" i="16"/>
  <c r="E13" i="16"/>
  <c r="E54" i="16"/>
  <c r="E46" i="16"/>
  <c r="E48" i="16"/>
  <c r="E6" i="16"/>
  <c r="E53" i="16"/>
  <c r="I46" i="16"/>
  <c r="C4" i="14"/>
  <c r="C16" i="14" s="1"/>
  <c r="I45" i="16"/>
  <c r="I47" i="16"/>
  <c r="C35" i="14"/>
  <c r="C37" i="14"/>
  <c r="N1520" i="10"/>
  <c r="N2383" i="10"/>
  <c r="N385" i="10"/>
  <c r="I27" i="16"/>
  <c r="E45" i="16"/>
  <c r="E31" i="16"/>
  <c r="E58" i="16"/>
  <c r="E23" i="16"/>
  <c r="E28" i="16"/>
  <c r="E50" i="16"/>
  <c r="E11" i="16"/>
  <c r="E33" i="16"/>
  <c r="E56" i="16"/>
  <c r="E41" i="16"/>
  <c r="E55" i="16"/>
  <c r="E22" i="16"/>
  <c r="E16" i="16"/>
  <c r="E34" i="16"/>
  <c r="E49" i="16"/>
  <c r="E20" i="16"/>
  <c r="E5" i="16"/>
  <c r="E29" i="16"/>
  <c r="E36" i="16"/>
  <c r="E52" i="16"/>
  <c r="E15" i="16"/>
  <c r="E38" i="16"/>
  <c r="E14" i="16"/>
  <c r="E47" i="16"/>
  <c r="E7" i="16"/>
  <c r="E21" i="16"/>
  <c r="E39" i="16"/>
  <c r="E57" i="16"/>
  <c r="E17" i="16"/>
  <c r="E12" i="16"/>
  <c r="E27" i="16"/>
  <c r="E42" i="16"/>
  <c r="E10" i="16"/>
  <c r="E32" i="16"/>
  <c r="E40" i="16"/>
  <c r="E60" i="16"/>
  <c r="E19" i="16"/>
  <c r="E44" i="16"/>
  <c r="E30" i="16"/>
  <c r="E51" i="16"/>
  <c r="E9" i="16"/>
  <c r="E8" i="16"/>
  <c r="E25" i="16"/>
  <c r="E43" i="16"/>
  <c r="D134" i="18" l="1"/>
  <c r="I7" i="18"/>
  <c r="D78" i="18"/>
  <c r="C25" i="14"/>
  <c r="E65" i="16"/>
  <c r="E86" i="16" s="1"/>
  <c r="J68" i="16"/>
  <c r="J84" i="16" s="1"/>
  <c r="C31" i="14"/>
  <c r="I59" i="16"/>
  <c r="J59" i="16" s="1"/>
  <c r="G27" i="14"/>
  <c r="I93" i="16" l="1"/>
  <c r="L84" i="16"/>
  <c r="I17" i="18" l="1"/>
  <c r="H54" i="18"/>
  <c r="H55" i="18" s="1"/>
  <c r="I87" i="16"/>
  <c r="C39" i="14"/>
  <c r="C43" i="14" s="1"/>
  <c r="F49" i="14" l="1"/>
  <c r="D86" i="16"/>
  <c r="I85" i="16"/>
  <c r="K65" i="16"/>
  <c r="J65" i="16"/>
  <c r="I88" i="16"/>
  <c r="C26" i="14"/>
  <c r="C23" i="14"/>
  <c r="F26" i="14" l="1"/>
  <c r="I86" i="16"/>
  <c r="J86" i="16" s="1"/>
  <c r="C44" i="14"/>
  <c r="F50" i="14" s="1"/>
  <c r="F16" i="14"/>
  <c r="G26" i="14"/>
  <c r="G25" i="14"/>
  <c r="F28" i="14" l="1"/>
  <c r="G28" i="14" s="1"/>
  <c r="I90" i="16"/>
  <c r="N1411" i="10"/>
  <c r="N1431" i="10"/>
  <c r="N1432" i="10"/>
</calcChain>
</file>

<file path=xl/comments1.xml><?xml version="1.0" encoding="utf-8"?>
<comments xmlns="http://schemas.openxmlformats.org/spreadsheetml/2006/main">
  <authors>
    <author>ELECTRICAL</author>
  </authors>
  <commentList>
    <comment ref="B689" authorId="0" shapeId="0">
      <text>
        <r>
          <rPr>
            <b/>
            <sz val="9"/>
            <color indexed="81"/>
            <rFont val="Tahoma"/>
            <family val="2"/>
          </rPr>
          <t>ELECTRICAL:</t>
        </r>
        <r>
          <rPr>
            <sz val="9"/>
            <color indexed="81"/>
            <rFont val="Tahoma"/>
            <family val="2"/>
          </rPr>
          <t xml:space="preserve">
SEE SUB-HEAD 29. ---ditto--</t>
        </r>
      </text>
    </comment>
    <comment ref="O689" authorId="0" shapeId="0">
      <text>
        <r>
          <rPr>
            <b/>
            <sz val="9"/>
            <color indexed="81"/>
            <rFont val="Tahoma"/>
            <family val="2"/>
          </rPr>
          <t>ELECTRICAL:</t>
        </r>
        <r>
          <rPr>
            <sz val="9"/>
            <color indexed="81"/>
            <rFont val="Tahoma"/>
            <family val="2"/>
          </rPr>
          <t xml:space="preserve">
SEE SUB-HEAD 29. ---ditto--</t>
        </r>
      </text>
    </comment>
  </commentList>
</comments>
</file>

<file path=xl/sharedStrings.xml><?xml version="1.0" encoding="utf-8"?>
<sst xmlns="http://schemas.openxmlformats.org/spreadsheetml/2006/main" count="18961" uniqueCount="5144">
  <si>
    <t>Urban Water Board</t>
  </si>
  <si>
    <t>Commitment Item</t>
  </si>
  <si>
    <t>Funded Program</t>
  </si>
  <si>
    <t>F210010000</t>
  </si>
  <si>
    <t>02101</t>
  </si>
  <si>
    <t>426.</t>
  </si>
  <si>
    <t>F212010000</t>
  </si>
  <si>
    <t>F203010000</t>
  </si>
  <si>
    <t>F113000000</t>
  </si>
  <si>
    <t>F114000000</t>
  </si>
  <si>
    <t>F504010000</t>
  </si>
  <si>
    <t>00010000010104</t>
  </si>
  <si>
    <t>F205010000</t>
  </si>
  <si>
    <t>F301010000</t>
  </si>
  <si>
    <t>F302010000</t>
  </si>
  <si>
    <t>F303010000</t>
  </si>
  <si>
    <t>F304010000</t>
  </si>
  <si>
    <t>F201010000</t>
  </si>
  <si>
    <t>F508010000</t>
  </si>
  <si>
    <t>70111</t>
  </si>
  <si>
    <t>F501010000</t>
  </si>
  <si>
    <t>F505010000</t>
  </si>
  <si>
    <t>F204010000</t>
  </si>
  <si>
    <t>F202010000</t>
  </si>
  <si>
    <t>F507010000</t>
  </si>
  <si>
    <t>F506010000</t>
  </si>
  <si>
    <t>F104010000</t>
  </si>
  <si>
    <t>F101010000</t>
  </si>
  <si>
    <t>F108010000</t>
  </si>
  <si>
    <t>F509010000</t>
  </si>
  <si>
    <t>F502010000</t>
  </si>
  <si>
    <t>F503010000</t>
  </si>
  <si>
    <t>F209010000</t>
  </si>
  <si>
    <t>F112010000</t>
  </si>
  <si>
    <t>F215010000</t>
  </si>
  <si>
    <t>F110010000</t>
  </si>
  <si>
    <t>F204010400</t>
  </si>
  <si>
    <t>F208010000</t>
  </si>
  <si>
    <t>F215010800</t>
  </si>
  <si>
    <t>F109010000</t>
  </si>
  <si>
    <t>F109010700</t>
  </si>
  <si>
    <t>F109010501</t>
  </si>
  <si>
    <t>F214010000</t>
  </si>
  <si>
    <t>F211010000</t>
  </si>
  <si>
    <t>F105010000</t>
  </si>
  <si>
    <t>F206010000</t>
  </si>
  <si>
    <t>00220000050101</t>
  </si>
  <si>
    <t>70950</t>
  </si>
  <si>
    <t>TEXT</t>
  </si>
  <si>
    <t>Fund Center</t>
  </si>
  <si>
    <t>Budget Line Item</t>
  </si>
  <si>
    <t>Function Code</t>
  </si>
  <si>
    <t xml:space="preserve">Fund </t>
  </si>
  <si>
    <t>Purchase of office Equipment</t>
  </si>
  <si>
    <t>00032010501</t>
  </si>
  <si>
    <t>Uniforms</t>
  </si>
  <si>
    <t>00022020309</t>
  </si>
  <si>
    <t>Library</t>
  </si>
  <si>
    <t>Rehabilitation/Repairs of Special Edit Centre</t>
  </si>
  <si>
    <t>00110000010102</t>
  </si>
  <si>
    <t>Minor Works</t>
  </si>
  <si>
    <t>Furnishing of Equipping of new VIP Guest House</t>
  </si>
  <si>
    <t>00032010601</t>
  </si>
  <si>
    <t>00032010206</t>
  </si>
  <si>
    <t>Furnishing of Govt House Resource/Research Center</t>
  </si>
  <si>
    <t>Purchase of medical equipment for the Govt House Clinic</t>
  </si>
  <si>
    <t>00031050102</t>
  </si>
  <si>
    <t>00040000010102</t>
  </si>
  <si>
    <t>Purchase of Vehicles and Boats</t>
  </si>
  <si>
    <t>Purchase of Vehicles</t>
  </si>
  <si>
    <t>Public Works (Office of the Director - General Special Projects)</t>
  </si>
  <si>
    <t>Office Equipment for Office of the Hon. Comm Government House</t>
  </si>
  <si>
    <t>Office Equipment for Delta State Security Trust Funds</t>
  </si>
  <si>
    <t>Office Equipment for Delta State Signage and Advertisement Agency</t>
  </si>
  <si>
    <t>Office Equipment for office of the Chief of Staff</t>
  </si>
  <si>
    <t>Beautification of Selected Cities</t>
  </si>
  <si>
    <t>00023050124</t>
  </si>
  <si>
    <t>00090000010110</t>
  </si>
  <si>
    <t xml:space="preserve">Beautification (Delta State Leisure Park/Gardens, Asaba) </t>
  </si>
  <si>
    <t>F119010000</t>
  </si>
  <si>
    <t>Delta State Public Procurement Commission</t>
  </si>
  <si>
    <t>Social Security</t>
  </si>
  <si>
    <t>00023050122</t>
  </si>
  <si>
    <t>Office Equipment for Delta State Investment Development Agency</t>
  </si>
  <si>
    <t>Off of the Project Director (Asaba Airport Project)</t>
  </si>
  <si>
    <t>F101010600</t>
  </si>
  <si>
    <t>Job Creation Office</t>
  </si>
  <si>
    <t>F101010501</t>
  </si>
  <si>
    <t xml:space="preserve">Office of the Economic Adviser </t>
  </si>
  <si>
    <t>F102011000</t>
  </si>
  <si>
    <t>SERVICOM &amp; Labour Relations</t>
  </si>
  <si>
    <t>F102010902</t>
  </si>
  <si>
    <t>Directorate of Project Monitoring</t>
  </si>
  <si>
    <t>0102000000: Office of the Deputy Governor</t>
  </si>
  <si>
    <t>F102010000</t>
  </si>
  <si>
    <t xml:space="preserve">Purchase of office Furniture &amp; Equipment </t>
  </si>
  <si>
    <t>Purchase of Office Equipment</t>
  </si>
  <si>
    <t>Sanitary/Fumigation</t>
  </si>
  <si>
    <t>00022020602</t>
  </si>
  <si>
    <t>00090000010106</t>
  </si>
  <si>
    <t>Purchase of Lawn Mowers</t>
  </si>
  <si>
    <t>00032010301</t>
  </si>
  <si>
    <t>Purchase of Uniforms</t>
  </si>
  <si>
    <t xml:space="preserve">Installation of Close Circuit Television </t>
  </si>
  <si>
    <t>Tele-Communication Facilities</t>
  </si>
  <si>
    <t>00032010306</t>
  </si>
  <si>
    <t>Purchase of Computers</t>
  </si>
  <si>
    <t>Procurement of Press Equipment</t>
  </si>
  <si>
    <t>00031050108</t>
  </si>
  <si>
    <t>Procurement of Vehicles for S.T.B</t>
  </si>
  <si>
    <t>00032010405</t>
  </si>
  <si>
    <t>Computerization of C.R.B</t>
  </si>
  <si>
    <t>Rehabilitation of the Deputy Governor's Lodge/Guest Houses</t>
  </si>
  <si>
    <t>Procurement of Pool vehicles for the Deputy Governor's Office</t>
  </si>
  <si>
    <t>Purchase of Office Equipment for the Office of Deputy Chief of Staff</t>
  </si>
  <si>
    <t>Minor works at the Office of the Deputy Chief of Staff</t>
  </si>
  <si>
    <t>0103000000: Office of the Clerk of the House</t>
  </si>
  <si>
    <t>F103010000</t>
  </si>
  <si>
    <t>Office Furniture</t>
  </si>
  <si>
    <t>Office Equipment</t>
  </si>
  <si>
    <t>Communication Equipment</t>
  </si>
  <si>
    <t>Insignia</t>
  </si>
  <si>
    <t xml:space="preserve">Library </t>
  </si>
  <si>
    <t>00020000030104</t>
  </si>
  <si>
    <t xml:space="preserve">Provision of Secuirty Gadgets </t>
  </si>
  <si>
    <t>Uniform</t>
  </si>
  <si>
    <t xml:space="preserve">Renovation of Administrative Building </t>
  </si>
  <si>
    <t>Provision of Fire Fighting and Prevention Equipment</t>
  </si>
  <si>
    <t>00032010309</t>
  </si>
  <si>
    <t>Landscaping and Beautification of the Assembly Complex</t>
  </si>
  <si>
    <t>Building / Equipping of New Canteen</t>
  </si>
  <si>
    <t>00031050201</t>
  </si>
  <si>
    <t>Construction of Entrance And Exit Gate And Passage</t>
  </si>
  <si>
    <t>Construction of Visitors Car Park</t>
  </si>
  <si>
    <t>Sick Bay</t>
  </si>
  <si>
    <t>Information/Sound</t>
  </si>
  <si>
    <t>Special Publication</t>
  </si>
  <si>
    <t>00022020301</t>
  </si>
  <si>
    <t>Construction of Main Library</t>
  </si>
  <si>
    <t>Purchase of Official Vehicles For Hon. Members</t>
  </si>
  <si>
    <t>Appropriations Office</t>
  </si>
  <si>
    <t>Construction/Equipping of Interdenominational Chapel At The House Of Assembly Complex</t>
  </si>
  <si>
    <t>Construction of Security Posts For Policemen At The Legislators' Village</t>
  </si>
  <si>
    <t>Construction of Police Quarters At The Legislators Village</t>
  </si>
  <si>
    <t>00031050203</t>
  </si>
  <si>
    <t>Raising Of Delta State House Of Assembly Village Fence</t>
  </si>
  <si>
    <t>Purchase Of Two 1000 Kva Sound Proof/32 N0s 40kva Perkins Generators</t>
  </si>
  <si>
    <t>00032010305</t>
  </si>
  <si>
    <t>00140000010107</t>
  </si>
  <si>
    <t>Equipping the Dtha Printing Press</t>
  </si>
  <si>
    <t>00031050109</t>
  </si>
  <si>
    <t>DTHA Website/Isp</t>
  </si>
  <si>
    <t>Purchase of Lawn Mowers &amp; Other Implements</t>
  </si>
  <si>
    <t>Purchase of Public Address System</t>
  </si>
  <si>
    <t>Purchase of Official Cars For Management/ Staff</t>
  </si>
  <si>
    <t>Purchase of Trucks And Utility Vehicles</t>
  </si>
  <si>
    <t>Purchase of Buses For Dtha</t>
  </si>
  <si>
    <t>Construction of Dtha Clinic/Purchase Of Medical Equipment</t>
  </si>
  <si>
    <t>00031050205</t>
  </si>
  <si>
    <t>00032010208</t>
  </si>
  <si>
    <t>00100000010103</t>
  </si>
  <si>
    <t>Maintenance, Rehabilitation And Upgrade Of Facilities In The Delta State House of Assembly Chambers</t>
  </si>
  <si>
    <t>Maintenance And Rehabilitation Of Legislators' Quarters</t>
  </si>
  <si>
    <t>Construction/Provision Of Electricity</t>
  </si>
  <si>
    <t>00032010207</t>
  </si>
  <si>
    <t>00030000020105</t>
  </si>
  <si>
    <t>Preservation/Fumigation Of The Assembly Complex And Quarters</t>
  </si>
  <si>
    <t>Resurfacing/Maintenace Of Internal Roads In The Assembly Complex/Quarters</t>
  </si>
  <si>
    <t>00150000010102</t>
  </si>
  <si>
    <t>Maintenance of Recreational Facilities At The Legislators' Quarters</t>
  </si>
  <si>
    <t>Procurement of Intercom</t>
  </si>
  <si>
    <t>Construction of Assembly Staff Club</t>
  </si>
  <si>
    <t>Purchase of Computer Printers</t>
  </si>
  <si>
    <t>Purchase of Photocoping Machines</t>
  </si>
  <si>
    <t>Purchase Shredding Machines</t>
  </si>
  <si>
    <t>Purchase of Scanners</t>
  </si>
  <si>
    <t>0104: Office of the S.S.G</t>
  </si>
  <si>
    <t>Purchase of Computer/Internet Connectivity</t>
  </si>
  <si>
    <t>Furnishing &amp; Equip. of offices of Pol. Appointees and Adhoc Bodices</t>
  </si>
  <si>
    <t>Purchase of Books and Equipment for Library</t>
  </si>
  <si>
    <t>Minor works</t>
  </si>
  <si>
    <t>70140</t>
  </si>
  <si>
    <t>Assistance to Federal Agencies</t>
  </si>
  <si>
    <t>00022040111</t>
  </si>
  <si>
    <t>70310</t>
  </si>
  <si>
    <t>Purchase of operational vehiicles for SSG's office and Adhoc Bodies</t>
  </si>
  <si>
    <t>70133</t>
  </si>
  <si>
    <t>F104011000</t>
  </si>
  <si>
    <t>325.</t>
  </si>
  <si>
    <t>212I</t>
  </si>
  <si>
    <t>106.</t>
  </si>
  <si>
    <t>210A</t>
  </si>
  <si>
    <t>00031050207</t>
  </si>
  <si>
    <t>00150000010101</t>
  </si>
  <si>
    <t>211I</t>
  </si>
  <si>
    <t>108.</t>
  </si>
  <si>
    <t>212A</t>
  </si>
  <si>
    <t>00032010202</t>
  </si>
  <si>
    <t>Purchase of Operational /Official Vehicles</t>
  </si>
  <si>
    <t>Maintanance of Construction Equipment</t>
  </si>
  <si>
    <t>00022020401</t>
  </si>
  <si>
    <t>0105: Head of Service</t>
  </si>
  <si>
    <t>Office Equipment/Furniture</t>
  </si>
  <si>
    <t>Calculators</t>
  </si>
  <si>
    <t>Inter Com Equipment/Telephone facilities</t>
  </si>
  <si>
    <t>Computer Centre</t>
  </si>
  <si>
    <t>Identity Card Project</t>
  </si>
  <si>
    <t>00022020709</t>
  </si>
  <si>
    <t>Computerisation of the Office of Head of Service</t>
  </si>
  <si>
    <t>0106000000: Office of the SSG</t>
  </si>
  <si>
    <t>F106010000</t>
  </si>
  <si>
    <t>Purchase of office furniture</t>
  </si>
  <si>
    <t>Purchase of office furniture for Archives</t>
  </si>
  <si>
    <t>0107: Dir. Of Political and Security Services</t>
  </si>
  <si>
    <t>F107010000</t>
  </si>
  <si>
    <t>Office Furniture and Equipment</t>
  </si>
  <si>
    <t xml:space="preserve">Minor Works </t>
  </si>
  <si>
    <t>Purchase of computers</t>
  </si>
  <si>
    <t>Offices of the Political Advisers</t>
  </si>
  <si>
    <t>Uniforms /Raincoats/Rainboots</t>
  </si>
  <si>
    <t>Purchase of Office Furniture</t>
  </si>
  <si>
    <t>Statutory publications of the State Civil Service</t>
  </si>
  <si>
    <t>Central Records</t>
  </si>
  <si>
    <t>Installation of Telephone/Internet Services</t>
  </si>
  <si>
    <t>Printing of Public Service Rules</t>
  </si>
  <si>
    <t>Purchase of Computers/Computerisation</t>
  </si>
  <si>
    <t xml:space="preserve">Government Printing Press                  </t>
  </si>
  <si>
    <t>Upgrading/maintenance of photo-colour lab and purchase of photographic material</t>
  </si>
  <si>
    <t>Purchase of Public Address Equipment Vehicle/Cinema Boats</t>
  </si>
  <si>
    <t>Purchase/maintenance of computers</t>
  </si>
  <si>
    <t>Purchase of information gathering equipment etc</t>
  </si>
  <si>
    <t>Renovation of Information Headquarters/Field offices in LGA Hqtrs</t>
  </si>
  <si>
    <t>F109010503</t>
  </si>
  <si>
    <t>Equipment for Delta Broadcasting Service</t>
  </si>
  <si>
    <t>Provision of Office Equipment</t>
  </si>
  <si>
    <t>Furnishing of Office Building</t>
  </si>
  <si>
    <t>0110: Bureau for Special Duties</t>
  </si>
  <si>
    <t>0110000000: Office of the Hon. Commissioner, Bureau for Special Duties</t>
  </si>
  <si>
    <t>Purchase of office Furniture for Head Office, CPWB, MPWB</t>
  </si>
  <si>
    <t>F110010401</t>
  </si>
  <si>
    <t>Procurement of Office Furniture for Fire Service</t>
  </si>
  <si>
    <t>Purchase of office Equipment for Head Office, CPWB, MPWB</t>
  </si>
  <si>
    <t>Purchase of Office Equipment for Fire Service ( Including Computers)</t>
  </si>
  <si>
    <t>Purchase of Uniforms and Footwears</t>
  </si>
  <si>
    <t>Purchase of Fire Fighting Vehicles(Boats and Barges)</t>
  </si>
  <si>
    <t>00032010404</t>
  </si>
  <si>
    <t>Fire Protection for Important Public Buildings</t>
  </si>
  <si>
    <t>Fire Fighting Equipment and Accessories</t>
  </si>
  <si>
    <t>Installation of Telephone</t>
  </si>
  <si>
    <t>Radio Communication Gadgets</t>
  </si>
  <si>
    <t>Maintenance of Field Offices</t>
  </si>
  <si>
    <t>F110010300</t>
  </si>
  <si>
    <t>Construction of Water Hydrants/Borehole in Strategic locations in the State</t>
  </si>
  <si>
    <t>Construction of Office Accommodation in SEMA Warehouse premises</t>
  </si>
  <si>
    <t>Purchase of Office Furniture and Equipment for SEMA</t>
  </si>
  <si>
    <t>Purchase of operation vehicles (Lorries, Coaster Bus and Hilux)</t>
  </si>
  <si>
    <t>Purchase of Relief items and Personal Protective wares for SEMA</t>
  </si>
  <si>
    <t>00022040110</t>
  </si>
  <si>
    <t>Establishment of Library</t>
  </si>
  <si>
    <t>Renovation of DSIEC Guest Houses.</t>
  </si>
  <si>
    <t>Furnishing of DSIEC Guest Houses.</t>
  </si>
  <si>
    <t>Computers/internet</t>
  </si>
  <si>
    <t>Communication Facilities</t>
  </si>
  <si>
    <t>Computerisation</t>
  </si>
  <si>
    <t>Printing of Securitised Audit Certificate/Query Forms</t>
  </si>
  <si>
    <t>00031050110</t>
  </si>
  <si>
    <t>Renovation/Minor Works</t>
  </si>
  <si>
    <t>Establisment of additional Field offices</t>
  </si>
  <si>
    <t>Procurement of Double Door (4 Step) Global Save and Assessories</t>
  </si>
  <si>
    <t>Purchase of 4x4 four(4) Drawer, Global Save and Accessories</t>
  </si>
  <si>
    <t>0114: Office of the Auditor General (Local Government)</t>
  </si>
  <si>
    <t xml:space="preserve">Purchase of Office Equipment </t>
  </si>
  <si>
    <t>Purchase of office Furniture</t>
  </si>
  <si>
    <t xml:space="preserve">Printing of Audit Certificate </t>
  </si>
  <si>
    <t>Fumigation</t>
  </si>
  <si>
    <t>00023040111</t>
  </si>
  <si>
    <t>Computerization</t>
  </si>
  <si>
    <t>00023050102</t>
  </si>
  <si>
    <t>Telephone</t>
  </si>
  <si>
    <t>IPSAS for Local Government Councils</t>
  </si>
  <si>
    <t>Purchase of Foreign Gern 4x4 Save Cabinets</t>
  </si>
  <si>
    <t>0105000000: Chariman, Delta State Pension Bureau</t>
  </si>
  <si>
    <t>F115010000</t>
  </si>
  <si>
    <t>Purchase of office Equipment/Furniture</t>
  </si>
  <si>
    <t>Computers/Computerisation (IT Infrastructures)</t>
  </si>
  <si>
    <t>Intercom equipment/Telephone</t>
  </si>
  <si>
    <t>F116010000</t>
  </si>
  <si>
    <t>Purchase of Office Equipment and Furniture</t>
  </si>
  <si>
    <t>First Aid Equipment</t>
  </si>
  <si>
    <t>0117: Delta State House of Assembly Commission</t>
  </si>
  <si>
    <t>F117010000</t>
  </si>
  <si>
    <t xml:space="preserve">Purchase of Security Equipment </t>
  </si>
  <si>
    <t>0118: Local Government Service Commission</t>
  </si>
  <si>
    <t>F118010000</t>
  </si>
  <si>
    <t>Purchase of Equipment</t>
  </si>
  <si>
    <t>Computerization of  and procurement of Computers)</t>
  </si>
  <si>
    <t>Office future and Equipment ( 3 Zonal Offices)</t>
  </si>
  <si>
    <t>Economic Sector</t>
  </si>
  <si>
    <t>Land use layout and Design (for all government lands)</t>
  </si>
  <si>
    <t>00023050118</t>
  </si>
  <si>
    <t>00060000010111</t>
  </si>
  <si>
    <t>Survey for all government lands</t>
  </si>
  <si>
    <t>Survey and demarcation of local government boundaries</t>
  </si>
  <si>
    <t>Opening of roads</t>
  </si>
  <si>
    <t>Acquisition/Compensation of acquired lands</t>
  </si>
  <si>
    <t>00032010108</t>
  </si>
  <si>
    <t>00060000010112</t>
  </si>
  <si>
    <t>Payment opf compensation to owners of wrongfully demolised properties in Asaba</t>
  </si>
  <si>
    <t>00023050117</t>
  </si>
  <si>
    <t>216.</t>
  </si>
  <si>
    <t>Urban Master plan (Asaba Capital Territory, Sapele-Amukpe-Oghara, Kwale,Agbor Owa-Oyibu,Umunede, Ughelli,Patani,Abraka)</t>
  </si>
  <si>
    <t>00060000010113</t>
  </si>
  <si>
    <t>Survey Equipment</t>
  </si>
  <si>
    <t>00023050100</t>
  </si>
  <si>
    <t>Survey of Secondary School Lands in the state</t>
  </si>
  <si>
    <t>Purchase of Buildings</t>
  </si>
  <si>
    <t>00032010101</t>
  </si>
  <si>
    <t>Urban and Regional Planning Board</t>
  </si>
  <si>
    <t>Geoinformatics (GIS)</t>
  </si>
  <si>
    <t>Land Information system (LIS)/Capacity Building</t>
  </si>
  <si>
    <t>Office Equipment and Furniture</t>
  </si>
  <si>
    <t>Office Equipment and Furniture Zonal/Area Offices</t>
  </si>
  <si>
    <t>Safe,Adding Machine and Calculators</t>
  </si>
  <si>
    <t>Planning,Research and Statistics Survey</t>
  </si>
  <si>
    <t>00023050101</t>
  </si>
  <si>
    <t>GIS/LIS Computer System</t>
  </si>
  <si>
    <t>Development of Library</t>
  </si>
  <si>
    <t>Delta state Border Community Development committee</t>
  </si>
  <si>
    <t>Telephone/ Intercom</t>
  </si>
  <si>
    <t>00020000010105</t>
  </si>
  <si>
    <t>00022020625</t>
  </si>
  <si>
    <t>217.</t>
  </si>
  <si>
    <t>00020000010106</t>
  </si>
  <si>
    <t>00023050114</t>
  </si>
  <si>
    <t>00023050115</t>
  </si>
  <si>
    <t>00080000010108</t>
  </si>
  <si>
    <t>Publication/ promotion of Delta Cultural Magazine Delta Heritage</t>
  </si>
  <si>
    <t>Renovation of Delta Hotel Warri</t>
  </si>
  <si>
    <t>0203: Ministry of Agricultre &amp; Natural Resources Hqtrs</t>
  </si>
  <si>
    <t>00031050106</t>
  </si>
  <si>
    <t>00010000030102</t>
  </si>
  <si>
    <t>Provision of mobile irrigation sprinklers to farmers (Loans to farmers)</t>
  </si>
  <si>
    <t>00023050108</t>
  </si>
  <si>
    <t>00100000010102</t>
  </si>
  <si>
    <t>209A</t>
  </si>
  <si>
    <t>00010000030101</t>
  </si>
  <si>
    <t>Foods and Nutrition Programmes/Projects</t>
  </si>
  <si>
    <t>Small Holder Cocoa Scheme</t>
  </si>
  <si>
    <t>Cassava Development Programme</t>
  </si>
  <si>
    <t>Agricultural Land Development/Management Programme (Loans to participating farm land owners)</t>
  </si>
  <si>
    <t>Maize Production Programme (Loans to farmers)</t>
  </si>
  <si>
    <t>Construction of Veterinary Clinic at Owa Oyibu</t>
  </si>
  <si>
    <t>00032010106</t>
  </si>
  <si>
    <t>00040000010101</t>
  </si>
  <si>
    <t>211.</t>
  </si>
  <si>
    <t xml:space="preserve">Construction of additional Offices, renovation of existing ones, landscaping and fencing of veterinary clinic, Warri. </t>
  </si>
  <si>
    <t xml:space="preserve"> Additional work on the Construction of medium sized Abattoir in Koko.</t>
  </si>
  <si>
    <t>324H</t>
  </si>
  <si>
    <t>Pig Multiplication and Farmer Support Programme</t>
  </si>
  <si>
    <t>Aquaculture</t>
  </si>
  <si>
    <t xml:space="preserve">Purchase of Office Equipment and Funiture </t>
  </si>
  <si>
    <t>Agricultural Publicity and Information</t>
  </si>
  <si>
    <t>Purchase of Books and Library Equipment: Establishment of a Mini-Library in the MANR Headquarter Office.</t>
  </si>
  <si>
    <t xml:space="preserve">Delta Agricultural Rural Development Authority (DARDA) Capital Grant for its statutory functions of unified extension related activites in the State </t>
  </si>
  <si>
    <t>Procurement of Modern Tractors/ Implements for farmers (Loans to farmers)</t>
  </si>
  <si>
    <t>0204: Ministry of Commerce and Industry</t>
  </si>
  <si>
    <t>00023050123</t>
  </si>
  <si>
    <t>00120000010101</t>
  </si>
  <si>
    <t>Livewire/DTSG/Desopadec Partnership Programme</t>
  </si>
  <si>
    <t>00023050109</t>
  </si>
  <si>
    <t>Rehabilitation of Ailing Industries/Establishment of New ones(Agro-Industries)</t>
  </si>
  <si>
    <t>00032010107</t>
  </si>
  <si>
    <t>00120000010104</t>
  </si>
  <si>
    <t>Community base Projects</t>
  </si>
  <si>
    <t>00031050206</t>
  </si>
  <si>
    <t>Establishment of Industrial Park</t>
  </si>
  <si>
    <t>Investment Opportunity Brochure in Delta State/Industrial News Letter</t>
  </si>
  <si>
    <t>211K</t>
  </si>
  <si>
    <t>101T</t>
  </si>
  <si>
    <t>211A</t>
  </si>
  <si>
    <t>Construction of Modern Market at Bomadi L.G.A</t>
  </si>
  <si>
    <t>318A</t>
  </si>
  <si>
    <t>Construction of Rural/Community Markets</t>
  </si>
  <si>
    <t>103B</t>
  </si>
  <si>
    <t>Computerization/Documentation of Cooperative activities</t>
  </si>
  <si>
    <t>Industrial Directory/Industrial Policy</t>
  </si>
  <si>
    <t>Burutu Modern Market</t>
  </si>
  <si>
    <t>319R</t>
  </si>
  <si>
    <t>320O</t>
  </si>
  <si>
    <t>214A</t>
  </si>
  <si>
    <t>102K</t>
  </si>
  <si>
    <t>101E</t>
  </si>
  <si>
    <t>101O</t>
  </si>
  <si>
    <t>322O</t>
  </si>
  <si>
    <t>Uniform/Raicoat</t>
  </si>
  <si>
    <t>00023050111</t>
  </si>
  <si>
    <t>00120000010102</t>
  </si>
  <si>
    <t>Books and Equipment for Library</t>
  </si>
  <si>
    <t>00032010205</t>
  </si>
  <si>
    <t>Construction Borehole Access Road</t>
  </si>
  <si>
    <t>00030000010104</t>
  </si>
  <si>
    <t xml:space="preserve">Development of Pilot Small Scale Cottage Industries in the 3 Senatorial District. </t>
  </si>
  <si>
    <t>Agro Production</t>
  </si>
  <si>
    <t>Agro Processing</t>
  </si>
  <si>
    <t>Delta State Footwear/Leather Production Facility Centre, Issele - Uku</t>
  </si>
  <si>
    <t>Creative Industries for Women in Rural Areas in Delta State</t>
  </si>
  <si>
    <t>0205000000: Ministry of Energy HQTRs</t>
  </si>
  <si>
    <t>209G</t>
  </si>
  <si>
    <t>00140000010101</t>
  </si>
  <si>
    <t>325M</t>
  </si>
  <si>
    <t>321I</t>
  </si>
  <si>
    <t>209.</t>
  </si>
  <si>
    <t>Reinforcement of electricity power supply at Elueche/Mbanefo Onyeka and Justina Maltilda Njokamma street, Asaba in Oshimili South LGA</t>
  </si>
  <si>
    <t>Installation of solar streetlights on the Flyover Bridge at Effurun round about, Effurun - Sapele road, Effurun</t>
  </si>
  <si>
    <t>Installation of Solar streetlights at Delta State Skills Acquisition Centre, Issele-uku, Aniocha North LGA</t>
  </si>
  <si>
    <t>102A</t>
  </si>
  <si>
    <t>103.</t>
  </si>
  <si>
    <t>Reinforcement of electricity power supply at Geoff I.J. Onyenachie Street and Olisenekwu Ogba street, off Jeremiah Eboh road, Okpanam, Oshimili North LGA</t>
  </si>
  <si>
    <t>215M</t>
  </si>
  <si>
    <t>215E</t>
  </si>
  <si>
    <t>Installatiuon of Transformers to Power the Streetlights within Asaba Metroplis and Streetlights along the Expressway (from Bridge Head to the Airport) in Asaba.</t>
  </si>
  <si>
    <t>00140000010102</t>
  </si>
  <si>
    <t>Rehabilitation/Maintenance of Electricity Power Supply at \bolou-Apelebiri and Odorubu in Patani LGA, Olodinama in Ughelli South LGA, Kpakiama and Bomadi in Bomadi LGA, Oboro and Okpokunou in Burutu LGA</t>
  </si>
  <si>
    <t>Extension of electricity power supply from Etua-Etiti to Etua-Oliogo in Ndokwa West LGA</t>
  </si>
  <si>
    <t>214.</t>
  </si>
  <si>
    <t>Installation of retrieved 1no. 300kva, 11/0.415kv transformer at Onyeka Ikediashi Street by Emma Chidi Lane, Asaba in Oshimili South LGA</t>
  </si>
  <si>
    <t>Installation of 1No. 7.5MVA, 33/11kv injection transformer substation at Master Key road, near the new central Hospital, Asaba in Oshimili South LGA</t>
  </si>
  <si>
    <t>Installation of 3No. X 20KVA Solar PV Power Generating System complete with Inverters and Battery Banks to power broken-down Solar Powered Streetlights fitted with 60 Watts LED Lamps at DDPA Housing Estate, Asaba, Delta State</t>
  </si>
  <si>
    <t>purchase and replacement of burnt 1No. 2.5MVA, 33/11KVA, 11/0.415KV Injection Transformer at Mosogar and 2Nos 300KVA, 33/11KV transformers</t>
  </si>
  <si>
    <t>construction of dedicated 11kv line from 7.5MVA, 33/11KV Transformer substation at Government House Road, Asaba</t>
  </si>
  <si>
    <t>Extension of 33kv overhead line and installation of 1No. 300kva, 33/0.415kv transformer with CV/VT Panel Metre at the ICT innovation Hub. Asaba</t>
  </si>
  <si>
    <t>Construction of 33KV Overhead High Tension Line and Conversion of Existing 300kva, 11/0.415kv Transformer Substation to 300KVA, 33/0.415KV Transformer Substation at WAEC Road, Asaba</t>
  </si>
  <si>
    <t>Construction of 33KV Overhead High Tension Line and 1No. 300KVA, 33/0.415KV Transformer with CV/VT Panel Metre at the DBS Office Complex, Asaba</t>
  </si>
  <si>
    <t>Replacement of burnt 300KVA, 11/0.415KV Transformer with 500KVA, 11/0.415KV Transformer at Convent Street by Cemetery Street, Boji Boji Owa</t>
  </si>
  <si>
    <t>Installation of 1(No) 500KVA, 33/0.415KV Transformer Substation at Ugbene-Aboh, Ndokwa East L.G.A</t>
  </si>
  <si>
    <t>213.</t>
  </si>
  <si>
    <t>Replacement of burnt 1No. 300KVA, 11/0.415KV Transformer and Construction of low voltage line at NYSC Orientation Camp, Issele-Uku</t>
  </si>
  <si>
    <t>  Replacement of Burnt Ring Main Unit ( RMU) at the  2.5MVA 33/11KV Injection Transformer Substation and  Installation of  1 No 500KVA,11/0.415KV Transformer at   Owa-Alero in Ika  North  East LG A.</t>
  </si>
  <si>
    <t>Replacement of burnt 300kva, 33/0.415kv transformer with 500kva, 33/0.415kv transformer at Otomewo Community in Okpe LGA</t>
  </si>
  <si>
    <t>Construction of Town Distribution Network (TDN) in New Layout in Bomadi Town, Bomadi LGA</t>
  </si>
  <si>
    <t>Installation of 1No. 500KVA, 33/0.415KV and 1 No. 300KVA 33/0.415KV Transformers S/S at Old Government House and VIP Guest House, Government House, Asaba</t>
  </si>
  <si>
    <t>Installation of 1No. 500KVA, 11/0.415KV Transformer at Water Board Rd., Off Owa-Ekei Rd., Ihiechukwuyem community Boji-Boji Owa in Ika North East LGA</t>
  </si>
  <si>
    <t>323.</t>
  </si>
  <si>
    <t>Replacement of Burnt Transformer at Omadino Community in Warri South LGA</t>
  </si>
  <si>
    <t>Construction of 700 Meters of 33KV Overhead High Tension Line and 1No. 500KVA, 33/0.415KV Transformer S/S at the Nigerian Immigration Service, Delta State command Office</t>
  </si>
  <si>
    <t>215.</t>
  </si>
  <si>
    <t>Installation of 1No. 7.5MVA, 33/11kv injection transformer substation at Owa-Alero Town in Ika N/East LGA</t>
  </si>
  <si>
    <t>Rehabilitation of 33KV Overhead High Voltage Line and Replacement of Vandalised 1No. 2.5MVA, 33/11KV and 3No. 300KVA,11/0.415KV Transformer S/S at the Delta State Polytechnic, Ogwashi-uku</t>
  </si>
  <si>
    <t>Rehabilitation of 11kv network and replacement of burnt transformer at Ogbeowelle Quarters, Okpanam in Oshimili North LGA</t>
  </si>
  <si>
    <t>Installation of 280 Nos Smart Off Grid Solar Solution at Old Lagos-Asaba Road, Agbor</t>
  </si>
  <si>
    <t>Installation of 280 Nos Smart Off Grid Solar Solution at Owa-Ekei Road, Agbor</t>
  </si>
  <si>
    <t>Installation of 1no. 7.5mva injection Transformer at DDPA Estate (Bendel Estate) Ugborikoko, Effurun</t>
  </si>
  <si>
    <t>Extension of electricity power supply to the new layout by new Government house complex, high court road, Asaba in Oshimili South LGA</t>
  </si>
  <si>
    <t>Reinforcement of EPS at Power Line Area in Asaba</t>
  </si>
  <si>
    <t>Reinforcement of EPS at Augustine Okonkwo Street, Off Okpanam road, Okpanam in Oshimili North LGA</t>
  </si>
  <si>
    <t>Conversion of Streetlights Operating Stations from Generator-Powered to 33KV Public Power Utility in Ughelli and Reactivation of the Existing Facilities</t>
  </si>
  <si>
    <t>106J</t>
  </si>
  <si>
    <t>Extension of the Existing Streetlights from Chief James Ibori Rd to the Western Delta University, Oghara</t>
  </si>
  <si>
    <t>Extension of 33KV High Tension (HT) Overhead (OH) Line from Bomadi to Tuomo Community in Burutu LGA</t>
  </si>
  <si>
    <t>Reinforcement of EPS at Idumeubuo Quarters New Layout, Off Aliozormor Rd., Owa-Alero in Ika North east LGA</t>
  </si>
  <si>
    <t>Conversion of 11KV Line to 33KV Grid Network at Nigerian Television Authority (NTA), Asaba in Oshimili South LGA</t>
  </si>
  <si>
    <t>Reinforcement of EPS and Construction of 1No. 300KVA, 33/415KV Transformer S/S at Aboh-Ogwashi in Aniocha South LGA</t>
  </si>
  <si>
    <t>Rehabilitation and Installation of Tower/Columns Mounted 200W High Intensity Streetlights and Provision of Electricity within the Premises of Cenotaph, Asaba</t>
  </si>
  <si>
    <t>Construction of 33KV Overhead Line and Installation of Additional 2.5MVA Transformer Protection Devices at the Asaba International Airport, Asaba</t>
  </si>
  <si>
    <t>Reinforcement of EPS at Umuneze Quarters, Ogwashi-uku in Aniocha South LGA</t>
  </si>
  <si>
    <t>Reinforcement of EPS at Ajuebor/Otabor and Isioma Streets at Owa and Construction of Low Voltage Line at Ogbe-Ofu Quarters Idumuje-Ugboko in Ika North East and Aniocha North LGA Respectively</t>
  </si>
  <si>
    <t>Rehabilitation of EPS Network at Ubulu-Okiti Town in Aniocha South LGA</t>
  </si>
  <si>
    <t>Reinforcement of EPS at Amachai Community, Okpanam in Oshimili North LGA</t>
  </si>
  <si>
    <t>Installation of 34 (Nos) 50KVA, 11/0.415KV High Voltage Distribution System (HVDS) Transformers around New Central Hospital and Environs, Asaba in Oshimili  South LGA</t>
  </si>
  <si>
    <t>104.</t>
  </si>
  <si>
    <t>107.</t>
  </si>
  <si>
    <t>324.</t>
  </si>
  <si>
    <t>321B</t>
  </si>
  <si>
    <t>101A</t>
  </si>
  <si>
    <t>Re-inforcement / Rehabilitation of Electricity Supply Network at Okpokunou community, Burutu LGA</t>
  </si>
  <si>
    <t>319.</t>
  </si>
  <si>
    <t>Re-inforcement / Rehabilitation of Electricity Supply Network at Alihagu Axis and Osa Street, Behind MTD Police Station, Agbor, Ika South LGA</t>
  </si>
  <si>
    <t>Re-Inforcement of Electricity Supply Network at Obetim-Uno, Ndokwa East LGA</t>
  </si>
  <si>
    <t>318H</t>
  </si>
  <si>
    <t>Re-Inforcement of Electricity Supply  Network at Prof. Mike Osemele Str. Axis, Agbor, Ika South LGA</t>
  </si>
  <si>
    <t>325L</t>
  </si>
  <si>
    <t>Re-Inforcement of Electricity Supply  Network at Owanta, Ika North East LGA</t>
  </si>
  <si>
    <t>Re-Inforcement of Electricity Supply  Network at Alohen/Ute-Okpu Communities, Ika North East LGA</t>
  </si>
  <si>
    <t>Extension of  Electricity Supply  Network to Ebiama Community in Burutu LGA</t>
  </si>
  <si>
    <t>Re-Inforcement of Electricity Supply  Network at Obitugbo, Warri North LGA</t>
  </si>
  <si>
    <t>217K</t>
  </si>
  <si>
    <t>102.</t>
  </si>
  <si>
    <t xml:space="preserve">Re-Inforcement of Electricity Supply Network at Sherry’s Court Road, DSC, Orhuwhorun in Udu LGA </t>
  </si>
  <si>
    <t>105.</t>
  </si>
  <si>
    <t>106E</t>
  </si>
  <si>
    <t>209E</t>
  </si>
  <si>
    <t xml:space="preserve">Installation of 1No. 300KVA, 11/0.415KV Transformer at Eku, Ethiope East LGA </t>
  </si>
  <si>
    <t>106P</t>
  </si>
  <si>
    <t>Installation of 1No. 300KVA, 33/0.415KV Transformer at Ugbuwangue Community, Warri South LGA</t>
  </si>
  <si>
    <t>325O</t>
  </si>
  <si>
    <t>321K</t>
  </si>
  <si>
    <t>319E</t>
  </si>
  <si>
    <t>212L</t>
  </si>
  <si>
    <t>216A</t>
  </si>
  <si>
    <t>0206: Ministry of Water Resources HQTRs</t>
  </si>
  <si>
    <t>New water supply schemes in riverine areas</t>
  </si>
  <si>
    <t>Purchase of submersible pumps, starters and cables</t>
  </si>
  <si>
    <t>00031050103</t>
  </si>
  <si>
    <t>Purchase of hydrological/engineering equipment for ground water exploration and data collection</t>
  </si>
  <si>
    <t>00032010302</t>
  </si>
  <si>
    <t>00100000010104</t>
  </si>
  <si>
    <t>Quality control laboratory/provision of chemical</t>
  </si>
  <si>
    <t>Production of master plan for water development</t>
  </si>
  <si>
    <t>Provision of treatment plants in urban cities</t>
  </si>
  <si>
    <t>Rural Water Supply Agency (RUWASA)</t>
  </si>
  <si>
    <t>Small Town Water Supply Agency (STWSA)</t>
  </si>
  <si>
    <t>Completion of on-going projects</t>
  </si>
  <si>
    <t>00023050125</t>
  </si>
  <si>
    <t>Water sanitation across the State and setting up of Water Consumer Associations across the State</t>
  </si>
  <si>
    <t>Rehabilitation of water schemes across the State</t>
  </si>
  <si>
    <t>New water Development Scheme in Delta State.</t>
  </si>
  <si>
    <t>Office equipment and furniture</t>
  </si>
  <si>
    <t>Purchase of computer/computerisation and wide area network for MWRD, UWB, RWSA and zonal offices</t>
  </si>
  <si>
    <t xml:space="preserve">Office equipment for Rural Water Supply Agency  </t>
  </si>
  <si>
    <t xml:space="preserve">Office equipment for Small Town Water Supply Agency </t>
  </si>
  <si>
    <t>0207: Dir. Of Science &amp; Technology</t>
  </si>
  <si>
    <t>F207010000</t>
  </si>
  <si>
    <t>00031050204</t>
  </si>
  <si>
    <t>00050000010104</t>
  </si>
  <si>
    <t>00022020416</t>
  </si>
  <si>
    <t>00140000010104</t>
  </si>
  <si>
    <t>00031050101</t>
  </si>
  <si>
    <t>Computerization (Procurement/Networking)</t>
  </si>
  <si>
    <t>Government to Business and Government to Citizen</t>
  </si>
  <si>
    <t>0208: Ministry of Oil and Gas</t>
  </si>
  <si>
    <t xml:space="preserve">DTSG/Oil Producers Trade Section </t>
  </si>
  <si>
    <t>Delta State Oil &amp; Gas Resource Centre</t>
  </si>
  <si>
    <t xml:space="preserve">Gas to Fuel for Household &amp; Transportation Development </t>
  </si>
  <si>
    <t>00022020805</t>
  </si>
  <si>
    <t>Oil &amp; Gas Project support (Equipment)</t>
  </si>
  <si>
    <t>Uniforms Rain-Coats and Umbrellas</t>
  </si>
  <si>
    <t>Delta State Gas Industrial Park, Kwale</t>
  </si>
  <si>
    <t>Development of non fossil fuels</t>
  </si>
  <si>
    <t>00160000010106</t>
  </si>
  <si>
    <t xml:space="preserve">Establishment of modular refineries Sapele </t>
  </si>
  <si>
    <t xml:space="preserve">Establishment of modular refineries Kwale </t>
  </si>
  <si>
    <t>0209: Ministry of Finance</t>
  </si>
  <si>
    <t>General Investment</t>
  </si>
  <si>
    <t>Universal  investment Development Co</t>
  </si>
  <si>
    <t>00022020629</t>
  </si>
  <si>
    <t>322.</t>
  </si>
  <si>
    <t xml:space="preserve">SIFMIS Centre of Excellence </t>
  </si>
  <si>
    <t>PABX</t>
  </si>
  <si>
    <t>Maintenance of New Civil Service Secretariat</t>
  </si>
  <si>
    <t>00022020403</t>
  </si>
  <si>
    <t>Maintenance of New Secretariat Complex</t>
  </si>
  <si>
    <t>Debt Management Office Equipment</t>
  </si>
  <si>
    <t xml:space="preserve">Maintenance of SIFMIS Infrastructure </t>
  </si>
  <si>
    <t>00022020407</t>
  </si>
  <si>
    <t>Purchase of Vehicle/refurbishment</t>
  </si>
  <si>
    <t>Legacy / Old Debt</t>
  </si>
  <si>
    <t>Delta State Board of Internal Bevenue</t>
  </si>
  <si>
    <t>0211: Ministry of Economic Planning</t>
  </si>
  <si>
    <t>Office Equipment and furniture for field offices</t>
  </si>
  <si>
    <t xml:space="preserve">Uniforms </t>
  </si>
  <si>
    <t>Computers</t>
  </si>
  <si>
    <t>Production of Delta State General Economic Atlas</t>
  </si>
  <si>
    <t>00023050119</t>
  </si>
  <si>
    <t>Statistical Research Equipment</t>
  </si>
  <si>
    <t>00032010211</t>
  </si>
  <si>
    <t>Statistical and Research Library</t>
  </si>
  <si>
    <t>SSA ICT - Biometrics</t>
  </si>
  <si>
    <t>Economic Research, Consultancy and other related matters</t>
  </si>
  <si>
    <t>00050000020102</t>
  </si>
  <si>
    <t>Information and Data Management (Economic Intelligence Unit)</t>
  </si>
  <si>
    <t>Minor Works (Head Quarter and Field Offices)</t>
  </si>
  <si>
    <t>State Joint Planning Board</t>
  </si>
  <si>
    <t xml:space="preserve">Budget Dept </t>
  </si>
  <si>
    <t>NEPAD</t>
  </si>
  <si>
    <t>00023050106</t>
  </si>
  <si>
    <t>00020000010102</t>
  </si>
  <si>
    <t>Economic Management</t>
  </si>
  <si>
    <t>Procurement Reform</t>
  </si>
  <si>
    <t>UNFPA</t>
  </si>
  <si>
    <t>State Human Development Fund (SHDF) (including UNDP GCCC</t>
  </si>
  <si>
    <t>UNICEF</t>
  </si>
  <si>
    <t>Egbokodo Training Centre</t>
  </si>
  <si>
    <t>Small Towns Water Supply and Sanitation Programme (STWSSP)</t>
  </si>
  <si>
    <t xml:space="preserve">Health Assisted Projects-HSDPII </t>
  </si>
  <si>
    <t xml:space="preserve">APOC (African) </t>
  </si>
  <si>
    <t>IFAD Root And Tuber Expansion Programme (ADP)</t>
  </si>
  <si>
    <t>IFAD/FGN/NDDC/CBNRMP (Delta - ADP)</t>
  </si>
  <si>
    <t>United Nations Institute for Training and Research (UNITAR)</t>
  </si>
  <si>
    <t>Nigeria Erosion and Watershed Management Project (NEWMAP)</t>
  </si>
  <si>
    <t xml:space="preserve">Unicef Water, Sanitation and Health Programme (WASH)  </t>
  </si>
  <si>
    <t>Third National Fadama Development Project (NFDP III)</t>
  </si>
  <si>
    <t>Teaching Knowledge Test (TKT)</t>
  </si>
  <si>
    <t>SDG Survey/Conditional Grants Counterpart Funds</t>
  </si>
  <si>
    <t>Women's Fund for Economic Empowerment (WOFEE)</t>
  </si>
  <si>
    <t>Micro Project Programme Nine (MPP9)</t>
  </si>
  <si>
    <t>National Programme For Food Security (NPFS)</t>
  </si>
  <si>
    <t>World Bank SEEFOR Projects</t>
  </si>
  <si>
    <t xml:space="preserve">aPOC (African) </t>
  </si>
  <si>
    <t>Bracced Commission (Counterpart Fund)</t>
  </si>
  <si>
    <t xml:space="preserve"> Oversea Development Assistance</t>
  </si>
  <si>
    <t>European Union-Niger Delta Support Programme on Water and Sanitation (EU-NDSP-WS)</t>
  </si>
  <si>
    <t>Immunization, NIPD, MNCHW, Malaria and other Primary Health Activities-UNICEF Assistance</t>
  </si>
  <si>
    <t>Rural Access and Mobility Project (RAMP)</t>
  </si>
  <si>
    <t>UNDP GCCC including UNDP-Assisted ICDP</t>
  </si>
  <si>
    <t xml:space="preserve">Library               </t>
  </si>
  <si>
    <t>Purchase of safe/fire proof cabinet and cash receptacles</t>
  </si>
  <si>
    <t>Treasury Book 6, 6A</t>
  </si>
  <si>
    <t>Treasury Form 1 /Security Bank Confirmation</t>
  </si>
  <si>
    <t>Purchase of Generators</t>
  </si>
  <si>
    <t>Purchase of Computers and Printers</t>
  </si>
  <si>
    <t>Maintenance/Provision of Room Safe/Cheque Embossers</t>
  </si>
  <si>
    <t>Implementation of IPSAS</t>
  </si>
  <si>
    <t>00022020701</t>
  </si>
  <si>
    <t>Maintenance of Treasury Cash Offices</t>
  </si>
  <si>
    <t>0213000000: Hon. Commissioner, Ministry of Works</t>
  </si>
  <si>
    <t>212.</t>
  </si>
  <si>
    <t>102E</t>
  </si>
  <si>
    <t>320.</t>
  </si>
  <si>
    <t>321.</t>
  </si>
  <si>
    <t>323S</t>
  </si>
  <si>
    <t>Aragba/Okobia/Okwetolor/Okuagbude/Warri-Sapele Junction</t>
  </si>
  <si>
    <t>Construction of Abraka Township Roads (Phase I)</t>
  </si>
  <si>
    <t>320A</t>
  </si>
  <si>
    <t>210.</t>
  </si>
  <si>
    <t>210L</t>
  </si>
  <si>
    <t>101.</t>
  </si>
  <si>
    <t>Reconstruction of the failed portions of Ewhu-Orere road and construction of Etaga Street</t>
  </si>
  <si>
    <t>105J</t>
  </si>
  <si>
    <t>Construction of Idumu-Iso Street and Idumu-Ozue Lane, Owa-Alero</t>
  </si>
  <si>
    <t>Construction of Idumu-Oza/Alihiagwu/Oki Road</t>
  </si>
  <si>
    <t>Rehabilitation of Jesse/Boboroku Road</t>
  </si>
  <si>
    <t>Construction of Owerre-Olubor/Ekwuoma Road</t>
  </si>
  <si>
    <t>Construction of Asaba-Ase/Abari Road</t>
  </si>
  <si>
    <t>319A</t>
  </si>
  <si>
    <t>103F</t>
  </si>
  <si>
    <t>321L</t>
  </si>
  <si>
    <t>103M</t>
  </si>
  <si>
    <t>325D</t>
  </si>
  <si>
    <t>Completion of the Construction of Maryam Babangida Road, Asaba</t>
  </si>
  <si>
    <t>321C</t>
  </si>
  <si>
    <t>101F</t>
  </si>
  <si>
    <t>217A</t>
  </si>
  <si>
    <t>101S</t>
  </si>
  <si>
    <t>00090000010103</t>
  </si>
  <si>
    <t>320J</t>
  </si>
  <si>
    <t>uniforms</t>
  </si>
  <si>
    <t>105R</t>
  </si>
  <si>
    <t>321M</t>
  </si>
  <si>
    <t>323K</t>
  </si>
  <si>
    <t>Sapele Township Roads</t>
  </si>
  <si>
    <t>217M</t>
  </si>
  <si>
    <t>321E</t>
  </si>
  <si>
    <t>212F</t>
  </si>
  <si>
    <t>215B</t>
  </si>
  <si>
    <t>Construction of Omene Road, Sapele</t>
  </si>
  <si>
    <t>0214000000: Hon. Commissioner, Ministry of Housing</t>
  </si>
  <si>
    <t>Renovation and furnishing of 3nos bungalows at Permanent Government House Asaba</t>
  </si>
  <si>
    <t>00060000010109</t>
  </si>
  <si>
    <t>Renovation of Security Personnel/Transportation Building at the new Government House, Asaba.</t>
  </si>
  <si>
    <t>Renovation and Furnishing of Block10, Flat 20 at the Fine Homes Housing Estate, Asaba.</t>
  </si>
  <si>
    <t xml:space="preserve">Renovation and Furnishing of Block 6, Flat 1 at the Fine Homes Housing Estate </t>
  </si>
  <si>
    <t xml:space="preserve"> Renovation of Governor' Lodge, Completion of Pool Bar and Partitioning of an Office at the new Government House, Asaba.</t>
  </si>
  <si>
    <t>Equipping of kitching and servicing/supply of Air-Conditioners at the Governor's Lodge, Asaba.</t>
  </si>
  <si>
    <t>Renovation and Equipping of the Banquet Hall Kitchen at the new Government House, Asaba</t>
  </si>
  <si>
    <t>Construction/Completion of Gates House and Fence round the Swimming Pool/Squash Court, Landscapiing Work around the Pool and Lodge/Office, reactivation of Swimming Pool and other Minor Work at the New Government House,Asaba.</t>
  </si>
  <si>
    <t>Remodeling/Rehabilitation of Governor's Lodge, Abuja.</t>
  </si>
  <si>
    <t>427.</t>
  </si>
  <si>
    <t>Renovation of Secretary to the State Goververnment's Official Residence Guest House, Asaba.</t>
  </si>
  <si>
    <t>Renovation of chief of staff Quarters, Asaba.</t>
  </si>
  <si>
    <t>Renovation of Chief Job Creation Officer's official Residence,Asaba.</t>
  </si>
  <si>
    <t>Renovation and Furnishing of V.I.P. Guest Houses (Duplexes) 1,2,7,8 and the Renovation of Generator, Gate House and Fence at Extract Layout, CentralArea, Asaba.</t>
  </si>
  <si>
    <t>Renovation and Furnishing of V.I.P. Guest House (Duplex) 5 at Extract Layout Central Area, Asaba.</t>
  </si>
  <si>
    <t>Renovation and Furnishing of V.I.P.Guest Houses (Duplexes) 3, 4 and 6 at Exract Layout, Central Area, Asaba.</t>
  </si>
  <si>
    <t>Proposed residential development at the Governor's Lodge, Abuja.</t>
  </si>
  <si>
    <t>Renovation of V.I.P. Guest House 4 at the Government House, Asaba.</t>
  </si>
  <si>
    <t>Renovation of V.I.P. Guest House 6 at the Government House, Asaba.</t>
  </si>
  <si>
    <t>Renovation of V.I.P. Guest House 9 at the Government House, Asaba.</t>
  </si>
  <si>
    <t>Maintenance of Government House, Asaba</t>
  </si>
  <si>
    <t>Provision of Intercom System and the renovation of Gate House at the Honourable Commissions' Quarters, Asaba.</t>
  </si>
  <si>
    <t>Furnishing of V.I.P. Guest  Houses 2 at Government House, Asaba.</t>
  </si>
  <si>
    <t>Renovation of Block 2, Flat 4 at the former Speaker's Quarters off DLA Road, Asaba.</t>
  </si>
  <si>
    <t>Rehabilitation of Generator House at the Event Centre (Dome) Asaba.</t>
  </si>
  <si>
    <t>Renovation of Block10,Flat 20 at the Fine Home Housing Estate, Asaba.</t>
  </si>
  <si>
    <t>Furnishing of Deputy Governor's Office at the Old Government House, Asaba.</t>
  </si>
  <si>
    <t>Reconstruction of collapsed section of Fence and srtengthening of existing Fence at Government House.</t>
  </si>
  <si>
    <t>Development of New Central Secretariat Complex.</t>
  </si>
  <si>
    <t>Renovation of the official residence of the chairman (DSIEC), off DLA, Asaba.</t>
  </si>
  <si>
    <t>Renovation of the Official Quarters of the Head of Service</t>
  </si>
  <si>
    <t>Reconstruction of collapsed section of Fence 0f the Deputy Governor's Former Office allong DBS Road and Amendment of the roof leakages at the Deputy Governor's Office, Old Government House Asaba.</t>
  </si>
  <si>
    <t>Intallation of long range solar power security cameral (CCTV)  in the Hon. Commissioners Quarters &amp; VIP Guest Houses, Asaba</t>
  </si>
  <si>
    <t>Additional Renovation works at the Permanent Government House, Asaba.</t>
  </si>
  <si>
    <t>Minor repair of House 10 and repainting of the internal Fence of V.I.P Guest Houses at Asaba.</t>
  </si>
  <si>
    <t>Proposed rehabilitation of failed water scheme at the Government Housing Estate, Okwe, Asaba.</t>
  </si>
  <si>
    <t xml:space="preserve">Renovation/ Rehabilitation of Delta State Agricultura Procurement Agency (DAPA) Limited Warehouse, Agbor. </t>
  </si>
  <si>
    <t>Renovation of Deputy Governor's Lodge, Asaba.</t>
  </si>
  <si>
    <t>00060000010110</t>
  </si>
  <si>
    <t>Renovation/Maintanance of Government Quarters.</t>
  </si>
  <si>
    <t>Construction/Expansion/Maintainance of Government Offices</t>
  </si>
  <si>
    <t>Traditional Rulers Secretariat and Guest House. Asaba.</t>
  </si>
  <si>
    <t>Cunsultancy Service for Delta Towers Abuja.</t>
  </si>
  <si>
    <t>00022020705</t>
  </si>
  <si>
    <t>Construction of Governor's Office (New Government House) Asaba.</t>
  </si>
  <si>
    <t>Maintainance of Government House Asaba.</t>
  </si>
  <si>
    <t>Governor's Office Annex Warri.</t>
  </si>
  <si>
    <t>428.</t>
  </si>
  <si>
    <t>Constrution/Maintenance of V.I.P Guest Houses Asaba.</t>
  </si>
  <si>
    <t>00060000010105</t>
  </si>
  <si>
    <t>00150000010106</t>
  </si>
  <si>
    <t>00150000010107</t>
  </si>
  <si>
    <t>Road Markings in the State.</t>
  </si>
  <si>
    <t>Construction/Rehabilitation of jetties waiting sheds and landing stairs</t>
  </si>
  <si>
    <t>00150000030102</t>
  </si>
  <si>
    <t>School of Marine Technology</t>
  </si>
  <si>
    <t>Supply / Installation of Solar Traffic Lights at College of Education Junction, Agbor.</t>
  </si>
  <si>
    <t>Procurement of Computers for the Directorate</t>
  </si>
  <si>
    <t>00150000010108</t>
  </si>
  <si>
    <t>F217010000</t>
  </si>
  <si>
    <t>Construction of Burutu Township Roads.</t>
  </si>
  <si>
    <t>Construction of Burutu Township Roads phase II</t>
  </si>
  <si>
    <t>Rehabilitation &amp; Overlay of Irri College/Uzere junction Road.</t>
  </si>
  <si>
    <t>Rehabilitation &amp; Resurfacing of Obi-Opute II Road.</t>
  </si>
  <si>
    <t xml:space="preserve">Construction of N.C.C institute/State Owner-Occupiers Housing Estate/C.B.N Housing Estate Road. </t>
  </si>
  <si>
    <t>Construction of Burutu Township Road phase III.</t>
  </si>
  <si>
    <t>320P</t>
  </si>
  <si>
    <t>Opening of Roads</t>
  </si>
  <si>
    <t>Slum Infrastructural Upgrade / Urban Space Use Management.</t>
  </si>
  <si>
    <t>Law and Justice</t>
  </si>
  <si>
    <t>Purchase of Law books, Periodicals, etc.</t>
  </si>
  <si>
    <t xml:space="preserve">Furnishing of Zonal Offices </t>
  </si>
  <si>
    <t>Furnishing/Equiping of the Chambers of the Attorney-General and Honourable Commissioner for Justice</t>
  </si>
  <si>
    <t>Development of the Law Library</t>
  </si>
  <si>
    <t>Computerisation of Law Library</t>
  </si>
  <si>
    <t>Review of Delta State laws</t>
  </si>
  <si>
    <t>Annotation of Delta State Laws</t>
  </si>
  <si>
    <t>Fundamental/Child Rights Projects</t>
  </si>
  <si>
    <t>00050000030107</t>
  </si>
  <si>
    <t xml:space="preserve">Construction/Completion/Maintenance of High Courts and Magistrate Courts </t>
  </si>
  <si>
    <t>Completion of Courts in Oil Producing Areas</t>
  </si>
  <si>
    <t xml:space="preserve"> Construction of Magistrate Court at Okwagbe and Ewhu</t>
  </si>
  <si>
    <t>Construction of Magistrate Court, Erho-Abraka</t>
  </si>
  <si>
    <t>70330</t>
  </si>
  <si>
    <t>Construction of Magistrate Court at Uwheru</t>
  </si>
  <si>
    <t>Construction of Magistrate Court at Etua-Etiti Ndokwa West</t>
  </si>
  <si>
    <t>Rehabilitation of Courts</t>
  </si>
  <si>
    <t>Construction of Magistrate Court 1, Agbor</t>
  </si>
  <si>
    <t>Construction of Magistrate Court, Onicha-Ugbo</t>
  </si>
  <si>
    <t>209B</t>
  </si>
  <si>
    <t>Construction of Isoko South Area Customary Court, Oleh</t>
  </si>
  <si>
    <t>Construction of Uvwie Area Customary Court 2, Ugborikoko (External Work)</t>
  </si>
  <si>
    <t>108L</t>
  </si>
  <si>
    <t>Construction of Abavo District Customary Court, Abavo (External Work)</t>
  </si>
  <si>
    <t>Renovation and Maintenance of Judges Quarters</t>
  </si>
  <si>
    <t>Construction of Ika North East Area Customary Court 1, Owa Oyibu</t>
  </si>
  <si>
    <t>Purchase of Uniform and Raincoats</t>
  </si>
  <si>
    <t>Furnishing and computerization of Libraries of Customary Court of Appeal Asaba and Warri</t>
  </si>
  <si>
    <t>Law reports and Books</t>
  </si>
  <si>
    <t>Judges Robes and Wigs</t>
  </si>
  <si>
    <t>Furnishing of Judges and Hon. President's Quarters</t>
  </si>
  <si>
    <t>Purchase and Installation of Telephone and Inter-Communication equipment</t>
  </si>
  <si>
    <t>Computerization project</t>
  </si>
  <si>
    <t>Purchase Of Library Books &amp; Equipment</t>
  </si>
  <si>
    <t>Purchase of Utility Vehicle</t>
  </si>
  <si>
    <t>Regional Sector</t>
  </si>
  <si>
    <t>F401010000</t>
  </si>
  <si>
    <t>Delta State Oil Mineral Producing Commission</t>
  </si>
  <si>
    <t>00023050112</t>
  </si>
  <si>
    <t>Construction of Ambassador Leo Okogwu Road (From Onwuegbuzie Street Junction to Osuzoka Street in Zappa), Asaba, Oshimili South Local Government Area</t>
  </si>
  <si>
    <t>Rehabilitation and Asphalt Overlay of Jesus Saves Road (From Summit Road Junction to Onwuegbuzie Street Junction) and Onwuegbuzie Street (From Jesus Saves Road Junction to Nnebisi Road By Konwea Plaza), Asaba, Oshimili South Local Government Area</t>
  </si>
  <si>
    <t>Construction of Edwin Uzor Street with a Spur to Chukwudi Dafe Close, Off Asaba/Okpanam Road, Asaba, Oshimili South L.G.A.</t>
  </si>
  <si>
    <t>00023040102</t>
  </si>
  <si>
    <t>Social Sector</t>
  </si>
  <si>
    <t>00080000010101</t>
  </si>
  <si>
    <t>101J</t>
  </si>
  <si>
    <t>Youth Empowerment Programme</t>
  </si>
  <si>
    <t>Reference Library</t>
  </si>
  <si>
    <t>Establishment/Renovation of Zonal  offices.</t>
  </si>
  <si>
    <t xml:space="preserve"> Delta Traditional Rulers Secretariat and Guest House</t>
  </si>
  <si>
    <t>0504000000: Hon. Commissioner,  Ministry of Environment</t>
  </si>
  <si>
    <t>00023040106</t>
  </si>
  <si>
    <t>00090000010107</t>
  </si>
  <si>
    <t>00023040109</t>
  </si>
  <si>
    <t>00090000010104</t>
  </si>
  <si>
    <t>00090000010105</t>
  </si>
  <si>
    <t>00023040101</t>
  </si>
  <si>
    <t>00090000010101</t>
  </si>
  <si>
    <t>Development of Warri Stadium</t>
  </si>
  <si>
    <t>00032010213</t>
  </si>
  <si>
    <t>00080000020105</t>
  </si>
  <si>
    <t>Construction of Mini Stadium at Koko</t>
  </si>
  <si>
    <t>Construction of Asaba Shooting Range</t>
  </si>
  <si>
    <t>Maintenance of Warri Stadium</t>
  </si>
  <si>
    <t>Construction of Mini Stadium at Obiaruku</t>
  </si>
  <si>
    <t>00050000010102</t>
  </si>
  <si>
    <t>209F</t>
  </si>
  <si>
    <t>Construction of 1 No.6 classroom block with toilets and offices,  Ibada-Elume Grammar School, Elume, Ibada-Elume, Sapele</t>
  </si>
  <si>
    <t>104O</t>
  </si>
  <si>
    <t>Construction of 1 No. 6 classroom block with toilets and offices at Orhuwhorun High School, Orhuwhorun, Udu</t>
  </si>
  <si>
    <t>322L</t>
  </si>
  <si>
    <t>Renovation of 1 No. six (6) classroom block with offices and toilets at Egbele Primary School, Egbele-Elume and provision of 1,300 students’ and 162 teachers’ furniture in Sapele LGA.</t>
  </si>
  <si>
    <t>107I</t>
  </si>
  <si>
    <t>325J</t>
  </si>
  <si>
    <t>322K</t>
  </si>
  <si>
    <t>Supply of 350 Students’ and 100 Teachers’ Furniture at Aniocha South LGA.</t>
  </si>
  <si>
    <t>319O</t>
  </si>
  <si>
    <t>Supply of diaries, registers and instructional material to selected public schools in Delta State.</t>
  </si>
  <si>
    <t>Contract for the construction of block wall fence with reinforced strip foundation and ground beam and erection of school signpost with Delta State logo at Orhoakpor Secondary School, Orhoakpor, Ethiope East LGA.</t>
  </si>
  <si>
    <t>Renovation of laboratory block and Erection of standard school signboard (with the name of the school and the new State logo)   at Ukavbe Secondary School, Otefe, Oghara, Ethiope West LGA.</t>
  </si>
  <si>
    <t>Construction of a prototype 1No. Six (6) classroom block with stores and toilet facilities and Erection of State Government Branding uniform Project signboard at Uduaka Secondary School, Mosogar, Ethiope West LGA.</t>
  </si>
  <si>
    <t>211L</t>
  </si>
  <si>
    <t>Construction of Administrative block and Erection of State Government Branding uniform project signboard at Alihagu Secondary School, Alihagu, Ika South LGA.</t>
  </si>
  <si>
    <t>320T</t>
  </si>
  <si>
    <t>213R</t>
  </si>
  <si>
    <t>103I</t>
  </si>
  <si>
    <t>215A</t>
  </si>
  <si>
    <t>Renovation/rehabilitation of 1 No.9 classroom block, 1 No. 6 classroom with offices and toilet facilities, 1 No.4 classroom block with offices and toilet facilities, 1No.3 classroom block, 1No. Examination hall and 1No.4 laboratory block with offices and toilet facilities at Aladja Secondary School, Aladja, Udu LGA.</t>
  </si>
  <si>
    <t>Renovation/rehabilitation of 1No.6 classroom block, erection of standard school sign post (with the name of the school and the State logo) at Adagwe Secondary School, Erhuemukowharien, construction of 1No.6 classroom block with offices, supply of 250 students’ and 32 teachers’ furniture, supply of science equipment, erection of standard school signpost (with the name of the school and the State logo) at Oguname Secondary School, Agbarho, construction of 1No.6 classroom block with offices and erection of standard school signpost (with the name of the school and the State logo) at Odja Primary School, Uwheru, Ughelli North Constituency II.</t>
  </si>
  <si>
    <t>106R</t>
  </si>
  <si>
    <t>217C</t>
  </si>
  <si>
    <t>324N</t>
  </si>
  <si>
    <t>Construction/Upgrade of St. Theresa's College, Ughelli.</t>
  </si>
  <si>
    <t>F506011300</t>
  </si>
  <si>
    <t>Purchase of office equipment</t>
  </si>
  <si>
    <t>Purchase of generator set</t>
  </si>
  <si>
    <t>Refurbishment of vehicles</t>
  </si>
  <si>
    <t>F506011200</t>
  </si>
  <si>
    <t>Counterpart Fund for SUBEB</t>
  </si>
  <si>
    <t>00022020630</t>
  </si>
  <si>
    <t>Construction of Faculty of the Environmental Science, Delta State University, Anwai Campus</t>
  </si>
  <si>
    <t>Construction of Multipurpose Lecture Theatre at DELSU, Abraka</t>
  </si>
  <si>
    <t>Establishment of Library at Asaba and Sapele</t>
  </si>
  <si>
    <t>Establishment of Library at Kokori</t>
  </si>
  <si>
    <t>Development of Polytechnics</t>
  </si>
  <si>
    <t>Auditorium at Ogwashi-Uku Polytechnic</t>
  </si>
  <si>
    <t>Establishment of Library at Patani</t>
  </si>
  <si>
    <t>Faculty of Management Science Building</t>
  </si>
  <si>
    <t>Inter-Institutional Games</t>
  </si>
  <si>
    <t>Development of Colleges</t>
  </si>
  <si>
    <t>National Open University of Nigeria (NOUN)</t>
  </si>
  <si>
    <t>Purchase of Uniforms and other Utilities</t>
  </si>
  <si>
    <t>Equipping of Library and Registry</t>
  </si>
  <si>
    <t>Auditorium at Ozoro Polytechnic</t>
  </si>
  <si>
    <t>0508000000: Hon. Commissioner, Min of Health</t>
  </si>
  <si>
    <t xml:space="preserve">Renovation and completion of Primary Health Care Centres </t>
  </si>
  <si>
    <t>Diseases Control (Control and management of infectious disease outbreaks)</t>
  </si>
  <si>
    <t>State Strategic Health Development Plan</t>
  </si>
  <si>
    <t>00023050121</t>
  </si>
  <si>
    <t>TB control activites</t>
  </si>
  <si>
    <t>Neglected Tropical Diseases</t>
  </si>
  <si>
    <t>00040000020106</t>
  </si>
  <si>
    <t>Delta State Agency for Control of HIV/Aids (SACA)</t>
  </si>
  <si>
    <t>00040000020102</t>
  </si>
  <si>
    <t>Delta State Contributory Health Commission</t>
  </si>
  <si>
    <t>Provision of Medical Equipment for Hospitals &amp; Health Institution</t>
  </si>
  <si>
    <t>00032010307</t>
  </si>
  <si>
    <t>Health Services Research and Health Statistical Information</t>
  </si>
  <si>
    <t>00040000010108</t>
  </si>
  <si>
    <t>Maintenance of Hospitals Equipment</t>
  </si>
  <si>
    <t>Promotion of Traditional Medicine</t>
  </si>
  <si>
    <t>Develoment of other Health Institutions - School  of Nursing Warri, Agbor etc.</t>
  </si>
  <si>
    <t>Construction and equipping of Secretariat Staff Clinic</t>
  </si>
  <si>
    <t>State Primary Health Care Development Agency</t>
  </si>
  <si>
    <t>Development of School of Health Technology, Ufuoma, Ughelli</t>
  </si>
  <si>
    <t>Construction of Delta State Specialist Hospital, Oghara</t>
  </si>
  <si>
    <t>Construction of Kidney/Dialysis Centre at Specialist Hospital, Oghara</t>
  </si>
  <si>
    <t>Delta State Specialist Hospital Library, Oghara</t>
  </si>
  <si>
    <t>Equipping of Delta State Specialist Hospital, Oghara</t>
  </si>
  <si>
    <t xml:space="preserve">Upgrading of Four Central Hospitals to Specialist Hospitals at Warri, Ughelli, Agbor, and Sapele </t>
  </si>
  <si>
    <t>Emergency Response System/Procurement and Installation of Radio communication equipment for all Central/General Hospitals in the state</t>
  </si>
  <si>
    <t>Hospitals Management Board</t>
  </si>
  <si>
    <t>Remodeling and Rehabilitation of Eku Baptist  Hospital, Eku</t>
  </si>
  <si>
    <t>Supply of Medical Equipment to Okwe General Hospital, Okwe</t>
  </si>
  <si>
    <t>216D</t>
  </si>
  <si>
    <t>Construction of Trauma Centre, Agbor</t>
  </si>
  <si>
    <t>212B</t>
  </si>
  <si>
    <t>Maternal and Childcare Centre, Warri &amp; Ekpan</t>
  </si>
  <si>
    <t>Nutrition</t>
  </si>
  <si>
    <t>Immunization Activities, cold chain management</t>
  </si>
  <si>
    <t>Human Resources on Health (HRH)</t>
  </si>
  <si>
    <t>00040000020104</t>
  </si>
  <si>
    <t>Nigerian Institute for Medical Research (NIMR)</t>
  </si>
  <si>
    <t xml:space="preserve">Reproductive Health Programme </t>
  </si>
  <si>
    <t>HIV Control, Public Laboratory Centre (SASCP)</t>
  </si>
  <si>
    <t>National Health Accounts (NHA)</t>
  </si>
  <si>
    <t>Supply of Medical Waste incinerators to Hospitals and Health Centres</t>
  </si>
  <si>
    <t>Family Planning</t>
  </si>
  <si>
    <t>HEFAD Medical Outreaches</t>
  </si>
  <si>
    <t>National and State Councils on Health for Hosting</t>
  </si>
  <si>
    <t>00022021048</t>
  </si>
  <si>
    <t>Control of Drug Abuse/Task Force/Creation of Rehabilitation Centres across the state</t>
  </si>
  <si>
    <t>Malaria Elimination Activities</t>
  </si>
  <si>
    <t>School Health Programs</t>
  </si>
  <si>
    <t>00022020617</t>
  </si>
  <si>
    <t>E- Health Activities</t>
  </si>
  <si>
    <t>Logistics Management Coordinating Unit (LMCU)</t>
  </si>
  <si>
    <t>00040000010107</t>
  </si>
  <si>
    <t>Fencing of Orere Health Centre, Orere, Ewu in Ughelli South LGA</t>
  </si>
  <si>
    <t>107A</t>
  </si>
  <si>
    <t>Construction of Maternity/Health Centre Otibio, Owhe</t>
  </si>
  <si>
    <t>BUSINESS AREA</t>
  </si>
  <si>
    <t xml:space="preserve">0119000000: Office of the Chairman </t>
  </si>
  <si>
    <t>00220000010109</t>
  </si>
  <si>
    <t>00220000010105</t>
  </si>
  <si>
    <t>00220000010104</t>
  </si>
  <si>
    <t>00220000010115</t>
  </si>
  <si>
    <t>00220000010106</t>
  </si>
  <si>
    <t>00220000010108</t>
  </si>
  <si>
    <t>00220000010102</t>
  </si>
  <si>
    <t>00220000010110</t>
  </si>
  <si>
    <t>00220000010103</t>
  </si>
  <si>
    <t>00220000010113</t>
  </si>
  <si>
    <t>00220000010101</t>
  </si>
  <si>
    <t>00022020501</t>
  </si>
  <si>
    <t>F205010400</t>
  </si>
  <si>
    <t>00022021073</t>
  </si>
  <si>
    <t>00080000020102</t>
  </si>
  <si>
    <t>00070000010109</t>
  </si>
  <si>
    <t>00070000010107</t>
  </si>
  <si>
    <t>F506010700</t>
  </si>
  <si>
    <t>00070000010111</t>
  </si>
  <si>
    <t>00070000010106</t>
  </si>
  <si>
    <t>Consruction/Provision Of Water Access</t>
  </si>
  <si>
    <t>Governor's Lodge, Abuja</t>
  </si>
  <si>
    <t>furnishing and Equiping of Governor's Lodge Lagos and VIP Guest House</t>
  </si>
  <si>
    <t>Governor's Office, Annex, Warri</t>
  </si>
  <si>
    <t>Governor's Lodge, Warri</t>
  </si>
  <si>
    <t>Deputy Governor's Lodge, Abuja</t>
  </si>
  <si>
    <t>Liasion Office, Abuja</t>
  </si>
  <si>
    <t>00210000010107</t>
  </si>
  <si>
    <t>00210000010105</t>
  </si>
  <si>
    <t>00210000010106</t>
  </si>
  <si>
    <t>00220000010112</t>
  </si>
  <si>
    <t>00010000030105</t>
  </si>
  <si>
    <t>Approved Budget 2019</t>
  </si>
  <si>
    <t>Renovation of Zonal Offices</t>
  </si>
  <si>
    <t>Establishment of /Rehabilitation of Zonal offices</t>
  </si>
  <si>
    <t>Purchase of Computer</t>
  </si>
  <si>
    <t>Installation of Telephone/Data services</t>
  </si>
  <si>
    <t>Construction of Agbor Zonal Office</t>
  </si>
  <si>
    <t>00023040107</t>
  </si>
  <si>
    <t>Stadium Development</t>
  </si>
  <si>
    <t>Development of Sapele Stadium</t>
  </si>
  <si>
    <t>Construction of Mini Stadium at Issele-Uku</t>
  </si>
  <si>
    <t>Stadia Facilities</t>
  </si>
  <si>
    <t>Construction of Swimming Pool at Oghara</t>
  </si>
  <si>
    <t>Provision of Marcopolo and Coaster Buses</t>
  </si>
  <si>
    <t>Establishment of Mini Gymnasium including Equipment in Asaba Township Stadium</t>
  </si>
  <si>
    <t>Public Address System in Sapele Stadium</t>
  </si>
  <si>
    <t>Maintenance of Stadia</t>
  </si>
  <si>
    <t>Construction of Squash Court in Warri Stadium</t>
  </si>
  <si>
    <t>Construction of Mini Stadium at Orerokpe</t>
  </si>
  <si>
    <t>Agbor Mini Sports Arena</t>
  </si>
  <si>
    <t>Ibusa Mini Sports Arena</t>
  </si>
  <si>
    <t>Procurement of equipment for Ibori Golf Course, Asaba</t>
  </si>
  <si>
    <t>Renovation of Oleh Stadium, Oleh</t>
  </si>
  <si>
    <t>Renovation of Oghara Stadium</t>
  </si>
  <si>
    <t>00031050208</t>
  </si>
  <si>
    <t>Costruction of Transit Home for Disabled Persons, Asaba</t>
  </si>
  <si>
    <t>Building of Residential Accomodation for Ex-Lepers at Eku</t>
  </si>
  <si>
    <t>Construction of Creche at New Secretariat, Asaba</t>
  </si>
  <si>
    <t>Constuction of 3 Recretional Centres for the Elderly in each senatorial district</t>
  </si>
  <si>
    <t>Centre for Physically Challenged, Asaba</t>
  </si>
  <si>
    <t>Children Home, Asaba</t>
  </si>
  <si>
    <t>Building/Equiping of Nursery School, Asaba</t>
  </si>
  <si>
    <t>Community Develoment Daycare Centres</t>
  </si>
  <si>
    <t>General Renovation and Procurement of Equipment at Daycare Centre Sapele</t>
  </si>
  <si>
    <t>Fencing and Equiping of Ogwashi-Uku Daycare Centre</t>
  </si>
  <si>
    <t>Renovation and Furnishing of Daycare Centre, Obiaruku</t>
  </si>
  <si>
    <t xml:space="preserve">Fencing and Equipping of Daycare Centres at Otefe and Oghara </t>
  </si>
  <si>
    <t>General Renovations and Furniture at Centre for Community Development Education, Otorhor Abraka</t>
  </si>
  <si>
    <t>Citizenship and Leadrship training Centre, Ewulu</t>
  </si>
  <si>
    <t>Purchase of Office Furniture and Equipment</t>
  </si>
  <si>
    <t xml:space="preserve">Uniform for Drivers, inmates and messengers </t>
  </si>
  <si>
    <t>Computerazation of the office</t>
  </si>
  <si>
    <t>Renovation of Women Development Centre, Agbor</t>
  </si>
  <si>
    <t>00170000010104</t>
  </si>
  <si>
    <t>00170000010106</t>
  </si>
  <si>
    <t>00170000010105</t>
  </si>
  <si>
    <t>00170000010110</t>
  </si>
  <si>
    <t>0060000010108</t>
  </si>
  <si>
    <t>'0060000010108</t>
  </si>
  <si>
    <t>00031050211</t>
  </si>
  <si>
    <t>00031050209</t>
  </si>
  <si>
    <t>00031050401</t>
  </si>
  <si>
    <t>00031050418</t>
  </si>
  <si>
    <t/>
  </si>
  <si>
    <t>00031050411</t>
  </si>
  <si>
    <t>00031050415</t>
  </si>
  <si>
    <t>00031050427</t>
  </si>
  <si>
    <t>00031050408</t>
  </si>
  <si>
    <t>00031050424</t>
  </si>
  <si>
    <t>00031050426</t>
  </si>
  <si>
    <t>00031050405</t>
  </si>
  <si>
    <t>00031050410</t>
  </si>
  <si>
    <t>00031050425</t>
  </si>
  <si>
    <t>00031050404</t>
  </si>
  <si>
    <t>000'31050207</t>
  </si>
  <si>
    <t>00031050421</t>
  </si>
  <si>
    <t>00031050403</t>
  </si>
  <si>
    <t>00031050402</t>
  </si>
  <si>
    <t>00031050406</t>
  </si>
  <si>
    <t>00031050420</t>
  </si>
  <si>
    <t>00031050409</t>
  </si>
  <si>
    <t>'00031050207</t>
  </si>
  <si>
    <t>Partitioning of Office Accomodation for DESTMA</t>
  </si>
  <si>
    <t>5</t>
  </si>
  <si>
    <t>Proposed 2020 Budget</t>
  </si>
  <si>
    <t>Approved 2019 Budget</t>
  </si>
  <si>
    <t>Budget Code</t>
  </si>
  <si>
    <t>Total</t>
  </si>
  <si>
    <t>Warri, Uvwie &amp; Environs Development Agency</t>
  </si>
  <si>
    <t>Item</t>
  </si>
  <si>
    <t>2019 Approved Budget</t>
  </si>
  <si>
    <t>Opening Balance</t>
  </si>
  <si>
    <t>Recurrent Revenue</t>
  </si>
  <si>
    <t>Statutory Allocation</t>
  </si>
  <si>
    <t>Net Derivation</t>
  </si>
  <si>
    <t>VAT</t>
  </si>
  <si>
    <t>Internal Revenue</t>
  </si>
  <si>
    <t>Other Federation Account</t>
  </si>
  <si>
    <t>Recurrent Expenditure</t>
  </si>
  <si>
    <t>Personnel</t>
  </si>
  <si>
    <t>Overheads/OperationalCost</t>
  </si>
  <si>
    <t>Transfer to Capital Development</t>
  </si>
  <si>
    <t>Capital Receipts</t>
  </si>
  <si>
    <t>Grants</t>
  </si>
  <si>
    <t>Loans</t>
  </si>
  <si>
    <t>Other Capital Receipts</t>
  </si>
  <si>
    <t xml:space="preserve">Capital Expenditure </t>
  </si>
  <si>
    <t xml:space="preserve">Total Revenue </t>
  </si>
  <si>
    <t xml:space="preserve">Total Expenditure </t>
  </si>
  <si>
    <t>Surplus / Deficit</t>
  </si>
  <si>
    <t>CAPITAL</t>
  </si>
  <si>
    <t>Economic</t>
  </si>
  <si>
    <t>Law &amp;Justice</t>
  </si>
  <si>
    <t>Regional</t>
  </si>
  <si>
    <t>Social</t>
  </si>
  <si>
    <t>Contingency</t>
  </si>
  <si>
    <t>Grand Total</t>
  </si>
  <si>
    <t>Delta State Government 2020 Proposed Budget Summary</t>
  </si>
  <si>
    <t xml:space="preserve">DELTA PRINTING AND PUBLISHING COMPANY LTD </t>
  </si>
  <si>
    <t>Maintenance of Ministry of Information website and communication</t>
  </si>
  <si>
    <t>0123200001</t>
  </si>
  <si>
    <t>0123200002</t>
  </si>
  <si>
    <t>0123200003</t>
  </si>
  <si>
    <t>0123200004</t>
  </si>
  <si>
    <t>0123200005</t>
  </si>
  <si>
    <t>0123200006</t>
  </si>
  <si>
    <t>0123200007</t>
  </si>
  <si>
    <t>0123200008</t>
  </si>
  <si>
    <t>0123200009</t>
  </si>
  <si>
    <t>0123200010</t>
  </si>
  <si>
    <t>0123200011</t>
  </si>
  <si>
    <t>0123200012</t>
  </si>
  <si>
    <t>S/N</t>
  </si>
  <si>
    <t>MDAs</t>
  </si>
  <si>
    <t>CAP LIMIT</t>
  </si>
  <si>
    <t>PROPOSED PROVISION AS CAPTURED IN THE BUDGET.</t>
  </si>
  <si>
    <t>1</t>
  </si>
  <si>
    <t>2</t>
  </si>
  <si>
    <t>3</t>
  </si>
  <si>
    <t>4</t>
  </si>
  <si>
    <t>6</t>
  </si>
  <si>
    <t>7</t>
  </si>
  <si>
    <t>8</t>
  </si>
  <si>
    <t>9</t>
  </si>
  <si>
    <t>10</t>
  </si>
  <si>
    <t>11</t>
  </si>
  <si>
    <t>12</t>
  </si>
  <si>
    <t>13</t>
  </si>
  <si>
    <t>14</t>
  </si>
  <si>
    <t>15</t>
  </si>
  <si>
    <t>16</t>
  </si>
  <si>
    <t>17</t>
  </si>
  <si>
    <t>MIN. INFORMATION</t>
  </si>
  <si>
    <t>426</t>
  </si>
  <si>
    <t>MEP INTERVENTION</t>
  </si>
  <si>
    <t>Librarary</t>
  </si>
  <si>
    <t>0111820001</t>
  </si>
  <si>
    <t>0111820002</t>
  </si>
  <si>
    <t>0111820003</t>
  </si>
  <si>
    <t>0111820004</t>
  </si>
  <si>
    <t>MDA</t>
  </si>
  <si>
    <t>Total Capital Expenditure</t>
  </si>
  <si>
    <t>2019 CAP LIMIT</t>
  </si>
  <si>
    <t>2020 PROPOSED CAP LIMIT</t>
  </si>
  <si>
    <t>%</t>
  </si>
  <si>
    <t>ALLOCATED</t>
  </si>
  <si>
    <t>TOTAL</t>
  </si>
  <si>
    <t>Macro-Economic Framework</t>
  </si>
  <si>
    <t>Directorate of Government House</t>
  </si>
  <si>
    <t>Deputy Governor’s Office</t>
  </si>
  <si>
    <t>National Inflation</t>
  </si>
  <si>
    <t>Delta State Capital Territory</t>
  </si>
  <si>
    <t>National Real GDP Growth</t>
  </si>
  <si>
    <t>State Emergency Management Agency</t>
  </si>
  <si>
    <t>State Inflation</t>
  </si>
  <si>
    <t>Direct Labour Agency</t>
  </si>
  <si>
    <t>State Real GDP Growth</t>
  </si>
  <si>
    <t>State GDP Actual</t>
  </si>
  <si>
    <t>Oil Production Benchmark (MBPD)</t>
  </si>
  <si>
    <t>Directorate of Cabinet and Administration</t>
  </si>
  <si>
    <t>Oil Price Benchmark</t>
  </si>
  <si>
    <t>Delta State Pension Bureau</t>
  </si>
  <si>
    <t>NGN:USD Exchange Rate</t>
  </si>
  <si>
    <t>Local Government Pension Bureau</t>
  </si>
  <si>
    <t>Other Assumptions</t>
  </si>
  <si>
    <t>Bureau of Special Duties Hqtrs</t>
  </si>
  <si>
    <t>Mineral Ratio</t>
  </si>
  <si>
    <t>Directorate of Establishment and Pension</t>
  </si>
  <si>
    <t>Fiscal Framework</t>
  </si>
  <si>
    <t>Directorate of Political and Security</t>
  </si>
  <si>
    <t>State House of Assembly</t>
  </si>
  <si>
    <t>House of Assembly Commission</t>
  </si>
  <si>
    <t>Ministry of Information Main</t>
  </si>
  <si>
    <t>IGR</t>
  </si>
  <si>
    <t>18</t>
  </si>
  <si>
    <t>Office of the Head of Service</t>
  </si>
  <si>
    <t>Excess Crude / Other Revenue</t>
  </si>
  <si>
    <t>19</t>
  </si>
  <si>
    <t>Office of the Auditor General State</t>
  </si>
  <si>
    <t>Total Recurrent Revenue</t>
  </si>
  <si>
    <t>20</t>
  </si>
  <si>
    <t>Office of the Auditor General Local Government</t>
  </si>
  <si>
    <t>21</t>
  </si>
  <si>
    <t>Civil Service Commission</t>
  </si>
  <si>
    <t>22</t>
  </si>
  <si>
    <t>Local Government Service Commission</t>
  </si>
  <si>
    <t>Social Benefits/Pub Debt Service</t>
  </si>
  <si>
    <t>23</t>
  </si>
  <si>
    <t>Delta State Independent Electoral Commission</t>
  </si>
  <si>
    <t>24</t>
  </si>
  <si>
    <t>Overheads</t>
  </si>
  <si>
    <t>25</t>
  </si>
  <si>
    <t>26</t>
  </si>
  <si>
    <t>Office of the Accountant General</t>
  </si>
  <si>
    <t>27</t>
  </si>
  <si>
    <t>Board of Internal Revenue</t>
  </si>
  <si>
    <t>Transfer to Capital Account</t>
  </si>
  <si>
    <t>28</t>
  </si>
  <si>
    <t>Ministry of Trade and Investment</t>
  </si>
  <si>
    <t>29</t>
  </si>
  <si>
    <t>30</t>
  </si>
  <si>
    <t>31</t>
  </si>
  <si>
    <t>32</t>
  </si>
  <si>
    <t>Rural Development Agency</t>
  </si>
  <si>
    <t>33</t>
  </si>
  <si>
    <t>34</t>
  </si>
  <si>
    <t>Ministry of Works Hqtrs</t>
  </si>
  <si>
    <t>Reserves</t>
  </si>
  <si>
    <t>35</t>
  </si>
  <si>
    <t>Contingency Reserve</t>
  </si>
  <si>
    <t>36</t>
  </si>
  <si>
    <t>Planning Reserve</t>
  </si>
  <si>
    <t>37</t>
  </si>
  <si>
    <t>Total Reserves</t>
  </si>
  <si>
    <t>38</t>
  </si>
  <si>
    <t>39</t>
  </si>
  <si>
    <t>40</t>
  </si>
  <si>
    <t>Capital Expenditure</t>
  </si>
  <si>
    <t>41</t>
  </si>
  <si>
    <t>Ministry of Urban Renewal</t>
  </si>
  <si>
    <t>Discretional Funds</t>
  </si>
  <si>
    <t>42</t>
  </si>
  <si>
    <t>Judiciary Service Commission</t>
  </si>
  <si>
    <t>Non-Discretional Funds</t>
  </si>
  <si>
    <t>43</t>
  </si>
  <si>
    <t>High Court of Justice</t>
  </si>
  <si>
    <t>44</t>
  </si>
  <si>
    <t>Customary Court of Appeal</t>
  </si>
  <si>
    <t>Net Financing</t>
  </si>
  <si>
    <t>45</t>
  </si>
  <si>
    <t>46</t>
  </si>
  <si>
    <t>47</t>
  </si>
  <si>
    <t>Ministry of Women Affairs and Social Development</t>
  </si>
  <si>
    <t>48</t>
  </si>
  <si>
    <t>Ministry of Basic and Secondary Education</t>
  </si>
  <si>
    <t>49</t>
  </si>
  <si>
    <t>Ministry of Higher Education</t>
  </si>
  <si>
    <t>50</t>
  </si>
  <si>
    <t>51</t>
  </si>
  <si>
    <t>52</t>
  </si>
  <si>
    <t>Waste Management Board</t>
  </si>
  <si>
    <t>53</t>
  </si>
  <si>
    <t>Delta State Sports Commission</t>
  </si>
  <si>
    <t>54</t>
  </si>
  <si>
    <t>Directorate of Local Government</t>
  </si>
  <si>
    <t>55</t>
  </si>
  <si>
    <t>Directorate of Chieftaincy Affairs</t>
  </si>
  <si>
    <t>DESCRIPTION</t>
  </si>
  <si>
    <t>i</t>
  </si>
  <si>
    <t xml:space="preserve">THIS AMOUNT WAS DERIVED FROM OUTSTANDING COMMITMENT FROM YEARS 2015 - 2018 AS ALREADY CAPTURED IN THE PROPOSED 2019 BUDGET. THE AMOUNT WAS DERIVED BY TAKING 100%  OF ALL 2015 &amp; 2016 COMMITMENTS, 60% OF TOTAL COMMITMENT WAS TAKEN FOR 2017 AND 40% WAS TAKEN FOR 2018. </t>
  </si>
  <si>
    <t>ii</t>
  </si>
  <si>
    <t>WARRI UVWIE &amp; ENVIRONS DEVELOPMENT AGENCY</t>
  </si>
  <si>
    <t>iii</t>
  </si>
  <si>
    <t xml:space="preserve">HE INTERVENTION FUND </t>
  </si>
  <si>
    <t>iv</t>
  </si>
  <si>
    <t>v</t>
  </si>
  <si>
    <t>SPECIAL PROJECTS FOR HCs / SAs</t>
  </si>
  <si>
    <t xml:space="preserve">vi </t>
  </si>
  <si>
    <t>DTHA CONSTITUENCY PROJECT</t>
  </si>
  <si>
    <t>vii</t>
  </si>
  <si>
    <t>DESOPADEC</t>
  </si>
  <si>
    <t>viii</t>
  </si>
  <si>
    <t>LEGACY /OLD DEBT</t>
  </si>
  <si>
    <t>ix</t>
  </si>
  <si>
    <t>COUNTERPART FUND (MEP)</t>
  </si>
  <si>
    <t>x</t>
  </si>
  <si>
    <t>COUNTERPART FUND (SUBEB)</t>
  </si>
  <si>
    <t>xi</t>
  </si>
  <si>
    <t>PRIMARY HEALTH CARE</t>
  </si>
  <si>
    <t>xii</t>
  </si>
  <si>
    <t>COMMUNITY DEVELOMENT</t>
  </si>
  <si>
    <t>xiii</t>
  </si>
  <si>
    <t>SOCIAL SECURITY</t>
  </si>
  <si>
    <t>xiv</t>
  </si>
  <si>
    <t>MICRO CREDIT</t>
  </si>
  <si>
    <t>xv</t>
  </si>
  <si>
    <t>Directorate Youth Mentoring and Monitoring</t>
  </si>
  <si>
    <t>AVAILABLE FOR CAP DISTRIBUTION</t>
  </si>
  <si>
    <t>TOTAL CAPEX</t>
  </si>
  <si>
    <t>TOTAL RECURRENT</t>
  </si>
  <si>
    <t>TOTAL 2020 BUDGET</t>
  </si>
  <si>
    <t>BUREAU FOR LG PENSION</t>
  </si>
  <si>
    <t>Purchase of Office Equipmnt</t>
  </si>
  <si>
    <t>Purchase of Office Computers</t>
  </si>
  <si>
    <t>0111820005</t>
  </si>
  <si>
    <t>0111220001</t>
  </si>
  <si>
    <t>0111220002</t>
  </si>
  <si>
    <t>0111220003</t>
  </si>
  <si>
    <t>0111220004</t>
  </si>
  <si>
    <t>0111220005</t>
  </si>
  <si>
    <t xml:space="preserve">Directorate of Cabinet and Administration </t>
  </si>
  <si>
    <t>Bureau of Local Government Pensions</t>
  </si>
  <si>
    <t>Chairman, Civil Service Commission</t>
  </si>
  <si>
    <t>Minor Works(i)Headquarter Offices(ii) Renovation of Dilapidated Produce Office Building, Warri.</t>
  </si>
  <si>
    <t>0111720001</t>
  </si>
  <si>
    <t>0111720002</t>
  </si>
  <si>
    <t>0111720003</t>
  </si>
  <si>
    <t>0111720004</t>
  </si>
  <si>
    <t>0111720005</t>
  </si>
  <si>
    <t>0111720006</t>
  </si>
  <si>
    <t xml:space="preserve">Job Creation Office </t>
  </si>
  <si>
    <t>0'111920001</t>
  </si>
  <si>
    <t>Job Creation Programmes</t>
  </si>
  <si>
    <t>JOB CREATION OFFICE</t>
  </si>
  <si>
    <t>AGRO-INDUSTRIALPARK</t>
  </si>
  <si>
    <t>TO FULLY TAKE-OFF</t>
  </si>
  <si>
    <t>Ministry of Trade &amp; Investment</t>
  </si>
  <si>
    <t>Director Of Establishment &amp; Pension</t>
  </si>
  <si>
    <t>Equipment for Staff Training Centre</t>
  </si>
  <si>
    <t>Development of Staff Training Centre</t>
  </si>
  <si>
    <t>0'111520001</t>
  </si>
  <si>
    <t>0'111520002</t>
  </si>
  <si>
    <t>0'111520003</t>
  </si>
  <si>
    <t>0'111520004</t>
  </si>
  <si>
    <t>0'111520005</t>
  </si>
  <si>
    <t>0'111520006</t>
  </si>
  <si>
    <t>0'111520007</t>
  </si>
  <si>
    <t>0'111520008</t>
  </si>
  <si>
    <t>0'111520009</t>
  </si>
  <si>
    <t>0'111520010</t>
  </si>
  <si>
    <t>0'111520011</t>
  </si>
  <si>
    <t>Oil Palm Small Holder Scheme</t>
  </si>
  <si>
    <t>Delta State Agricultural Procurement Agency</t>
  </si>
  <si>
    <t>Purchase of Safety Equipment and Gadgets</t>
  </si>
  <si>
    <t>Procurement of 100 KVA Electricity Generating Set</t>
  </si>
  <si>
    <t>Purchase of 1 No. Project Vehicle</t>
  </si>
  <si>
    <t>Renovation of Veterinary Clinics, Ogwashi-Uku</t>
  </si>
  <si>
    <t>Crop Protection Improvement Programme: Renovation, Rehabilitation and Security of the Agricultural Research Station, Obior</t>
  </si>
  <si>
    <t>Agro-Statistics and Data Bank: Upgrading of Data Bank and Users Proficiency</t>
  </si>
  <si>
    <t>Agricultural Survey: Annual Survey for the update of Agro-Statistical Data  Survey</t>
  </si>
  <si>
    <t>Small Non-Ruminant Development: Training on Small Non- Ruminant  Farming</t>
  </si>
  <si>
    <t>Fisheries Surveillance and Direct Assistance to Fishermen: Awareness and advocacy on ecosystem approach to sustainable fisheries</t>
  </si>
  <si>
    <t>Produce Inspection Equipment and Chemicals: Purchase of Produce Inspection Equipment and Chemicals for Area Produce Offices and Users Proficiency Skills.</t>
  </si>
  <si>
    <t>Planning Monitoring and Evaluation of Agricultural Projects: Equipping of the Monitoring and Evaluation Unit in PRS Department with Equipments</t>
  </si>
  <si>
    <t>Equipping of Laboratories in three (3) Veterinary Clinics across the State</t>
  </si>
  <si>
    <t>Statewide Administration of Rabies and PPR Vaccines allocated to Delta State</t>
  </si>
  <si>
    <t>Poultry Development</t>
  </si>
  <si>
    <t>Oil Palm Company</t>
  </si>
  <si>
    <t xml:space="preserve">Renovation of roof for 14 Unit (4mx6m) fish ponds, repair of 2 generator sets and water pumping machine at Owhelogbo </t>
  </si>
  <si>
    <t>0318420001</t>
  </si>
  <si>
    <t>0318420002</t>
  </si>
  <si>
    <t>0318420003</t>
  </si>
  <si>
    <t>0318420004</t>
  </si>
  <si>
    <t>0318420005</t>
  </si>
  <si>
    <t>0318420006</t>
  </si>
  <si>
    <t>0318420007</t>
  </si>
  <si>
    <t>0318420008</t>
  </si>
  <si>
    <t>0215020002</t>
  </si>
  <si>
    <t>0215020004</t>
  </si>
  <si>
    <t>0215020005</t>
  </si>
  <si>
    <t>0215020006</t>
  </si>
  <si>
    <t>0215020008</t>
  </si>
  <si>
    <t>0215020009</t>
  </si>
  <si>
    <t>0215020010</t>
  </si>
  <si>
    <t>0215020012</t>
  </si>
  <si>
    <t>0215020013</t>
  </si>
  <si>
    <t>0215020014</t>
  </si>
  <si>
    <t>0215020015</t>
  </si>
  <si>
    <t>0215020017</t>
  </si>
  <si>
    <t>0215020019</t>
  </si>
  <si>
    <t>0215020020</t>
  </si>
  <si>
    <t>0215020022</t>
  </si>
  <si>
    <t>0215020023</t>
  </si>
  <si>
    <t>0215020024</t>
  </si>
  <si>
    <t>0215020025</t>
  </si>
  <si>
    <t>0215020026</t>
  </si>
  <si>
    <t>0215020028</t>
  </si>
  <si>
    <t>0215020029</t>
  </si>
  <si>
    <t>0215020030</t>
  </si>
  <si>
    <t>0215020031</t>
  </si>
  <si>
    <t>0'111220001</t>
  </si>
  <si>
    <t>0'111220002</t>
  </si>
  <si>
    <t>0'111220003</t>
  </si>
  <si>
    <t>0'111220004</t>
  </si>
  <si>
    <t>0'111220005</t>
  </si>
  <si>
    <t xml:space="preserve">Office Equipment </t>
  </si>
  <si>
    <t>Bureau for State Orientation</t>
  </si>
  <si>
    <t>State Bureau for Orientation</t>
  </si>
  <si>
    <t>Bureau for Special Duties</t>
  </si>
  <si>
    <t>0123120001</t>
  </si>
  <si>
    <t>Ministry of Environment</t>
  </si>
  <si>
    <t>Directorate of Local Government Affairs</t>
  </si>
  <si>
    <t>0551200001</t>
  </si>
  <si>
    <t>0551200002</t>
  </si>
  <si>
    <t>0551200003</t>
  </si>
  <si>
    <t>0551200004</t>
  </si>
  <si>
    <t>0551200005</t>
  </si>
  <si>
    <t>0551200006</t>
  </si>
  <si>
    <t>0551200007</t>
  </si>
  <si>
    <t>0551200008</t>
  </si>
  <si>
    <t>0551200009</t>
  </si>
  <si>
    <t>Offices Equipment</t>
  </si>
  <si>
    <t>Offices Furniture</t>
  </si>
  <si>
    <t>DIRECTORATE OF LOCAL GOVERNMENT</t>
  </si>
  <si>
    <t>56</t>
  </si>
  <si>
    <t>Sustainable Development Goal</t>
  </si>
  <si>
    <t>0517220001</t>
  </si>
  <si>
    <t>0517220002</t>
  </si>
  <si>
    <t>0517220003</t>
  </si>
  <si>
    <t>0517220004</t>
  </si>
  <si>
    <t>0517220005</t>
  </si>
  <si>
    <t>0517220006</t>
  </si>
  <si>
    <t>0517220007</t>
  </si>
  <si>
    <t>0517220008</t>
  </si>
  <si>
    <t>0517220009</t>
  </si>
  <si>
    <t>0517220010</t>
  </si>
  <si>
    <t>0517220011</t>
  </si>
  <si>
    <t>0517220012</t>
  </si>
  <si>
    <t>0517220013</t>
  </si>
  <si>
    <t>0517220014</t>
  </si>
  <si>
    <t>0517220015</t>
  </si>
  <si>
    <t>0517220016</t>
  </si>
  <si>
    <t>0517220017</t>
  </si>
  <si>
    <t>0517220018</t>
  </si>
  <si>
    <t>0517220019</t>
  </si>
  <si>
    <t>0517220020</t>
  </si>
  <si>
    <t>0517220021</t>
  </si>
  <si>
    <t>0517220022</t>
  </si>
  <si>
    <t>0517220023</t>
  </si>
  <si>
    <t>0517220024</t>
  </si>
  <si>
    <t>0517220025</t>
  </si>
  <si>
    <t>0517220026</t>
  </si>
  <si>
    <t>0517220027</t>
  </si>
  <si>
    <t>0517220028</t>
  </si>
  <si>
    <t>0517220029</t>
  </si>
  <si>
    <t>0517220030</t>
  </si>
  <si>
    <t xml:space="preserve">2020 PROPOSED BUDGET CAPEX LIMIT STATUS. </t>
  </si>
  <si>
    <t>Purchase of Furniture and Fittings - General</t>
  </si>
  <si>
    <t>OFFICE THE HON. SPECIAL DUTIES GOVERNMENT HOUSE</t>
  </si>
  <si>
    <t>DEVELOPMENT OF NEW SECRETARIAT</t>
  </si>
  <si>
    <t>ADDITIONAL N1b FOR TAKE-OFF OF THE AGENCY.</t>
  </si>
  <si>
    <t>Secretary to the State Government</t>
  </si>
  <si>
    <t>Ministry of Agriculture &amp; Natural Resources</t>
  </si>
  <si>
    <t>Ministry of Finance</t>
  </si>
  <si>
    <t>Directorate of Science and Technology</t>
  </si>
  <si>
    <t>Directorate of Transport</t>
  </si>
  <si>
    <t>Ministry of Energy</t>
  </si>
  <si>
    <t>Ministry of Oil and Gas</t>
  </si>
  <si>
    <t>Directorate of Culture and Tourism</t>
  </si>
  <si>
    <t>Ministry of Economic Planning</t>
  </si>
  <si>
    <t xml:space="preserve">Ministry of Water Resources </t>
  </si>
  <si>
    <t>Ministry of Lands, Survey &amp; Urban Development</t>
  </si>
  <si>
    <t>Directorate of Youth Development</t>
  </si>
  <si>
    <t xml:space="preserve">Ministry of Health </t>
  </si>
  <si>
    <t>Office of Nigeria National Volunteer Service Unit. (NNVS)</t>
  </si>
  <si>
    <t>0'111220006</t>
  </si>
  <si>
    <t>Delta State Capital Territory Development Agency</t>
  </si>
  <si>
    <t>Rehabilitation of Roads in Asaba</t>
  </si>
  <si>
    <t>Feasibility study of comprehensive transportation system in the Delta State Capital Territory</t>
  </si>
  <si>
    <t>Preparation of Urban Map for the Delta State Capital Territory</t>
  </si>
  <si>
    <t xml:space="preserve">Construction of Umudi Road, off Umejei Road, Ibusa </t>
  </si>
  <si>
    <t>Construction of Asagba Palace Road, off Nnebisi Road, Asaba</t>
  </si>
  <si>
    <t>Rehabilitation and asphalt overlay of Obi Emenechi Lane, off Nnebisi Road, Asaba</t>
  </si>
  <si>
    <t>Construction of Ada Bioseh Street, off old Anwai, Road, Asaba</t>
  </si>
  <si>
    <t xml:space="preserve">Flood Control Measure at Umuagu Quarters, by Ibusa Road, Asaba </t>
  </si>
  <si>
    <t>Flood and Erosion control measures at Abraka Market along Denis Osadebay Way, Asaba</t>
  </si>
  <si>
    <t>Construction of Exit and Access Road to the Redeemed Christain Church, off Ogagifo Street, Asaba</t>
  </si>
  <si>
    <t>Construction of Access and Internal Roads of Pitason Estate, By Legislative Quarters, Okpanam Road, , Asaba in Oshimili South L.G.A.</t>
  </si>
  <si>
    <t>Asphalt Overlay of Lydia Obiajuru Crescent, Off Monu Olanrewaju Street, Asaba, Oshimili South L.G.A.</t>
  </si>
  <si>
    <t>Rehabilitation Of Jarret Street 2 and Construction of Part of Kano Street/Okocha Street,   Off Dennis Osadebay Way, Asaba, Oshimili South L.G.A.</t>
  </si>
  <si>
    <t>Construction of Patrick Okuna Street, Off NTA Road, By U.L.O. House, Asaba, Oshimili South Local Government Area</t>
  </si>
  <si>
    <t>Rehabilitation of Chief George Onyia Street ad Flood Control at Chief Onyia Residence behind Ogbe-Ogonogo Market, Asaba</t>
  </si>
  <si>
    <t>Maintenance of The Drain and Asphalt Overlay of Dr. F.U.K Ogeah Close, Off Isioma Onyeobi Way , Asaba</t>
  </si>
  <si>
    <t>Rehabilitation of Section of  Ezenei Road (From Benin/Asaba Expressway to NNPC Mega Station, Asaba, Oshimili South Local Government Area</t>
  </si>
  <si>
    <t xml:space="preserve">Completion of  Construction of Direct Labour Agency(DLA) Road, Off Summit Road and Construction /Rehabilitation of Some Adjoining Roads (Biosa Amantu Street, Ikuku Adindu Street and Vitalis Okakwu Street ) and Sewer along Ambassador Leo Okogwu Road, Asaba, Oshimili South Local </t>
  </si>
  <si>
    <t>Reconstruction of (Fear God Street) Bonsaac Road and Construction of Pat Kanayo Okonta Street/Amaechi Uzuegbu Street/Nze Francis Streeet/Onwa Nwachinemelu Street, Phase II (From Boney Eguatuonwu Street to The End of The Road), Asaba, Oshimili South L.G.A.</t>
  </si>
  <si>
    <t>Reconstruction  of Victor Anene Bossua Street/Rehabilitation of Part of Nkem Okwuofu Street, Off Dan Okenyi Street, By Cenotaph, Asaba, Oshimili South Local Government Area</t>
  </si>
  <si>
    <t xml:space="preserve">Construction of Frank Akpoku Crescent/Hon. Paschal Adigwe Lane, Off DBS Road with a Spur to Joseph Opoko Drive and Construction of Hon. Emma Adigwe Nwanze Close, OFF Erhuvwu Club Road, Asaba, </t>
  </si>
  <si>
    <t>Completion of  Construction of Bendid Drive/Ifeanyi Ashiedu Avenue, Off High Court Rd/Construction of Davidson Ndidi Oriahi Close, Off Michael Njokanma Avenue &amp; Asphalt Overlay of Michael Njokanma Avenue, Asaba</t>
  </si>
  <si>
    <t xml:space="preserve">Rehabilitation of Federal College of Education (Technical), Osadennis Street, Off Benin/Asaba Expressway and Asaba Sports Club Street, Off Isioma OnyeobiI Way, Asaba, </t>
  </si>
  <si>
    <t>Rehabilitation and Asphalt Overlay of Elueche Street, By Squash Club, Off Government House Road, Asaba</t>
  </si>
  <si>
    <t>Construction of Paul Ikediashi Street/Nonye Ugboma Close/Barr. I.M.O. Nwabuoku Crescent/Chief J. Obi Street, Off Old Anwai Road, Asaba</t>
  </si>
  <si>
    <t>Construction of H.P. Otuekueku Steet/Ogharadunkun Street/Rehoboth Drive, Off DBS Road, Core Area (PHASE IV), Asaba</t>
  </si>
  <si>
    <t>Rehabilitation of Agala Monu Road and reconstruction of Umuiyibu Road in Umuezei Quarters, Asaba</t>
  </si>
  <si>
    <t>Flood control of Ogbe-Awo/Ogbeosowe/Ogbeilo Quarters and reconstruction of Ogbeosowe Street, Asaba.</t>
  </si>
  <si>
    <t>Provision of Uniforms/Personal Protective  Equipment</t>
  </si>
  <si>
    <t>Beautification of public realm in the Delta State Capital Territory Development Agency</t>
  </si>
  <si>
    <t>F40210000</t>
  </si>
  <si>
    <t>00023030106</t>
  </si>
  <si>
    <t>Construction of City Gates into the Delta State Capital Territory Development Agency</t>
  </si>
  <si>
    <t>Construction of food/Vendor zones within the Delta State Capital Territory</t>
  </si>
  <si>
    <t>Reconstruction of Cenotaph to a modern Civic Centre/Parade Ground</t>
  </si>
  <si>
    <t>Construction of recreation center in the Delta State Capital Territory</t>
  </si>
  <si>
    <t>00023030114</t>
  </si>
  <si>
    <t>CAPITAL TERRITORY DEVELOMENT AGENCY</t>
  </si>
  <si>
    <t>NEW</t>
  </si>
  <si>
    <t>Completion of on-going projects at Issele-Uku Technical College, Issele-Uku</t>
  </si>
  <si>
    <t>Completion of on-going projects at Agbor Technical College, Agbor</t>
  </si>
  <si>
    <t>Completion of on-going projects at Ogor Technical College, Ogor</t>
  </si>
  <si>
    <t>Completion of on-going projects at Ofagbe Technical College, Ofagbe</t>
  </si>
  <si>
    <t>Completion of on-going projects at Utagba-Ogbe Technical College, Kwale</t>
  </si>
  <si>
    <t>Completion of on-going projects at Sapele Technical College, Sapele</t>
  </si>
  <si>
    <t>Completion of Catering Crafts Practice Laboratory at Agbor Technical College, Agbo</t>
  </si>
  <si>
    <t>Completion of model toilet facilities at Sapele Technical College, Sapele</t>
  </si>
  <si>
    <t>Payment for Tools suppplied to the 6 Technical Colleges</t>
  </si>
  <si>
    <t>Payment of Consultant for Routine Maintenance &amp; Repair of Equipment/Tools in the 6 Technical Colleges</t>
  </si>
  <si>
    <t>Erosion control in Agbor Technical College and Interlocking, Agbor</t>
  </si>
  <si>
    <t>Reconstruction of  collapsed fence at Agbor Technical College, Agbor</t>
  </si>
  <si>
    <t>Deforestation of all Technical Colleges in the State</t>
  </si>
  <si>
    <t>Provision of furniture for Technical Colleges in the State</t>
  </si>
  <si>
    <t>Construction of Blocks &amp; Bricklaying Workshop at Ofagbe Technical College, Ofagbe</t>
  </si>
  <si>
    <t>Construction of Blocks &amp; Bricklaying Workshop at Issele-Uku Technical College, Issele-Uku</t>
  </si>
  <si>
    <t>Establishment of Computer Based Test (CBT) at all the 6 Technical Colleges</t>
  </si>
  <si>
    <t>Construction of Principal and Vice-Principal Quarters at Issele-Uku Technical College, Issele-Uku</t>
  </si>
  <si>
    <t>Provision of Textbooks to the 6 Technical  Colleges</t>
  </si>
  <si>
    <t>Supply of Tools and Equipment to Sapele Technical College, Sapele</t>
  </si>
  <si>
    <t>Supply of Tools and Equipment to Ofagbe Technical College, Ofagbe</t>
  </si>
  <si>
    <t>Supply of Tools and Equipment to Agbor Technical College, Agbor</t>
  </si>
  <si>
    <t>Supply of Tools and Equipment to Utagba-Ogbe Technical College, Kwale</t>
  </si>
  <si>
    <t>Supply of Tools and Equipment to Ogor Technical College, Ogor</t>
  </si>
  <si>
    <t>Supply of Tools and Equipment to Issele-Uku Technical College, Issele--Uku</t>
  </si>
  <si>
    <t>Procurement of Equipment in Fashion Design, Catering and Hair Dressing/Barbing Department in the State owned Technical Colleges</t>
  </si>
  <si>
    <t>Purchase of Instructional Materials/Consumables to the 6 Technical Colleges</t>
  </si>
  <si>
    <t>Construction of Borehole at Issele-Uku Technical Colleges, Issele-Uku</t>
  </si>
  <si>
    <t>Consuambles for Production Unit in the 6 Technical Colleges</t>
  </si>
  <si>
    <t>Computerization/ICT in the Ministry of Technical Education (EMIS)</t>
  </si>
  <si>
    <t>Construction of 19 New Technical Colleges in the State</t>
  </si>
  <si>
    <t>Ministry of Housing</t>
  </si>
  <si>
    <t>MINISTRY OF HOUSING</t>
  </si>
  <si>
    <t>PROVISION OF INFRASTRUCTURE FOR ASABA INDUSTRIAL ESTATE</t>
  </si>
  <si>
    <t>CONSTRUCTION OF OKERENKOKO NEW TOWN</t>
  </si>
  <si>
    <t>//</t>
  </si>
  <si>
    <t>CONSTRUCTION OF PERMANENT OFFICE COMPLEX FOR DSIEC</t>
  </si>
  <si>
    <t>CONSTRUCTION OF NEW GOVERNMENT HOUSE, ASABA</t>
  </si>
  <si>
    <t>210</t>
  </si>
  <si>
    <t>Construction of students' toilet, Oghareki Grammar School, Oghareki, Ethiope West LGA</t>
  </si>
  <si>
    <t>Construction of 1no. 6 classroom block with offices and toilets, Ugbenu Secondary School, Ugbenu, Ethiope West LGA</t>
  </si>
  <si>
    <t>Renovation of 1no. 6 classroom block without stores and toilets, Ibori Primary School, Oghara, Ethiope West LGA</t>
  </si>
  <si>
    <t>Renovation of 1no. 3 classroom block with computer office attached, Ibori Primary School, Oghara, Ethiope West LGA</t>
  </si>
  <si>
    <t>Renovation of a block of 6 toilets including sinking of a borehole with an overhead tank,Ibori Primary School, Oghara, Ethiope West LGA</t>
  </si>
  <si>
    <t>Renovation of principal's quarters, Owhe Grammar School Otor-Owhe, Isoko North LGA</t>
  </si>
  <si>
    <t>Constructon of 1no. 6 classroom block with offices and toilets, Ibrede Primary School, Ibrede, Ndokwa West LGA</t>
  </si>
  <si>
    <t>Constructon of 1no. 6 classroom block with offices and toilets, Isselegu Primary School, Isselegu, Ndokwa East LGA</t>
  </si>
  <si>
    <t>Constructon of 1no. 6 classroom block with offices and toilets, Umuze Primary School, Ossissa, Ndokwa East LGA</t>
  </si>
  <si>
    <t>Renovation of Biology/ Chemistry laboratory block, Orodje Grammar School, Sapele</t>
  </si>
  <si>
    <t>Renovation of administrative block, Orodje Grammar School, Sapele</t>
  </si>
  <si>
    <t>Renovation of boys quarters 7nos blocks, Orodje Grammar School, Sapele</t>
  </si>
  <si>
    <t>Renovationn of Art lecture hall, Orodje Grammar School, Sapele</t>
  </si>
  <si>
    <t>Renovation of 3 classroom block (type B) 2nos converted to classrooms, Orodje Grammar School, Sapele</t>
  </si>
  <si>
    <t>Renovation of 3 classroom block 2no (type A)with offices, Orodje Grammar School, Sapele</t>
  </si>
  <si>
    <t>Construction of 2nos. 6 classroom block with offices and toilets, Orodje Grammar School, Sapele</t>
  </si>
  <si>
    <t>Construction of 1 No. 3 classroom block, Azagba Primary Sch, Issele- Azagba, Aniocha North LGA</t>
  </si>
  <si>
    <t>Construction of 1 No. 6 classroom block with toilets and offices, Adams Primary Sch, Issele-Uku, Aniocha North LGA</t>
  </si>
  <si>
    <t>Construction of 1 No. 6 classroom block with toilets and offices, Gbonoza Primary Sch, Onicha-Ugbo, Aniocha North LGA</t>
  </si>
  <si>
    <t>Supply of Students Desks and Teachers Tables and Chairs, Obomkpa Mixed Sec Sch Obomkpa, Aniocha North LGA</t>
  </si>
  <si>
    <t>209C</t>
  </si>
  <si>
    <t>Construction of 1No. 6 classroom block with toilets and offices, Ngwu Mixed Secondary School, Ogwashi-Uku, Aniocha South LGA</t>
  </si>
  <si>
    <t xml:space="preserve">Construction of 1Nos.3 classroom block with toilets and offices, Ngwu Mixed Secondary School, Ogwashi-Uku, Aniocha South LGA  </t>
  </si>
  <si>
    <t xml:space="preserve">Supply of 1,029 Students and 119 Teachers furniture, to Selected Schools  Aniocha South LGA  </t>
  </si>
  <si>
    <t>Supply of Students Desks and Teachers Tables and Chairs to Selected Schools, Burutu I LGA</t>
  </si>
  <si>
    <t xml:space="preserve">Construction of 1No 3 Classroom Block with Toilets and Offices, Staff Secondary School, Eku, Baptist Government Hospital, Ethiope East LGA </t>
  </si>
  <si>
    <t>Renovation of 2No.6 Classroom Blocks (A) Onyobru Secondary School, Onyobru-Jesse, Ethiope West LGA</t>
  </si>
  <si>
    <t>Renovation of 2No.6 Classroom Blocks (B) Onyobru Secondary School, Onyobru-Jesse, Ethiope West LGA</t>
  </si>
  <si>
    <t>Reconstruction/ Renovation of 2No.6 Classroom Blocks (B) with Offices and Toilets, Ukavbe Secondary School, Otefe-Oghara, Ethiope West LGA</t>
  </si>
  <si>
    <t>Renovation of 2No.6 Classroom Blocks (A) with Offices and Toilets at Ighoyota Secondary School, Ugbokpa-Mosogar, Ethiope West LGA</t>
  </si>
  <si>
    <t>Renovation of 2No.6 Classroom Blocks (B) with Offices and Toilets at Ighoyota Secondary School, Ugbokpa-Mosogar, Ethiope West LGA</t>
  </si>
  <si>
    <t xml:space="preserve">Completion/ Rehabilitation of Science Laboratory Block, Akumazi Grammar School, Akumazi-Umuocha Ika North East LGA   </t>
  </si>
  <si>
    <t xml:space="preserve">Demolition/ Reconstruction of Administrative Block, Akumazi Grammar School, Akumazi-Umuocha, Ika North East LGA   </t>
  </si>
  <si>
    <t xml:space="preserve">Renovation of 1No.3 Classroom Blocks with Stores and Toilets at Alisimie Mixed Secondary School, Alisimie, Ika South LGA </t>
  </si>
  <si>
    <t>Construction of Water Borehole at Alisimie Mixed Secondary School, Alisimie,  Ika South LGA</t>
  </si>
  <si>
    <t>212G</t>
  </si>
  <si>
    <t xml:space="preserve">Demolition of old 1No.3 Classroom Block and Re-construction of 1No.3 Classroom Block with 4N0. Attached offices at Alidinma Secondary School, Agbor-Alidinma  Ika South LGA   </t>
  </si>
  <si>
    <t>Construction of Water Borehole at Alidinma Secondary School, Agbor-Alidinma,  Ika South LGA</t>
  </si>
  <si>
    <t>Renovation of 1No.4 Classroom Blocks with attached Offices and Toilets at Ekuku-Agbor Grammar School, Ekuku-Agbor, Ika South LGA</t>
  </si>
  <si>
    <t xml:space="preserve">Supply of Students Desks and Teachers Tables and Chairs to Selected Schools, Isoko North II LGA </t>
  </si>
  <si>
    <t xml:space="preserve">Construction of 1 No. 6 classroom block with toilets and offices, Aboh Grammar School, Abor, Ndokwa East  LGA </t>
  </si>
  <si>
    <t>Construction of 1 No. 6 classroom block with toilets and offices, Mixed Secondary School, Okpai-Oluchi, Ndokwa East  LGA</t>
  </si>
  <si>
    <t>Construction of 1 No. 6 classroom block with toilets and offices, Niger Primary School, Asaba- Ase, Ndokwa East  LGA</t>
  </si>
  <si>
    <t>213O</t>
  </si>
  <si>
    <t>Supply of Students Desks and Teachers Tables and Chairs to Selected Schools, Ndokwa East  LGA</t>
  </si>
  <si>
    <t>Supply of 470 Teachers'  furniture to Selected Schools, Ndokwa West LGA</t>
  </si>
  <si>
    <t>Construction of 1 No. 3 classroom block at Emu Primary School, Emu- Uno, Ndokwa West LGA</t>
  </si>
  <si>
    <t>214S</t>
  </si>
  <si>
    <t>Construction of 1 No. 3 classroom block, Amoji Primary School, Amoji, Onicha-Ukwuani, Ndokwa West LGA</t>
  </si>
  <si>
    <t>Construction of 1 No. 3 classroom block, Utue Grammar School, Utue- Ogume, Ndokwa West LGA</t>
  </si>
  <si>
    <t>Construction of 1 No. 3 classroom block, Abbi Girls Grammar School, Abbi, Ndokwa West LGA</t>
  </si>
  <si>
    <t>Construction of 1Nos.3 classroom block with toilets and offices at Osubi Secondary School, Osubi, Okpe LGA</t>
  </si>
  <si>
    <t>Construction of 2 Nos.6 classroom block with toilets and offices at Osubi Secondary School, Osubi, Okpe LGA</t>
  </si>
  <si>
    <t xml:space="preserve">Construction of 1 No. 6 classroom block with toilets and offices at Ovwore Primary School, Ibada, Amukpe, Sapele LGA </t>
  </si>
  <si>
    <t>104M</t>
  </si>
  <si>
    <t>Construction of 1 No. 6 classroom block with toilets and offices at Aladja Secondary School, Aladja, Udu LGA</t>
  </si>
  <si>
    <t>Construction of 1 No. 6 classroom block with toilets and offices, Iyeye Primary School, Edjekota-Ogor, Ughelli North LGA</t>
  </si>
  <si>
    <t xml:space="preserve">Construction of 1Nos.6 classroom block with toilets and offices, Ufuoma Secondary School, Ufuoma, Ughelli North LGA </t>
  </si>
  <si>
    <t xml:space="preserve">Construction of 1Nos.6 classroom block with toilets and offices, Oharisi Secondary School,  Ughelli North LGA </t>
  </si>
  <si>
    <t xml:space="preserve">Supply of 590 Students and 135 Teachers furniture to to Selected Schools,  Ughelli North II LGA </t>
  </si>
  <si>
    <t>Construction of 2 No. 6 classroom block with toilets and offices at Ugbavweni Grammar School, Usiefrun, Ughelli South LGA</t>
  </si>
  <si>
    <t>Construction of Modernized 2 No. 3 classroom block at Ugbavweni Grammar School, Usiefrun, Ughelli South LGA</t>
  </si>
  <si>
    <t>Construction of Administrative Block at Ezieh Primary School, Ezionum, Ukwuani LGA</t>
  </si>
  <si>
    <t>Construction of 3 Classroom Block with offices and Toilets at Ezieh Primary School, Ezionum, Ukwuani LGA</t>
  </si>
  <si>
    <t>Renovation of 6 Classroom Block with offices Cubicles at Ezieh Primary School, Ezionum, Ukwuani LGA</t>
  </si>
  <si>
    <t>Construction of 1No.3 classroom block at Otolom Primary School, Ezionum, Ukwuani LGA</t>
  </si>
  <si>
    <t>Supply of 1,443 Students and 121 Teachers furniture to Selected Schools at Ukwuani LGA</t>
  </si>
  <si>
    <t xml:space="preserve">Construction of 1No.3 classroom block with toilets and offices at Umutu Mixed Sec. School, Umutu, Ukwuani LGA    </t>
  </si>
  <si>
    <t>Construction of 1 No. 6 classroom block with toilets and offices at Ijakpa Primary School, Effurun, Uvwie LGA</t>
  </si>
  <si>
    <t>Supply of Students Desks and Teachers Tables and Chairs to Selected Schools, Uvwie LGA</t>
  </si>
  <si>
    <t>Supply of 2,315 Students and 386 Teachers furniture to Selected Schools,   Warri North LGA</t>
  </si>
  <si>
    <t xml:space="preserve">Supply of Students Desks and Teachers Tables and Chairs to Selected Schools, Warri South II </t>
  </si>
  <si>
    <t>Supply of 2,058 Students and 386 Teachers furniture to Selected Schools,  Warri South West LGA</t>
  </si>
  <si>
    <t>Construction of Administrative Block at Isaba Secondary School, Isaba, Warri South West LGA</t>
  </si>
  <si>
    <t>323O</t>
  </si>
  <si>
    <t>Construction of Science Laboratory Block at Isaba Secondary School, Isaba, Warri South West LGA</t>
  </si>
  <si>
    <t>Construction of Corpers’ lodge at Ogbein-Aima Secondary School</t>
  </si>
  <si>
    <t>Construction of Six (6) Classroom Block with office and Toilets and supply of 25 Students’ and 7 Teachers’ Furniture to Mein Grammar School, Kiagbodo</t>
  </si>
  <si>
    <t>Construction of Block wall Fence with Gate and Gate House and Supply of 130 students’ Desk and 19 Teachers’ furniture to Erhekevwe Secondary School, Jesse</t>
  </si>
  <si>
    <t>Renovation of T-Shaped Examination Hall with attached staff quarters, 1No. Four (4) Classroom/Laboratory Block with offices and Toilets, 1No. Six (6) Classroom Block with attached 2No. offices and Toilets, 1No. Six (6) classroom block with attached 6No. offices and Toilets and Supply of 230 Students’ and 49 Teachers’ Furniture at Ede Grammar School, Umunede</t>
  </si>
  <si>
    <t>Renovation of 2No. Six (6) Classroom Block with attached 6No. Offices and Toilets, Laboratory and Library Block with 3No. Offices and Toilets, 2No. Principal’s Quarters (3 Bedroom Flat) and Administrative Block at Owa-Alero Secondary School, Owa-Alero</t>
  </si>
  <si>
    <t>Construction of  Perimeter Fencing, Renovation of Administrative Block and Supply of 40 Students’ and 5 Teachers’ Furniture at Emu-Obodeti commercial Secondary School, Emu-Obodeti</t>
  </si>
  <si>
    <t>Renovation of a Block of Four (4) Classrooms without stores at Nduku Primary School, Ogbole-Ogume</t>
  </si>
  <si>
    <t>Construction of Administrative Block, Renovation of 1no. Three (3) Classroom Block, 1No. four (4) Classroom block and Construction of Teachers’ Toilet at Etua Primary School, Ogo-Etua</t>
  </si>
  <si>
    <t>Construction of Perimeter Block wall fence of 1,004.07 meters with gate and gate house, Erection of Standard schools sign Post (with the name of the school and new State Logo) and Erection of Standard and Uniform Signboard for State Government Projects at Orerokpe Secondary School, Orerokpe</t>
  </si>
  <si>
    <t>Renovation of Six (6) Classroom Block, Three (3) Classroom Block, Laboratory Block and Supply of 293 Students’ and 22 Teachers’ Furniture at Orhue Secondary school, Mereje</t>
  </si>
  <si>
    <t>Construction of Science Laboratory at Oruchi Comprehensive Secondary School, Okpanam</t>
  </si>
  <si>
    <t>Construction of 2 No. 3 classroom blocks, 1 No. 6 classroom block (L-shaped) without toilets, renovation/rehabilitation of 3 classroom block with offices, construction of pupils’ toilets, teachers’ toilets, renovation of 4 No. 3 classroom blocks (A,B,C and D) at Akwue Primary School, Ogboli, Ibusa</t>
  </si>
  <si>
    <t xml:space="preserve">Construction of 1No. Six (6) Classroom Block each at Zappa and West-End Mixed Secondary Schools, Asaba and Supply of 45 Teachers’ and 250 Students’ Double seater Furniture each </t>
  </si>
  <si>
    <t>Renovation of Principals’ Lodge, Vice Principals’ Lodge, Examination Hall, 1No. Six (6) Classroom Block with stores and Toilets at Boys Model Secondary School Patani</t>
  </si>
  <si>
    <t>Renovation of 3 No. 6 classroom block with stores and toilets at Boys Model Secondary School</t>
  </si>
  <si>
    <t xml:space="preserve">Supply of 450 students’ and 30 Teachers’ Furniture and Supply of Science Equipment to Uwheru Grammar School, Uwheru </t>
  </si>
  <si>
    <t xml:space="preserve">Construction of 1No. Six Classroom Block each at Ehwere Grammar School, Agbarho and Odovie Primary School, Odovie and Supply of 282 Students’ and 26 Teachers’ Furniture  </t>
  </si>
  <si>
    <t>Renovation of Administrative Block at Urhobo College, Effurun</t>
  </si>
  <si>
    <t xml:space="preserve">Renovation of Perimeter Fence at Urhobo College, Effurun </t>
  </si>
  <si>
    <t xml:space="preserve">Construction of 1No. Six Classroom Block and Supply of 282 Students’ and 26 Teachers’ Furniture each at Ebrumede Primary and Secondary Schools, Ebrumede, </t>
  </si>
  <si>
    <t>Construction of 1No. 3 Classroom Block with offices and toilets at Ogheye-Dinigun Primary School, Ogheye</t>
  </si>
  <si>
    <t>Construction of 1 No.3 classroom block with offices and toilets each at Abokunwa Primary School, Eghoro and Dudu Primary School, Obonteghareda and supply of 230 students’ and 13 teachers’ furniture to Warri North LGA</t>
  </si>
  <si>
    <t xml:space="preserve">Reconstruction of 1 No. Block of six (6) classrooms with stores and toilet (Block B), 1 No. Block of 2 Classrooms with office (Block C), 1 No. block of 2 classrooms with office (Block D) and supply of 951 students’ and 100 teachers’ furniture to Agbassa Primary School, Warri, </t>
  </si>
  <si>
    <t>Reconstruction of Prototype Six (6) Classroom Block with Stores and Toilet Facilities at Omaretsosene Primary School, Ogidigben</t>
  </si>
  <si>
    <t>Rehabilitation of 1No. Six Classroom Block with offices, Construction of Gate House, Toilet and Supply of 10 Teachers’ and 39 Students’ Furniture to Omaretsosene Primary School, Ogidigben</t>
  </si>
  <si>
    <t>Renovation of 3 No. 6 classroom block and supply of 401 students’ and 30 teachers’ furniture to Ewein Primary School II, Ogbe-Ijoh</t>
  </si>
  <si>
    <t>Construction of 1No. Hostel Block in Riverine Communities in the State at Kokodiagbene Secondary School, Kokodiagbene</t>
  </si>
  <si>
    <t xml:space="preserve">Construction of 2No. Six Classroom Block at Ugbenu Secondary School, Ugbenu and Supply of 425 Students’ and 30 Teachers’ Furniture to Selected public schools </t>
  </si>
  <si>
    <t>Renovation/rehabilitation of 1No. boys hostel block and erection of school sign post with State logo at Model Secondary School, Onicha-Olona, Aniocha North LGA.</t>
  </si>
  <si>
    <t>Renovation/rehabilitation of laboratory block at Model Secondary School, Onich-Olona, Aniocha North LGA.</t>
  </si>
  <si>
    <t>Completion of Girls’ Hostel at Model Secondary School, Onicha-Olona, Aniocha North LGA</t>
  </si>
  <si>
    <t>Renovation of 1No.6 classroom block with 6No. offices, 1No.6 classroom block with 1No. office and supply of 17 pupils’ and 4 teachers’ furniture at Iyiogbe Primary School, Onicha-Olona, Aniocha North LGA.</t>
  </si>
  <si>
    <t>Reconstruction/rehabilitation of storey No.16 classroom block with offices and erection of standard school signpost with the name of the school and the State logo at Pilgrim Baptist Grammar School, Issele-Uku, renovation/rehabilitation of 1No.6 classroom block with store and attached offices and erection of standard school signpost with the name of the school and State logo at Olona Mixed Secondary School, Onicha-Olona and supply of 400 students’ and 80 teachers’ furniture to selected schools in Aniocha North Constituency.</t>
  </si>
  <si>
    <t>i. Renovation of 6 classroom block and erection of standard school signpost at Kadinma Primary School, Onicha-Uku, 
ii. supply of 190 students’ and 15 teachers’ furniture at Adams Primary School, Issele-Uku, 
iii. supply of laboratory equipment at Onicha-Ugbo Mixed Secondary School,Onicha-Ugbo, 
iv. supply of laboratory equipment and 15 teachers’ and 65 students’ furniture at Ugbodu Secondary School, Ugbodu in Aniocha North LGA.</t>
  </si>
  <si>
    <t xml:space="preserve">Renovation of 1No. Six (6) Classroom Block (Block A) Iyede-Ame Secondary School, Iyede-Ame, Ndokwa East </t>
  </si>
  <si>
    <t xml:space="preserve">Construction of 1No. prototype administrative block, installation of concrete work top at the science laboratory block and supply of 180 students’ and 5 teachers’ furniture Onicha-Ugbo Mixed Secondary School, Onicha-Ugbo, Aniocha North </t>
  </si>
  <si>
    <t>Construction/Renovation works in Osemeke Primary School, Isele-Azagba, Aniocha North</t>
  </si>
  <si>
    <t>Renovation of 1No.6 classroom block (Block A), 1No.6 classroom block (B) and supply of 156 students’ and 20 teachers’ furniture at Nsukwa Grammar School, Nsukwa, Aniocha South LGA.</t>
  </si>
  <si>
    <t>210I</t>
  </si>
  <si>
    <t>Demolition/reconstruction of 1No.3 classroom block, assembly hall, reconstruction of 1No.6 classroom  block with offices, construction of prototype students’ toilet and supply of 100 pupils’ and 20 teachers’ furniture at Mgbalamgba Primary School, Isheagu, Aniocha South LGA.</t>
  </si>
  <si>
    <t>Demolition/reconstruction of 1No.3 classroom block and assembly hall  at Mgbalamgba Primary School, Isheagu, Aniocha South LGA.</t>
  </si>
  <si>
    <t xml:space="preserve">Renovation of 1No.6 classroom block with offices and toilets, 1No.3 classroom block with 2No. offices and supply of 195 students’ desk and 30 teachers’ furniture at Adaigbo Secondary School; Aniocha South </t>
  </si>
  <si>
    <t>210B</t>
  </si>
  <si>
    <t xml:space="preserve">Renovation of 1No.3 classroom block, 1No.6 classroom block with office and toilet and construction of 1No. Administrative block (small size) at Egbudu Mixed Secondary School, Egbudu-Akah, Aniocha South </t>
  </si>
  <si>
    <t>210J</t>
  </si>
  <si>
    <t>318F</t>
  </si>
  <si>
    <t>Construction of Student’ Toilet Facilities at Esenaebe College, Bomadi</t>
  </si>
  <si>
    <t>Construction of 1No. Six (6) Classroom Block with offices (Semi Riverine) at Ogbolubiri Secondary School, Burutu</t>
  </si>
  <si>
    <t>Construction of Administrative block for Urban Secondary school (Semi Riverine) at Ogbolubiri Secondary School, Burutu</t>
  </si>
  <si>
    <t>Renovation of 1No. 6 Classroom Block with Offices and a U shaped Classroom Block with offices  at Ofou Primary school, Burutu</t>
  </si>
  <si>
    <t>Construction of 1 No. 6 Classroom Block with 2 No. Offices at Egodor Secondary School and Supply of 20 Teachers’ and 240 Students Furniture to selected Primary Schools in Burutu LGA.</t>
  </si>
  <si>
    <t>Construction of 1No.6 classroom block at Beinmo Primary School, Eseimogbene, renovation of 1No.3 classroom (block B), construction of block of staff quarters 4No.1 bedrrom flat, supply of 320 students’ double seater and 60 teachers’ furniture and erection of standard school sign post at Omotimipere Primary School, Akparamogbene, Burutu Constituency I</t>
  </si>
  <si>
    <t>Construction of 1No. prototype science laboratory block with stores, office, toilets and concrete work tops at Odimodi Secondary School, Burutu LGA.</t>
  </si>
  <si>
    <t>Reconstruction of 1No.4 classroom block, renovation of 1No.4 classroom block with office and supply of 20 teachers’ and 82 students’ furniture at Tamigbe Grammar School, Burutu LGA.</t>
  </si>
  <si>
    <t>319C</t>
  </si>
  <si>
    <t>Construction of 1No. Prototype science laboratory block with stores, toilets and concrete work top and supply of 25 students desks and 10 teachers furniture at Orhoakpor Secondary School, Orhoakpor, Ethiope East LGA.</t>
  </si>
  <si>
    <t>Supply of 350 Students’/pupils’ double desks and 150 Teachers’ Furniture to Selected Schools, Ethiope East LGA.</t>
  </si>
  <si>
    <t>Reconstruction of administrative block at Ojeta Secondary School, Ekrejeta, Abraka, Ethiope East LGA</t>
  </si>
  <si>
    <t>101B</t>
  </si>
  <si>
    <t>Construction of prototype laboratory block with stores, offices and toilets at Ojeta Secondary School, Ekrejeta-Abraka, Ethiope East LGA</t>
  </si>
  <si>
    <t>Renovation of 6 classroom block with stores and construction of perimeter fence with gate and gate house at Ojeta Secondary School, Ekrejeta, Abraka, Ethiope East LGA.</t>
  </si>
  <si>
    <t>Construction of a prototype 6 class room block with stores and toilet facilities in upland communities at Ojeta Secondary School, Ekrejeta, Abraka, Ethiope East LGA.</t>
  </si>
  <si>
    <t>Renovation/rehabilitation of 1No. 12 classroom block, Urhegbe Primary School, Okpara-Inland, Ethiope East LGA.</t>
  </si>
  <si>
    <t>Renovation/rehabilitation of 1No.6 classroom block with offices and supply of science equipment at Abraka Grammar School, Abraka, renovation/rehabilitation of 2No. 3 classroom block with offices (blocks A and B), 1No.3 classroom block with offices (block C) and erection of standard school signpost with the name of the school name and the State logo at Uruoka Secondary School, Abraka and renovation/rehabilitation of 1No. administrative block at Erho Secondary School, Abraka, Ethiope East LGA.</t>
  </si>
  <si>
    <t>Renovation/rehabilitation of 1No.4 classroom block, school hall with offices, stores and toilet facilities, construction of students’ toilet with water stanchion and borehole and supply of 170 students’ and 10 teachers’ furniture at Agbon Secondary School, Isiokolo, Ethiope East LGA.</t>
  </si>
  <si>
    <t>Renovation of 1No. 7 classroom block with offices, a block of 4 classroom, 3 classroom block with a separate toilet of 4No. units, Supply of 120 students’ and 15 teachers’ furniture (for 214 pupils) and Erection of standard school sign post (with the name of the school and the new State logo) at Urhuovie Primary School, Abraka, Ethiope East LGA</t>
  </si>
  <si>
    <t>101C</t>
  </si>
  <si>
    <t>Renovation/rehabilitation of Corper’s lodge, administrative block with offices and conversion of a classroom to a laboratory block with stores, offices and toilets and the supply/installation of concrete work top for the laboratory block Umiaghwa Secondary School, Abraka, Ethiope East LGA</t>
  </si>
  <si>
    <t>101K</t>
  </si>
  <si>
    <t>Renovation/rehabilitation of 1No.5 classroom block and renovation/conversion of existing hall to a 4 classroom block at Igun Secondary School, IgunEthiope East LGA.</t>
  </si>
  <si>
    <t>101N</t>
  </si>
  <si>
    <t>Construction of a prototype 1No. six classroom block with stores and toilet facilities and Erection of Standard School Sign Post (with the name of the School and the new State Logo) at Uduaka Secondary School, Mosogar, Ethiope West LGA.</t>
  </si>
  <si>
    <t>Supply of 360 Students’/pupils’ double desks and 130 Teachers’ Furniture at Selected Schools, Ethiope West</t>
  </si>
  <si>
    <t>i. Construction of a prototype 1No. Six (6) Classroom Block with Stores and Toilets and Supply of 5 Teachers’ and 30 Students’ double desk seater and Erection of Standard School sign post (with the name of the School and the new State Logo) at Ugbenu Secondary School, Ugbenu,  
ii. Renovation of 1No. Two (2) Classroom Block at Uherevie Primary School, Oghara, Ethiope West LGA</t>
  </si>
  <si>
    <t>Supply of 500 students’ furniture in  Uduaka Secondary School, Mosogar,  Ethiope West</t>
  </si>
  <si>
    <t>Renovation/rehabilitation of 1No.3 classroom block with offices and toilet, a block of 1 classroom with hall and offices, construction of a prototype administrative block and supply of 127 student desk and 38 teachers’ furniture at Osoguo Secondary School, Jesse, Ethiope West LGA.</t>
  </si>
  <si>
    <t>Renovation/rehabilitation of existing perimeter block wall fence with gate and reconstruction of gate house, 1No. 6 classroom block, 2No.3 classroom block, 1No.3 classroom block with office and construction of prototype students’ toilet at Oku-Imemu Primary School, Oghara, Ethiope West LGA</t>
  </si>
  <si>
    <t>Construction of perimeter fence and gate house at Ugbenu Secondary School, Oghara and supply of 1338 students’ and 300 teachers’ furniture to selected schools in Ethiope West Constituency.</t>
  </si>
  <si>
    <t>Renovation/rehabilitation of 1No.4 laboratory block with offices and tooilets and 1No.3 classroom block at Oreki Secondary School, Oghareki, Ethiope West</t>
  </si>
  <si>
    <t>Renovation of 1No.6 classroom block, reconstruction of 1No.3 classroom block, renovation/rehabilitation of 1No.3 classroom block with office, construction of prototype students’ toilet (including water borehole and erection of standard school signpost with State logo at Ekumagba Primary School, Ugbenu, Koko Junction, Oghara, Ethiope West</t>
  </si>
  <si>
    <t xml:space="preserve">Renovation of 1 no. 4 classroom block with attached office and stores, 1 no. 4 classroom block without attached offices, 1 no. school hall, supply of 300 students’ and 27 teachers’ furniture and erection of school signboard with new State Government logo at Isibor Primary School, Owa-Alidinma and renovation of block wall perimeter fence, 1no. security/gate house and landscaping works, supply of 300 students’ and 27 teachers’ furniture and Erection of school signboard with new State Government logo, Ika North East LGA. </t>
  </si>
  <si>
    <t>Supply of 450 Students’ and 46 teachers’ furniture in Efeizomor Secondary School, Boji Boji Owa, Ika North East LGA.</t>
  </si>
  <si>
    <t xml:space="preserve">Construction of 1 No. Storey Building of 12 Classrooms with offices and Toilets in Efeizomor Secondary School, Boji Boji Owa, Ika North East LGA. </t>
  </si>
  <si>
    <t>Renovation of Laboratory Block with attached offices and Erection of Standard school signboard (with the new State Government logo) at Comprehensive High School, Igbodo, Ika North East LGA.</t>
  </si>
  <si>
    <t>Construction of prototype administrative block (small size) and supply of 67 students’ and 15 teachers’ furniture and erection of standard school sign post (with the name of the school and the new State logo) in Osimi Primary School, Owanta-Aliosimi, Ika North East LGA.</t>
  </si>
  <si>
    <t xml:space="preserve">Construction of 1 No. Storey Building of 12 Classrooms with offices and Toilets and erection of standard school sign post (with the name of the school and the new State logo) in Efeizomor Secondary School, Boji Boji Owa, Ika North East LGA. </t>
  </si>
  <si>
    <t>Demolition and reconstruction of 6 classroom block with attached stores, reconstruction and renovation of perimeter fence and landscaping (football field) work, demolition and reconstruction of 4 classroom block with attached offices, renovation of 1 no. 3 classroom block with attached stores and toilets, supply of 250 students’ chairs and 25 teachers’ furniture, demolition of 1 no. toilet block and reconstruction of 1 no. students’ and teachers’ toilet, demolition and reconstruction of 1 no. gate/security house and erection of standard school signboard (with the name of the school and the new State logo) at Diagbor Primary School, Owerre-Olubor, Ika North-East</t>
  </si>
  <si>
    <t xml:space="preserve">Renovation of 1no. Six (6) Classroom Block with attached office inDiagbor Primary School, Owerre-Olubor, Ika North-East </t>
  </si>
  <si>
    <t>Renovation of 1No. 3 classroom block, 1No.6 classroom block and erection of standard school sign post (with the name of the school and State logo) in Aghaulor Primary, Ute-Okpo, Ika North-East</t>
  </si>
  <si>
    <t>Renovation of 1 No.6 classroom block with office in Aghaulor Primary, Ute-Okpo, Ika North-East</t>
  </si>
  <si>
    <t>Renovation of 1No. Four (4) Classroom Block with attached 4No. offices, Renovation of 1No. Three (3) Classroom Block with attached Headmasters’ office and staffroom  at Ebueno Primary School, Owa-Alidinma, Ika North-East LGA.</t>
  </si>
  <si>
    <t>i. Construction of a prototype 3 classroom block with stores at Egboh Primary School, Idumesah, ii. Renovation/rehabilitation of 1No.3 classroom block with offices at Ezenweali Primary School, Otolokpo 
iii. Renovation/rehabilitation of1No.4 classroom block with offices (school I), 1No.4 classroom block (school II), supply of 100 students’ and 5 teachers’ furniture at Onyeagwu Primary School, Umunede 
iv. Renovation/rehabilitation of 2No.3 classroom block, 1No.3 classroom block, 1No.2 classroom block at Ozomor Primary School, Owa-Alizomor 
v. Renovation of 6 classroom block without attached offices and toilets at Ute-Okpu Grammar School, Ute-Okpu, Ika North East Constituency</t>
  </si>
  <si>
    <t>Reconstruction of 1No.6 classroom block with offices and toilets and construction of water borehole and reticulation at Owanta Secondary School, Owanta, Ika North East</t>
  </si>
  <si>
    <t>Renovation/rehabilitation of 1No.4 classroom block, 1No.2 classroom block,  construction of students’ toilet (prototype), construction of water supply scheme and erection of standard school signpost with the name of the school and State Government logo at Ute-Alohen Primary School, Ute-Alohen, Ika North East LGA.</t>
  </si>
  <si>
    <t>Renovation/rehabilitation of 1No.6 classroom block with offices and toilet facilities, 1No.5 classroom block with offices and toilet facilities and 1No.5 classroom block with offices at Idumesah Secondary School, Idumesah, Ika North East LGA</t>
  </si>
  <si>
    <t>211O</t>
  </si>
  <si>
    <t>Renovation/rehabilitation of 1No.18 classroom block with administrative offices and toilet facilities and external works at Owa Model Primary School, Boji Boji Owa, Ika North East LGA.</t>
  </si>
  <si>
    <t>Demolition/reconstruction of administrative block, renovation of 1No.3 classroom block and supply of 53 students’ and 10 teachers’ furniture at Ute-Okpu Grammar School, Ute-Okpu, Ika North East</t>
  </si>
  <si>
    <t>Construction of 2no. storey building of 12 classroom blocks with offices and toilets and erection of school signboard with new State Government logo in Igumbor Otiku Secondary School, Agbor, Ika South LGA.</t>
  </si>
  <si>
    <t>212E</t>
  </si>
  <si>
    <t>Construction of 1No. Six (6) Classroom Block with Stores and Toilets  at Alihagu Secondary School, Alihagu, Ika South LGA.</t>
  </si>
  <si>
    <t>Construction of 1No. Six (6) Classroom block with stores and toilet facilities and Erection of School signboard with new State Government Logo   at Alihagu Secondary School, Alihagu, Ika South LGA.</t>
  </si>
  <si>
    <t>Renovation of 1 no.4 classroom block with attached cubicles, staff room and administrative offices at Obi-Anyima Secondary School, Obi-Anyima, Ika South LGA.</t>
  </si>
  <si>
    <t>Renovation of 1No. six (6) Classroom Block with attached offices at at Obi-Anyima Secondary School, Obi-Anyima, Ika South LGA.</t>
  </si>
  <si>
    <t>Renovation of 1No. three (3) Classroom Block with attached 3No. offices and Toilets and Erection of Standard School Sign Post (with the name of the School and the new State Logo) at Obi-Anyima Secondary School, Obi-Anyima, Ika South LGA.</t>
  </si>
  <si>
    <t>Renovation/rehabilitation of library and administrative blocks at Abavo Girls Secondary School, Abavo, Construction of students’ toilet with water stanchion and borehole and supply of science equipment to Omumu Mixed Secondary School, Omumu, Renovation/rehabilitation of 1No.3 classroom block at Obika Primary School, Obika, construction of 2No.3 classroom block at Charles Bur Primary School, Boji Boji Agbor and construction of 1No.3 classroom block at Ihioma Primary School, Agbor, Ika South LGA.</t>
  </si>
  <si>
    <t>212C</t>
  </si>
  <si>
    <t>Renovation/rehabilitation of 1No.6 classroom block with offices and toilet facilities, construction of prototype 1 No. students’ toilet with borehole and water stanchion, supply of 30 students’ furniture and erection of standard school signpost with the name of the school and State logo at Jegbefume Government Secondary School, Abavo, Ika South LGA.</t>
  </si>
  <si>
    <t>Construction of perimeter block wall fence with gate and gate house , demolition/reconstruction of 1No.3 classroom block with attached offices , renovation/rehabilitation of 1No.3 classroom block and sinking of water borehole, water tank, generating set/water reticulation to buildings/connection of electricity to the mains at Umu P/S, Agbor-Alidinma, Ika South LGA.</t>
  </si>
  <si>
    <t>Renovation of 2No.3 classroom block with stores, 1No.4 classroom block with stores, 1No.6 classroom block with stores, 1No. 8 classroom block with stores and erection of school signpost with Delta State logo at Odili Primary School, Agbor, Ika South LGA..</t>
  </si>
  <si>
    <t>Renovation/rehabilitation of 1No.3 classroom block, 1No.6 classroom block with offices and toilet facilities, 1No.3 classroom block, 1 No.6 classroom block with offices, 3 No. laboratory block with offices and toilets and erection of standard school signpost with Delta State logo at Ekuku-Agbor Grammar School, Ekuku-Agbor, Ika South LGA.</t>
  </si>
  <si>
    <t>Renovation of 2No.3 classroom block, 1No.3 classroom block with attached office, construction of prototype students’ toilet with water stanchion and borehole and erection of standard school signpost with Delta State logo at Eni Primary School, Emuhu, Ika South LGA</t>
  </si>
  <si>
    <t>Renovation/rehabilitation of 1No.storey block of 8 classrooms at Charles Burr Primary School, Agbor, Ika South LGA</t>
  </si>
  <si>
    <t>Renovation/rehabilitation of 1No.4 classroom block at Charles Burr Primary School, Agbor, Ika South LGA</t>
  </si>
  <si>
    <t>Renovation/rehabilitation of1No.6 classroom block with offices and toilet facilities, 1No.3 classroom block (block A), conversion of 1No.6 classroom block into 2No. examination hall, renovation of 1No.3 classroom block and construction of prototype students’ toilet at Ihu-Iyase Secondary School, Agbor-Nta, Ika South LGA.</t>
  </si>
  <si>
    <t>Ratification of the downsizing of project scope from a block of 18 classrooms to a block of 12 classrooms at Igbonine Grammar School, Ozoro, Isoko North</t>
  </si>
  <si>
    <t>Demolition/reconstruction of 1No.6 classroom block with offices at Egware Primary School, Ozoro, construction of fence and gate house at Egbeniame Primary School, Oyede, construction of fence and gate house  and erection of standard school signpost with Delta State logo at Akiewhe Secondary School, Akiewhe-Owhe and supply of 430 students’ and 50 teachers’ furniture to selected schools in Isoko North Constituency</t>
  </si>
  <si>
    <t>320S</t>
  </si>
  <si>
    <t>Reconstruction of 1No.6 classroom block with offices, 1No.3 classroom block with offices and supply of 180 students’ furniture at Iyede Secondary Commercial School, Iwride-Iyede, Isoko North LGA.</t>
  </si>
  <si>
    <t>Renovation of 1No.6 classroom block with attached office, 1No.3 classroom block with attached office at Ovie Primary School, Ellu and supply of 160 students’ and 25 teachers’ furniture to selected Primary Schools in Isoko North LGA.</t>
  </si>
  <si>
    <t>320E</t>
  </si>
  <si>
    <t>Renovation of 1No.6 classroom with attached office, 1No.4 classroom block with attached 2No. offices, 1No.3 classroom block with attached office, 1No.2 classroom block and construction of prototype students’ toilet with water stanchion and borehole at Ellu Primary School, Ellu, Isoko North</t>
  </si>
  <si>
    <t>Renovation of 1 No. 5 classroom block with offices and toilets, demolition/ reconstruction of 1 No. 5 classroom block with offices and toilets, construction of administrative block (small), erection of school signboard with new State Government logo at Aviara Secondary School, Aviara and supply of 660 students’ and 72 teachers’ furniture to selected schools in Isoko South II Constituency</t>
  </si>
  <si>
    <t xml:space="preserve">Construction of a prototype 1 No.6 classroom block with stores and toilet facilities at Orie Secondary School, Orie-Irri, Isoko South </t>
  </si>
  <si>
    <t>321Q</t>
  </si>
  <si>
    <t>Construction of Administrative block at Orie Secondary School, Orie-Irri, Isoko South LGA.</t>
  </si>
  <si>
    <t>Construction of 1No.6 classroom block and erection of school sign post with State logo at Orie Secondary School, Orie-Irri, Isoko South LGA.</t>
  </si>
  <si>
    <t>Renovation of school hall and provision of water borehole, overhead water stand/tank and generator in Igbide Grammar School, Igbide, Isoko South</t>
  </si>
  <si>
    <t>Renovation of 1No.6 classroom block with offices and toilets (block1) at Igbide Grammar School, Igbide, Isoko South</t>
  </si>
  <si>
    <t>i. Renovation of 1No.4 classroom block with office and toilets, 1No.6 classroom block with attached offices, construction of perimeter fence and gate house, erection of standard school signpost (with the name of the school and State logo) 
ii. Supply of 815 students’/pupils’  and 200 teachers’ furniture at i. Irri Primary School, Irri
ii. Selected Schools,  Isoko South I</t>
  </si>
  <si>
    <t>Construction of a prototype 6 classroom block without toilet facilities at Origho Primary School, Emonsoye, Isoko South</t>
  </si>
  <si>
    <t>Construction of a prototype 1 No.6 classroom block with stores and toilet facilities and supply of 70 students’ and 15 teachers’ furniture at Egbo-Ideh Secondary School, Isoko South</t>
  </si>
  <si>
    <t>Renovation of 1No.6 classroom block with offices at Umeh Secondary School, Umeh, Isoko South LGA.</t>
  </si>
  <si>
    <t>Demolition/Construction of 1no.6 Classroom Block with offices at Umeh Secondary School, Umeh, Isoko South LGA.</t>
  </si>
  <si>
    <t>Renovation of 1No.4 laboratory block with offices, 1No.6 classroom block (block A) with offices and toilets, 1No.6 classroom block (block B) with offices and toilets and construction of student toilets with water stanchion and borehole at Olomoro Secondary School, Olomoro, Isoko South LGA.</t>
  </si>
  <si>
    <t>i. Renovation of 1No.3 classroom block and 1No.6 classroom block at Evoja Primary School, Oleh, 
ii. 1No.3 classroom block and 1No. Hall at Isoko Central Primary School, Oleh and
 iii. supply of 95 students’ furniture to selected Primary and Secondary Schools in Isoko South LGA</t>
  </si>
  <si>
    <t>Renovation/Rehabilitation of Infrastructure at Enwhe Secondary School, Ehwhe</t>
  </si>
  <si>
    <t>Renovation/rehabilitation of 1No.2 classroom block, 1No.5 classroom block with Headmaster’s office, 1No.6 classroom block and construction of prototype students’ toilets with water stanchion  in Idheze Primary School, Idheze, Isoko South</t>
  </si>
  <si>
    <t>Supply of 200 Students and 20 Teachers’ Furniture in Aboh Secondary School, Aboh, Ndokwa East</t>
  </si>
  <si>
    <t xml:space="preserve">Renovation of Principals’ Quarters at Iyede-Ame Secondary School, Iyede-Ame, Ndokwa East </t>
  </si>
  <si>
    <t xml:space="preserve">Demolition and Reconstruction of Administrative Block at Iyede-Ame Secondary School, Iyede-Ame, Ndokwa East </t>
  </si>
  <si>
    <t xml:space="preserve">Renovation of Administrative Block and Four Classrooms with Stores and Toilets at Aboh Secondary School, Aboh, Ndokwa East </t>
  </si>
  <si>
    <t>Renovation of 1No. Four Classroom Block without Stores in Aboh Secondary School, Aboh, Ndokwa East</t>
  </si>
  <si>
    <t>Renovation of 1No. Six Classroom Block with Stores and Toilets in Aboh Secondary School, Aboh, Ndokwa East</t>
  </si>
  <si>
    <t>Renovation/rehabilitation of 1No.9 classroom block with offices, 1No.2 classroom block with attached office and hall and supply of 160 students’ and 20 teachers’ furniture in Afor Mixed Secondary School, Ogbedigbo-Afor; Ndokwa East</t>
  </si>
  <si>
    <t>213C</t>
  </si>
  <si>
    <t>i. Construction of 1No.6 classroom block (constructed with reinforced stripped foundation) and erection of school signboard with State Government logo at Akwuba Primary School, Owelle-Okwubedo, Utchi, 
ii. Demolition/reconstruction of 2No.3 classroom block with offices, renovation/rehabilitation of 1No.3 classroom block (science block) with offices and erection of school signboard with government logo at Ibedeni Secondary School, Ibedeni, 
iii. construction of Corper’s lodge, administrative block, supply of 29 students’ and 5 teachers’ furniture and erection of school signboard with government logo at Igbuku Secondary School, Igbuku, Ndokwa East Constituency.</t>
  </si>
  <si>
    <t>213F</t>
  </si>
  <si>
    <t>Construction of 1No.3 classroom block and supply of 25 pupils’ and 5 teachers’ furniture in Agwete Community Primary School, Agwete. Ndokwa East</t>
  </si>
  <si>
    <t>Construction of 1No. six (6) Classroom Block and Erection of State Government branding uniform project signboard at Ugwa Secondary School, Obodougwa-Ogume, Ndokwa West</t>
  </si>
  <si>
    <t>214L</t>
  </si>
  <si>
    <t>Construction of Administrative Block at Ugwa Secondary School, Obodougwa-Ogume, Ndokwa West</t>
  </si>
  <si>
    <t>Construction of a prototype 1No. Six (6) classroom block with stores and toilet facilities and Erection of Standard school sign post (with the name of the school and the new State Government logo) at Ugwa Secondary School, Obodougwa-Ogume, Ndokwa West</t>
  </si>
  <si>
    <t>i. Construction of 2No.6 classroom block with offices 
ii. Supply of 265 students’ and 62 teachers’ furniture to selected schools  i.Ebologu Grammar School, Utagba-Uno 
ii. Selected Schools in  Ndokwa West Constituency</t>
  </si>
  <si>
    <t>214E</t>
  </si>
  <si>
    <t>Renovation/rehabilitation of 1No.12 classroom block (U-Shaped), 1No.6 classroom block with an attached office and supply of 20 students’ furniture to Umai Primary School, Abbi, Ndokwa West LGA.</t>
  </si>
  <si>
    <t>214Q</t>
  </si>
  <si>
    <t>Renovation/Rehabilitation of 1No. 6 Classroom Block with offices and toilet facilities at Isumpe Mixed Secondary School, Ulogwe Isumpe and Supply of 185 Students and 20 teachers furniture to selected schools in Ndokwa West</t>
  </si>
  <si>
    <t>Renovation/rehabilitation of 1No.6 classroom block with offices and toilet facilities and supply of 210 students’ and 20 teachers’ furniture at Ogbole Community Secondary School, Ogbole-Ogume, Ndokwa West</t>
  </si>
  <si>
    <t>214M</t>
  </si>
  <si>
    <t>i. Supply of 100 Students’ and 20 Teachers’ Furniture at Ogoni Primary School, Aghalokpe, okpe LGA  
ii. Supply 200 Students’ and 25 Teachers’ Furniture and Erection of Standard School Sign Post (with the name of the School and the new State Logo) at Orerokpe Secondary School, Orerokpe, Okpe LGA.</t>
  </si>
  <si>
    <t>Renovation/Rehabilitation of 1No. Four Classroom Block, 1No. three Classroom Block, Perimeter Block wall Fence with Gate and Construction of Gate House, Construction of 1No. Students’ Toilet (including water borehole) and Erection of Standard School Signpost (with the name of the School and State Logo) at Iriama Primary School, Iriama, Okpe</t>
  </si>
  <si>
    <t>Reconstruction of School Fence and Gate House, Renovation of 1No. Six Classroom Block with 2Nos. offices and Renovation of Staff Quarters  at Okuejeba Primary School, Okuejeba, Okpe</t>
  </si>
  <si>
    <t>Renovation of 1No. Three (3) Classroom Block at Ogoni Primary School, Aghalokpe, Okpe</t>
  </si>
  <si>
    <t>Renovation of 1No. three (3) Classroom Block  at Ogoni Primary School, Aghalokpe, Okpe</t>
  </si>
  <si>
    <t>Renovation of School Hall   at Ogoni Primary School, Aghalokpe, Okpe</t>
  </si>
  <si>
    <t>Construction of 2 Nos.6 classroom block at Evwreke Primary School, Osubi, Okpe</t>
  </si>
  <si>
    <t>Construction of perimeter fencing of 821m with one gate and security house at Osubi Secondary School, Osubi, Okpe</t>
  </si>
  <si>
    <t>Supply of 1,249 students’ desk and 548 teachers’ furniture to selected schools in Okpe LGA.</t>
  </si>
  <si>
    <t>i. Reconstruction of 1No.3 classroom block, 1No.6 classroom block and erection of standard school signpost at Okirikperhe Primary School, Okirikperhe, 
ii. Renovation/rehabilitation of 1No.3 classroom block at Oghwere Primary School, Okpe, 
iii. construction of examination hall and supply of science laboratory equipment at Oha Secondar School, Oha, 
iv. reconstruction of 1No.6 classroom block at Erivwode Primary School, Amuokpokpo, reconstruction of 1No.6 classroom block at 
v. Evwreke Primary School, Osubi, 
vi. reconstruction of 1No.3 classroom block, 2No.3 classroom block and erection of standard school signpost at Adeje Secondary School, Adeje, Okpe Constituency.</t>
  </si>
  <si>
    <t>103E</t>
  </si>
  <si>
    <t>Construction of Infrastructural Facilities at Aragba - Okpe Secondary School, Okpe</t>
  </si>
  <si>
    <t>103K</t>
  </si>
  <si>
    <t>Renovation/Rehabilitation of 1 No. 3 classroom block with offices, 1No. Principals quarters and procurement of science materials at Orhue Secondary School, Mereje Town, Okpe</t>
  </si>
  <si>
    <t>Construction of 1No. Prototype 6 classroom block with offices, Pupils Toilet with Water Stanchion and Borehole (Prototype) and Supply of 50 pupils and 15 Teachers Furniture in Ugbokodo Primary School, Ugbokodo, Okpe</t>
  </si>
  <si>
    <t>103T</t>
  </si>
  <si>
    <t>Construction of 6 classroom block with stores and toilet facilities and Erection of Standard school signboard (with the name of the School and the new State Government logo) in Achalla Mixed Secondary School, Achalla-Ibusa, Oshimili North</t>
  </si>
  <si>
    <t>Construction of 1No. Six (6) Classroom block with stores and toilet facilities and Erection of State Government uniform branded logo at Ebu Grammar School, Ebu, Oshimili North</t>
  </si>
  <si>
    <t>Construction of Administrative Block and Staff Room at Ebu Grammar School, Ebu, Oshimili North</t>
  </si>
  <si>
    <t>Construction of 1No. Six (6) Classroom block with stores and toilet facilities and Erection of School signboard with new State Government Logo at Ebu Grammar School, Ebu, Oshimili North</t>
  </si>
  <si>
    <t>Additional works for the renovation of Block wall fence and construction of gate house in Akwukwu-Igbo Grammar School, Akwukwu-Igbo,  Oshimili North LGA.</t>
  </si>
  <si>
    <t>Construction of a prototype 1No. six (6) classroom block with stores and toilet facilities and Erection of State Government branding uniform project signboard  in Achalla Mixed Secondary School, Achalla-Ibusa, Oshimili North</t>
  </si>
  <si>
    <t>Construction of Administrative Block and Staff Room  in Achalla Mixed Secondary School, Achalla-Ibusa, Oshimili North</t>
  </si>
  <si>
    <t>Construction of prototype 6 classroom block with stores and toilets and supply of 104 students’ and 15 teachers’ furniture at Okpanam High School, Okpanam, renovation of 1No.6 classroom block with offices, demolition/reconstruction of prototype administrative block (small size) and erection of school signboard with State Government logo at ugwu-Atakpo Primary school, Ibusa, renovation of gate house, 1No.6 classroom block and erection of school signboard with State Government logo at Okwute Primary School, Ukala-Okwute and renovation/rehabilitation of 1No.6 classroom block at Omorka Primary School, Illah, Oshmili North Constituency</t>
  </si>
  <si>
    <t>Construction of fence and gate house, furnishing of chemistry and physics laboratories, supply of laboratory equipment and instructional materials at Oruchi Comprehensive Secondary School, Okpanam, Oshimili North LGA.</t>
  </si>
  <si>
    <t>Construction of 1 No. 6 classroom block with stores and toilet facilities and maintenance and improvement of stanchion and tank capacity and construction of 0.4km 50mm UPVC pipeline extension in Government Model College,  GRA, Asaba, Oshimili South LGA.</t>
  </si>
  <si>
    <t>216L</t>
  </si>
  <si>
    <t>216C</t>
  </si>
  <si>
    <t>Supply of 193 students’ and 25 teachers’ furniture to Government Model College,  GRA, Asaba, Oshimili South LGA.</t>
  </si>
  <si>
    <t>Construction of 1 No. storey building of 10 classroom block with offices and toilets, supply of 315 students and 40 teachers’ furniture and erection of standard school sign post (with the name of the school and the State logo) in Asaba New Secondary School, Oduke Layout, Oshimili South LGA.</t>
  </si>
  <si>
    <t>Renovation of 1No.6 classroom block (B) with offices and 1No.6 classroom block (C) with offices at Okwe Secondary School, Okwe-Asaba, Oshimili South LGA.</t>
  </si>
  <si>
    <t>Construction of prototype 6 classroom block with offices at Afadia College, Asaba. Oshimili South</t>
  </si>
  <si>
    <t>Construction of fence and gate house, prototype toilets, completion of administrative block, renovation of 1No.6 classroom block, 1No.3 classroom block, construction of prototype 6 classroom block with offices and supply of 5.8/6.1KVA power generating set at Afadia College, Asaba, Oshimili South LGA.</t>
  </si>
  <si>
    <t>Renovation of 1No.6 classroom block with offices and toilets and conversion of an audit building to administrative building at Isioma Onyeobi College, Asaba, Oshimili South LGA.</t>
  </si>
  <si>
    <t>Supply of 250 Students’/pupils’ double desks and 80 Teachers’ Furniture to Selected schools in Patani</t>
  </si>
  <si>
    <t xml:space="preserve">Renovation of 6 classroom block without stores/offices, supply of 50 teachers’ and 345 students’ furniture to selected schools in and erection of standard school sign post (with the name of the school and the new State logo)  at Anyima Primary School, Abar, Patani </t>
  </si>
  <si>
    <t>322D</t>
  </si>
  <si>
    <t>i. Construction of 1No.6 classroom block (with offices only but no toilets), administrative block, 1No. students’ toilet (including water borehole), erection of standard school signpost (with the name of the school and the State logo 
ii Supply of 330 students’ and 150 teachers’ furniture at i. Aven Secondary School, Patani
ii. Selected Schools</t>
  </si>
  <si>
    <t>Renovation of 1No.3 Classroom Block with offices, construction of student toilets, borehole and stanchion and erection of school sign post with new Delta State Logo  atUduophori Secondary Commercial School, Uduophori, Patani LGA.</t>
  </si>
  <si>
    <t>Construction of 1No. Prototype 6 classroom block with offices and toilets and students’ toilet with water stanchion and borehole (prototype) at Agoloma Secondary School, Agoloma, Patani LGA.</t>
  </si>
  <si>
    <t>Construction of prototype 1No.6 classroom block with offices (but no toilets) at Uduophori Secondary Commercial School, Uduophori, Patani LGA.</t>
  </si>
  <si>
    <t>Renovation of 2No.6 classroom block with office at Angiama Primary School, Bolu-Angiama, Patani LGA.</t>
  </si>
  <si>
    <t>Substitution of the renovation of 1No.6 classroom block with offices and Separate toilet block at Ethiope Primary School, Amukpe with the renovation of a 6 classroom block and the construction of a block of 4 toilets at Okokporo Primary School, Okegborede in Sapele Constituency.</t>
  </si>
  <si>
    <t>i. Renovation of 1No.3 classroom block (A), reconstruction of 1No. 3 classroom block (B), renovation/rehabilitation of 1No.4 classroom block and erection of standard school signboard with new Delta State Government logo at Ofurhie Primary School, Ugbimidake-Elume, 
ii. Reconstruction of 1No.3 classroom block, renovation of 1No.4 classroom block and erection of standard school signboard with new Delta State Government logo at Egbele Primary School, Ogiede-Elume, 
iii. Renovation of 1No.3 classroom block (A), 1No.3 classroom block (B) and erection of standard school signboard with new Delta State Government logo at Pemu Primary School, Adagbrassa-Elume and iv. supply of science equipment to Okotie-Eboh Grammar School, Sapele.</t>
  </si>
  <si>
    <t>104R</t>
  </si>
  <si>
    <t>Construction of 1No.6 classroom block with offices (prototype) and renovation/rehabilitation of 1No.4 classroom block with offices at Ethiope  Mixed Secondary School, Sapele, Sapele LGA.</t>
  </si>
  <si>
    <t>Renovation/rehabilitation of 1No.4 classroom block, 1No.6 classroom block with stores and supply of 111 students’ and 13 teachers’ furniture Okotie-Eboh Primary School, Sapele</t>
  </si>
  <si>
    <t>Construction of a Block of six classroom with one office and Erection of Standard school signboard (with the name of the School and the new State Government logo) at Ugbisi Primary School, Ugbisi, Udu</t>
  </si>
  <si>
    <t>Construction of Single Tank water Borehole at Ugbisi Primary School, Ugbisi, Udu</t>
  </si>
  <si>
    <t>Renovation of 1No. Five Classroom Block with stores and toilets and Erection of State Government Branding Uniform Project sign post at Ugbisi Primary School, Ugbisi, Udu</t>
  </si>
  <si>
    <t>Construction of Perimeter Block wall Fence and Toilet block at Ugbisi Primary School, Ugbisi, Udu</t>
  </si>
  <si>
    <t>Renovation of 1No. 6 classroom block, 1 No. 5 classroom block, erection of school sign post at Ovwian Primary School, Ovwian, and Renovation/rehabilitation of 1No.4 classroom block with offices and toilets and erection of sign post at Jesu Primary School, Ovwian Udu LGA.</t>
  </si>
  <si>
    <t>Construction of block wall fence and gate house, conversion of 1No.6 classroom block to 1No. 12 classroom and supply of 110 students’ and 21 teachers’ furniture at Owhase Primary School, Owhase, Udu LGA.</t>
  </si>
  <si>
    <t>105I</t>
  </si>
  <si>
    <t>i. Renovation of examination hall and erection of standard school signpost with the name of the school and State logo at Ovwian Secondary School, Ovwian, 
ii. Construction of 1No.6 classroom block without offices and erection of standard school signpost with the name of the school and State logo at Ujevwu Secondary School, Ujevwu, 
iii. Construction of 1No.6 classroom block without stores and toilets, supply of 66 students’ and 10 teachers’ furniture and erection of standard school signpost with the name of the school and State logo at Ubogo Secondary School, Ubogo, Udu Constituency.</t>
  </si>
  <si>
    <t>105N</t>
  </si>
  <si>
    <t>Renovation of 2No. Administrative block, 3No.2 classroom block, 3 No.3 classroom block, open auditorium, G &amp; C room, conversion of 1No.4 classroom block to science laboratory/ICT room, construction of fence and gate house, bore hole and water stanchion, supply of 600 pupils’/students’ and 100 teachers’ furniture and erection of 2 standard sign posts with new delta State logo at Steel Primary and Secondary Schools, Udu LGA.</t>
  </si>
  <si>
    <t>105O</t>
  </si>
  <si>
    <t>Construction of 1No.6 classroom block at Ogbe-Udu Secondary School, Ogbe-Udu</t>
  </si>
  <si>
    <t>105D</t>
  </si>
  <si>
    <t xml:space="preserve">Demolition and reconstruction of 1No. Principal’s quarters and 1No. Boys’ quarters at Owhrode Secondary School, Owhrode, Udu </t>
  </si>
  <si>
    <t>105B</t>
  </si>
  <si>
    <t>Construction of 6 classroom block with stores, toilet facilities, supply of 20 teachers’ and 260 students’ furniture and erection of standard school sign post (with the name of the school and the new State logo) at Emeragha Secondary School, Emeragha, Ughelli North</t>
  </si>
  <si>
    <t>Construction of administrative block, 2 Nos. 6 classroom block, multipurpose laboratory block with stores, offices and toilets and 1 No. prototype toilet at Oteri Secondary School, Oteri, Ughelli North</t>
  </si>
  <si>
    <t>i.Renovation/Rehabilitation of 1 No. 8 classroom block and erection of of standard school sign post (with the name of the school and the State logo) at Mariere Primary School, Evwreni.
ii. Renovation of 1 No. 6 classroom block with office and erection of of standard school sign post (with the name of the school and the State logo) at Agbarha Primary School, Agbarha-Otor 
iii. Supply of 815 pupils’ and 242 teachers’ furniture to selected schools in Ughelli North Constituency I</t>
  </si>
  <si>
    <t>106O</t>
  </si>
  <si>
    <t xml:space="preserve">Renovation of 4No. 3 bedroom bungalows in Government College, Ughelli,  Ughelli North LGA </t>
  </si>
  <si>
    <t xml:space="preserve">Renovation of 1No. 3 bedroom bungalows in Government College, Ughelli,  Ughelli North LGA </t>
  </si>
  <si>
    <t>Alteration /Rehabilitation of woodwork workshop II in Government College, Ughelli, Ughelli North LGA.</t>
  </si>
  <si>
    <t>Alteration/Renovation of Agbarho and Obiaruku hostels in Government College, Ughelli, Ughelli North LGA.</t>
  </si>
  <si>
    <t>Construction of a prototype 1 No. 6 classroom block with stores and toilet facilities at Odedogho Secondary School, Ododegho, i, Ughelli North LGA.</t>
  </si>
  <si>
    <t>Renovation of 1No.6 classroom block with attached office at Izeze Primary School, Uwheru, Ughelli North LGA.</t>
  </si>
  <si>
    <t>Demolition/reconstruction of 1No.3 classroom block at Izeze Primary School, Uwheru, Ughelli North LGA.</t>
  </si>
  <si>
    <t>Construction of perimeter fence with gate and gate house at Izeze Primary School, Uwheru, Ughelli North LGA</t>
  </si>
  <si>
    <t>Construction of 1No.6 classroom block at Izeze Primary School, Uwheru, Ughelli North LGA.</t>
  </si>
  <si>
    <t>i. Renovation/rehabilitation of 1No.3 classroom block with offices and toilet facilities at Oghara Secondary School, Oghara, Agbarha-Otor, 1No.5 classroom block with stores at 
ii. Emonu Comprehensive Secondary School, Emonu-Orogun and supply of 200 students and 25 teachers’ furniture to Oghara Secondary School and Emonu Comprehensive Secondary School, Emonu-Orogun, Ughelli North LGA.</t>
  </si>
  <si>
    <t>Construction of 1No. Administrative block in Udovie Secondary School, Udovie, Ughelli North  LGA.</t>
  </si>
  <si>
    <t>Construction of 1No. 6 classroom block in Udovie Secondary School, Udovie, Ughelli North  LGA.</t>
  </si>
  <si>
    <t>Renovation of 1No.4 classroom block with offices (former hostel block), 1No.5 classroom block with offices (science block) and 1No.4 classroom block with offices (ICT block) at Unity Model School, Agbarho, Ughelli North LGA.</t>
  </si>
  <si>
    <t>Upward review for the construction of a prototype 1No.6 classroom block with stores and toilet facilities and supply of 50 students’ and 12 teachers’ furniture at Omosuomo Secondary School, Omosuomo, Ughelli South</t>
  </si>
  <si>
    <t xml:space="preserve">Supply of 300 Students’ and 150 Teachers’ Furniture at Selected Schools, Ughelli South </t>
  </si>
  <si>
    <t xml:space="preserve">Substitution of the supply of furniture with the renovation of the floors of 2No.6 classroom block in the award of contract for Construction of administrative block and supply of 289 students’ and 60 teachers’ furniture at Owhawha Secondary School, Otor-Owhawha, Ughelli South </t>
  </si>
  <si>
    <t>Renovation of 1No. 2 classroom block, Supply of 200 Students and 20 Teachers Furniture and Erection of School Sign Post with new Delta State Govt. Logo at Asamana Primary School, Arhavwarien, Ughelli South</t>
  </si>
  <si>
    <t xml:space="preserve">Renovation of Laboratory/Work Shop. Renovation of 1No. Six (6) Classroom Block and Renovation of 1 No. Four (4) Classroom Block at Olomu Secondary School, Olomu, Ughelli South </t>
  </si>
  <si>
    <t>Construction of Science Laboratory and Examination Hall at Ughevwughe Secondary School, Ughevwughe, Ughelli South</t>
  </si>
  <si>
    <t>Renovation/rehabilitation of 1No.6 classroom block with offices and erection of school signboard with new State Government logo at Adaka Primary School, Okpavuerhe-Olomu, Construction of 1No.6 classroom block with offices and erection of school signboard with new State Government logo at Ovwodokpokpor Secondary School, Ovwodokpokpor, construction of 1No.6 classroom block with offices and erection of school signboard with new State Government logo at Umolo Secondary School, Umolo-Olomu and supply of 121 students’ and 30 teachers’ furniture to selected schools in Ughelli South Constituency.</t>
  </si>
  <si>
    <t>Construction of 1No. prototype 6 classroom block with offices and demolition/ reconstruction of 1No.3 classroom block with offices in Ofrukama Primary School, Ofrukama, Ughelli South</t>
  </si>
  <si>
    <t>Construction of Administrative Block and Erection of State Government branding uniform project signboard at  Obi-Obeti Secondary School, Obi-Obeti, Ukwuani</t>
  </si>
  <si>
    <t>Supply of 300 Students’ and 27 Teachers’ Furniture at  Obi-Obeti Secondary School, Obi-Obeti, Ukwuan</t>
  </si>
  <si>
    <t>Construction of 2No. Six (6) Classroom Block and Erection of Standard school Sign Post (with the name of the School and the new State logo) at  Obi-Obeti Secondary School, Obi-Obeti, Ukwuan</t>
  </si>
  <si>
    <t xml:space="preserve">i. Renovation/rehabilitation of 1no.3 classroom block with offices, construction of 1No.3 classroom block with offices and toilets, supply of 60 students’ and 15 teachers’ furniture, erection of school signboard with new State Government logo 
ii. Renovation/rehabilitation of 2No.6 classroom block with offices, construction of prototype toilet block with stanchion and borehole and erection of School signboard with new State Government logo at i.Umuaja Mixed Secondary School, Umuaja
ii. Umutu Mixed Secondary School </t>
  </si>
  <si>
    <t>Renovation/rehabilitation of 1No. 6 classroom block with offices and construction of students’ toilet with water stanchion and borehole (prototype) at Umuebu Primary School, Amai, demolition/reconstruction of 1No.3 classroom block and supply of 25 students’ furniture to Nge Primary School, Amai, Ukwuani LGA.</t>
  </si>
  <si>
    <t>217I</t>
  </si>
  <si>
    <t>Construction of 1No.6 classroom block with offices at Ebrumede Secondary School, Ebrumede, 1No. 6 classroom block and 1No.3 classroom block at Iterebi Secondary School, supply of 219 students’ and 30 teachers’ furniture to Ebrumede and Iterebi Secondary Schools and erection of standard school signboard with Delta State logo at Iterebi Secondary School, Uvwie LGA.</t>
  </si>
  <si>
    <t>Construction of Corpers’ lodge and supply of 115 students’ and 20 teachers’ furniture in Adult Literacy Centre, Ekpan;  Uvwie LGA</t>
  </si>
  <si>
    <t xml:space="preserve">Construction of prototype 1No. 6 Classroom block with stores and toilet facilities at Iterigbe Secondary School, Uvwie, </t>
  </si>
  <si>
    <t>108N</t>
  </si>
  <si>
    <t>Construction of 1No.prototype 6 classroom block in Abe I Secondary School, Aruakpor Umah, Uvwie</t>
  </si>
  <si>
    <t>Construction of prototype administrative block (small size) at Iterigbe Secondary School, Uvwie</t>
  </si>
  <si>
    <t xml:space="preserve">Construction of prototype 1No. 6 Classroom block with stores and toilet facilities in Iterigbe Secondary School, Uvwie LGA.  </t>
  </si>
  <si>
    <t xml:space="preserve">Construction of prototype students’ toilet and Supply of 300 students’ and 30 teachers’ in Iterigbe Secondary School, Uvwie LGA.                                                                                                                                                                                                                                                                                                           </t>
  </si>
  <si>
    <t>Construction of a prototype 6 classroom block with stores and toilets at at St. Kabe Primary School, Tsekelewu, Warri North</t>
  </si>
  <si>
    <t>Supply of 15 teachers’ and 150 students’ furniture to St. Kabe Primary School, Tsekelewu, Warri North</t>
  </si>
  <si>
    <t>Supply of 15 teachers’ and 250 students’ furniture to St. Kabe Primary School, Tsekelewu, Warri North</t>
  </si>
  <si>
    <t>Construction of 2No. prototype 3 classroom block with offices 1No. staff quarter and erection of standard school signpost with the name of the school and the State logo at Ugberun/Ijala Primary School, Oboghoro, Warri North LGA.</t>
  </si>
  <si>
    <t>Renovation of 1No.2 classroom block with office, 1No.6 classroom block with office, 2No.3 classroom block, construction of student toilet with water stanchion and borehole and renovation of 1No. security house at Ajagbodudu Primary School, Ajagbodudu, Warri North LGA</t>
  </si>
  <si>
    <t>Construction of Prototype 6 classroom block with stores and toilet facilities and Erection of Standard school sign post (with the name of the School and  new State Government logo) at Obodo College, Obodo, Warri South</t>
  </si>
  <si>
    <t>Construction of Administrative Block and Erection of State Government branding uniform project signboard at Obodo College, Warri, Warri South</t>
  </si>
  <si>
    <t>Construction of 1No. Six (6) Classroom Block with stores and Toilet Facilities at Obodo College, Warri, Warri South</t>
  </si>
  <si>
    <t>Construction of 1No.3 classroom block (special design), prototype toilet block, conversion and renovation of 1No.6 classroom block to examination hall, library with 2No. classroom and erection of standard school signpost with the name of the school and the state logo at Egbokodo Secondary School, Egbokodo, construction of prototype toilet block, furnishing of science laboratory and erection of standard school signpost with the name of the school and State logo at Atuwatse II (Ifie) Secondary School, Ifie and supply of 242 students’ and 30 teachers’ furniture to selected schools in Warri South I Constituency.</t>
  </si>
  <si>
    <t>Construction of 1No.3 classroom block with offices and toilets, students’ toilet with water stanchion and borehole, erection of standard school sign post (with the name of the school and the new State logo at Edjeba Secondary School, Edjeba, construction of 1No.6 classroom block with offices and toilets, examination hall, supply of 80 students’ double seater furniture and erection of standard school sign post (with the name of the school and the new State logo) at College of Commerce, Warri,  Warri South II Constituency.</t>
  </si>
  <si>
    <t>Conversion of 1No.3 classroom block with offices and toilets to staff quarters and 1No. office block to staff quarters at Ubeji Secondary School, Ubeji, Warri South</t>
  </si>
  <si>
    <t>Supply of 100 students’/pupils’ double seater desks and 30 teachers’ furniture to Selected schools, Warri South</t>
  </si>
  <si>
    <t>Renovation of 2No.6 classroom block with offices at Ogbe-Ijoh Grammar School, Ogbe-Ijoh, Warri South West</t>
  </si>
  <si>
    <t>Construction of 1No. Prototype 6 classroom Block with offices in Costain Primary School, Costain, Warri South West LGA.</t>
  </si>
  <si>
    <t>Construction of 1No. 6 (Six) Classroom Block with Offices at Otseyi Primary School, Warri South West LGA.</t>
  </si>
  <si>
    <t>Renovation of 1No.three (3) Classroom Block with Office at Diabo Primary School,  Warri South West LGA.</t>
  </si>
  <si>
    <t>Construction of a block of 4 units of 1 bedroom flats at Edah Primary School, Madangho and a block of 4 units of 1 bedroom flats at Udiaboh Primary School, Ajudiabo Warri South West LGA.</t>
  </si>
  <si>
    <t>323E</t>
  </si>
  <si>
    <t>Renovation of 1No.8 classroom block with offices and toilets at Isaba Grammar School, Isaba, Warri South West</t>
  </si>
  <si>
    <t>Provision of science equipment/materials for Senior Secondary Schools in the three Senatorial Districts of Delta State.</t>
  </si>
  <si>
    <t>Supply of computers and related items to Secondary Schools in Delta State.</t>
  </si>
  <si>
    <t>Supply of 1,102 pupils’/students’ and 200 teachers furniture to Public Primary and Secondary Schools in Delta Central Senatorial District.</t>
  </si>
  <si>
    <t>Supply of 1,102 pupils’/students’ and 200 teachers furniture to Public Primary and Secondary Schools in Delta South Senatorial District.</t>
  </si>
  <si>
    <t xml:space="preserve">Construction of a prototype 1No.6 classroom block with stores and toilet facilities, prototype 1No.3 classroom block, prototype administrative block, prototype students’ toilet and supply of 50 students’ and 10 teachers’ furniture, Azagba Ogwashi Mixed Secondary School, Azagba-Ogwashi, Aniocha South LGA </t>
  </si>
  <si>
    <t xml:space="preserve">Renovation of 1No.6 classroom block at Nshiagu College, Ogwashi-Uku, Aniocha South LGA </t>
  </si>
  <si>
    <t xml:space="preserve">Renovation of 1No.6 Classroom Block, with offices and toilets and 3 classroom block (Block A) at Nshiagu College, Ogwashi-Uku, Aniocha South LGA  </t>
  </si>
  <si>
    <t xml:space="preserve">Renovation of 1No. 3 Classroom Block (Block B) and 1No. 3 Classroom Block (Block C) at Nshiagu College, Ogwashi-Uku, Aniocha South LGA </t>
  </si>
  <si>
    <t>Renovation of 1No. 3 Classroom block with offices and toilets and 1No. 3 classroom block with toilets and stores housing the CIEs office at Nshiagu College, Ogwashi-Uku, Aniocha South LGA</t>
  </si>
  <si>
    <t>Renovation of 1No.10 classroom block with stores and supply of 175 students’ and 50 teachers’ furniture, Baptist Medical Centre Secondary School, Eku, Ethiope East LGA</t>
  </si>
  <si>
    <t>Construction of Prototype 6 Classroom block with toilet facilities and stores at Irhodo Secondary School, Jesse, Ethiope West LGA</t>
  </si>
  <si>
    <t>Revised Renovation of 1No.6 classroom block with cubicles, 1No. 3 classroom block and examination hall and supply of 410 students and 67 teachers furniture to Owanta Mixed Secondary School, Owanta, Ika North East LGA</t>
  </si>
  <si>
    <t>Renovation/rehabilitation of 1No.6 classroom block with attached offices and construction of 1No. prototype toilet block (without water reticulation) at Oki Primary School, Oki, Ika South LGA</t>
  </si>
  <si>
    <t xml:space="preserve">Renovation/Rehabilitation of 1No. 3 Classroom block with offices at Ime-Obi Secondary School, Agbor, Ika South LGA </t>
  </si>
  <si>
    <t>Renovation/Rehabilitation of 2No.6 classroom block with offices, 1No.7 classroom block with offices and erection of standard school signpost with the name of the school and State Logo at Ime-Obi Secondary School, Agbor, Ika South LGA</t>
  </si>
  <si>
    <t>Renovation/Rehabilitation of 1No.3 Classroom Block and 1No.8 classroom block at Charles Burr Primary School, Agbor, Ika South LGA</t>
  </si>
  <si>
    <t>Additional Works for the construction of 2No. Storey building of 12 classroom blocks with offices and toilets, renovation/construction of fence and gate house, conversion of 6 classroom block with offices to 3Nos.  Laboratories and ICT room with stores and supply of 600 students and 75 teachers furniture, 120 laboratory stools and 25 computer tables and chairs and erection of school signboard with new State Government logo at Igumbor Otiku Secondary School, Agbor, Ika South LGA</t>
  </si>
  <si>
    <t>Renovation/Rehabilitation work of 1No.4 Laboratory Block with offices and toilet facilities, 1No.6 classroom block (Block A) and 1No. 6 Classroom (Block B) at Aviara Secondary School, Isoko South LGA</t>
  </si>
  <si>
    <t>Construction of prototype students’ toilet with water at Origho Primary School, Emonsoye, Isoko South LGA</t>
  </si>
  <si>
    <t xml:space="preserve">Electricity to existing structures and drilling of borehole and water reticulation of water to existing classroom blocks and toilets, Okwegume Secondary School, Okwegume, Okpe LGA                                                                                                                                                                              </t>
  </si>
  <si>
    <t>Renovation/rehabilitation of 1No.3 classroom block with offices, 1No.3 classroom block (block A), 1No.3 classroom block (block B) and supply of 220 students’ and 25 teachers’ furniture, Aragba Okpe Secondary School, Aragba-Okpe, Okpe LGA</t>
  </si>
  <si>
    <t>Renovation/Rehabilitation of Examination hall, 1No.6 Classroom Block, Construction of Students Toilet (prototype) and supply of 50 students and 10 Teachers furniture at Mixed Secondary School, Ukala-Okpunor, Oshimili North LGA</t>
  </si>
  <si>
    <t>215N</t>
  </si>
  <si>
    <t>Renovation/remodeling of Health Department to Laboratory block at Isioma Onyeobi College, Oshimili South LGA</t>
  </si>
  <si>
    <t>Construction of L-Shaped 1No. Six(6) Classroom block with 8Nos offices and toilets (Borehole and Stand inclusive) at Government Model Secondary School, GRA, Asaba, Oshimili South LGA</t>
  </si>
  <si>
    <t>Renovation of 1No.5 classroom block with 2No. offices and 1No. staffroom, perimeter block wall fence with construction of gate house and construction of students’ toilet with water stanchion and borehole, Eyetan Primary School, Sapele</t>
  </si>
  <si>
    <t>Construction of students’ toilet block, Ovwian Secondary School, Ovwian, Udu</t>
  </si>
  <si>
    <t xml:space="preserve">Demolition/reconstruction of 1No.6 classroom block with offices, Ovwian Secondary School, Ovwian, Udu </t>
  </si>
  <si>
    <t xml:space="preserve">Renovation/rehabilitation of 1No.9 classroom block with offices with attached walkway, Ovwian Secondary School, Ovwian, Udu </t>
  </si>
  <si>
    <t>Renovation/rehabilitation of 1No.6 classroom block with attached offices, 2Nos.3 classroom blocks with offices, 1No.3 classroom block, 1No.2 laboratory block with offices and 3No classroom block with offices and erection of signpost with the new Delta State logo, Ovwian Secondary School, Ovwian, Udu</t>
  </si>
  <si>
    <t>Renovation/rehabilitation of 1No.6 classroom block with attached 0ffice and construction of prototype students’ toilet with borehole and water stanchion, Esaba Primary School, Esaba, Ughelli North LGA</t>
  </si>
  <si>
    <t>Reconstruction of dinning hall and construction of gate house with gates, Unity Model School, Agbarho, Ughelli North LGA</t>
  </si>
  <si>
    <t>Construction of 1No. Prototype Laboratory block with store, office and toilets, supply/installation of concrete work top at the science laboratory block and procurement of science materials at Oghara Secondary School, Agbarha-Otor, Ughelli North LGA</t>
  </si>
  <si>
    <t xml:space="preserve">Renovation/rehabilitation of 1No.2 classroom block with attached offices, 1No.4 classroom block with 2No. offices and construction of 1No. prototype 6 classroom block with offices, Morka Primary School, Obiaruku, Ukwuani LGA </t>
  </si>
  <si>
    <t xml:space="preserve">Renovation of 1No.6 classroom block (block C) at Umukwata Primary School, Obinomba, Ukwuani LGA </t>
  </si>
  <si>
    <t>217F</t>
  </si>
  <si>
    <t xml:space="preserve">Renovation of block work fence, gate house and demolition of existing dilapidated 5 classroom block and construction of 1No.3 classroom block with offices and toilet at Umukwata Primary School, Obinomba, Ukwuani LGA  </t>
  </si>
  <si>
    <t xml:space="preserve">Renovation of 1No.6 classroom block (block B) at Umukwata Primary School, Obinomba, Ukwuani LGA </t>
  </si>
  <si>
    <t xml:space="preserve">Renovation of 1No.6 classroom block (block A) at Umukwata Primary School, Obinomba, Ukwuani LGA </t>
  </si>
  <si>
    <t xml:space="preserve">Renovation/Rehabilitation of 1No. 7 classroom block and supply of 200 students and 30 teachers furniture to Akashiede Girls Secondary School, Obiaruku, Ukwuani LGA </t>
  </si>
  <si>
    <t xml:space="preserve">Upward Review of Contract for the Construction of a Storey Building Block of 12 Classrooms at New Ekpan Secondary School, Ekpan, Uvwie </t>
  </si>
  <si>
    <t>Construction of 1No.13 classroom block with office and toilet (on 2 floors), fence and gate house and borehole and water stanchion at Ighogbadu Secondary School, Warri, Warri South LGA</t>
  </si>
  <si>
    <t>325F</t>
  </si>
  <si>
    <t>Renovation of 1No.7 classroom block with offices, reconstruction of 1No.3 classroom block (prototype) and construction of prototype students’ toilet at Iginiwa Primary School, Ode-Itsekiri, Warri South LGA</t>
  </si>
  <si>
    <t>Renovation of 1No.4 classroom block at Ukpokiti Primary school, Warri, Warri South LGA</t>
  </si>
  <si>
    <t>Construction of 8Nos.2 Bedroom flats (1 Storey building teachers quarters) at Nana College, Warri, Warri South LGA</t>
  </si>
  <si>
    <t>Supply of 1,165 pupils/students and 150 teachers furniture to Public Primary and Secondary Schools in Delta North Senatorial District</t>
  </si>
  <si>
    <t>Supply of 2,350 pupils/students and 290 teachers furniture to Public Primary and Secondary Schools in Delta North Senatorial District</t>
  </si>
  <si>
    <t>Office equipment</t>
  </si>
  <si>
    <t>Post Primary Education Board</t>
  </si>
  <si>
    <t>State Universal Basic Education Board (SUBEB)</t>
  </si>
  <si>
    <t>02100</t>
  </si>
  <si>
    <t>F506011299</t>
  </si>
  <si>
    <t>0517320001</t>
  </si>
  <si>
    <t>0517320002</t>
  </si>
  <si>
    <t>0517320003</t>
  </si>
  <si>
    <t>0517320004</t>
  </si>
  <si>
    <t>Provision ofInstruction Materials to Public Primary Schools</t>
  </si>
  <si>
    <t>000220220311</t>
  </si>
  <si>
    <t>000220220312</t>
  </si>
  <si>
    <t>000220220403</t>
  </si>
  <si>
    <t>70912</t>
  </si>
  <si>
    <t>Renovation of Fimanace and Accounts Block</t>
  </si>
  <si>
    <t>Ministry of Health</t>
  </si>
  <si>
    <t>0517120001</t>
  </si>
  <si>
    <t>0517120002</t>
  </si>
  <si>
    <t>0517120003</t>
  </si>
  <si>
    <t>0517120004</t>
  </si>
  <si>
    <t>0517120005</t>
  </si>
  <si>
    <t>HE INTERVENTION</t>
  </si>
  <si>
    <t>Adult and Non Formal Education</t>
  </si>
  <si>
    <t>Establishment and equipping of inclusive Schools at Agbor and Okpanam</t>
  </si>
  <si>
    <t>Establishment of a new Public Primary School at Junior Staff Quarters, Okpanam.</t>
  </si>
  <si>
    <t>Establishment of a new Public Secondary School at the defunct FSP premises</t>
  </si>
  <si>
    <t>Infratructural development of the permanent site of omu Boys Secondary, Ibusa, Oshimili North LGA</t>
  </si>
  <si>
    <t>Fencing of Schools across the state</t>
  </si>
  <si>
    <t>Special intervention in West-End Mixed Secondary School:
1. Reconstruction of the storey building.
2. Landscaping.
3. Renovation/rehabilitation of classroom blocks</t>
  </si>
  <si>
    <t>Perimeter fencing and gatehouse of Steel Town School, Agbarho</t>
  </si>
  <si>
    <t>Teachers Professional Development Centre (TPDC)</t>
  </si>
  <si>
    <t>Infrastructural development of Dein Secondary School, Agbor</t>
  </si>
  <si>
    <t>Rehabilitation of infrastructural facilities at Ibusa Girls Secondary School.</t>
  </si>
  <si>
    <t>Rehabilitation of Infrastructural facilities (including Principal's quarters, Corpers' lodge, fencing and administrative blocks) at Emonu Comprehensive Secondary School, Emonu Orogun, Ughelli North LGA</t>
  </si>
  <si>
    <t>Construction of Perimeter Block Wall Fence, Multi purpose Hall and Laboratory at Okpanam High School, Okpanam, Oshimili North LGA</t>
  </si>
  <si>
    <t>Construction of Perimeter Block Wall Fence and Principals Quarters at Owa Secondary School, Owa-Oyibu, Ika North-East LGA</t>
  </si>
  <si>
    <t>Renovation of infrastructural Facilities and Construction of Principals quarters, Corpers Lodge and perimeter Block wall Fence at Ute-Okpu Grammar School, Ika North-East LGA</t>
  </si>
  <si>
    <t>Rehabilitation of infrastructural facilities at St. Thomas's College, Ibusa, Oshimili North LGA</t>
  </si>
  <si>
    <t>Rehabilitation of infrastructural facilities at Comprehensive High School, Idumuje Ugboko, Aniocha North LGA</t>
  </si>
  <si>
    <t>Rehabilitation of infrastructural facilities at Ozomor Primary School, Owa-Alizomor Aniocha North LGA</t>
  </si>
  <si>
    <t>Rehabilitation of infrastructural facilities at Ogun Primary School, Ovwor-Olomu, Ughelli South LGA</t>
  </si>
  <si>
    <t>Rehabilitation of infrastructural facilities at Government Secondary School, Atuma, Oshimili North LGA</t>
  </si>
  <si>
    <t>Rehabilitation of infrastructural facilities at Illah Grammar School, Illah, Oshimili North LGA</t>
  </si>
  <si>
    <t>Production of Schemes of work</t>
  </si>
  <si>
    <t>Provision of Registers, Diaries, Charts and other Instructional materials to Public Schools in the State</t>
  </si>
  <si>
    <t>Provision of Science Equipment to Selected Public Secondary Schools in the State</t>
  </si>
  <si>
    <t>Supply of Science Equipment to Igumbor Otiku Secondary School, Alihagu Secondary School, Ika South LGA and Efeizomor Secondary School, Ika North East LGA</t>
  </si>
  <si>
    <t>Supply of Furniture to Public Primary and Secondary Schools in the State.</t>
  </si>
  <si>
    <t>Construction/Rehabilitation of infrastructrural facilities at Egodor Secondary School, Egodor, Burutu LGA</t>
  </si>
  <si>
    <t>Rehabilitation of infrastructural facilities at St. Anthony's Secondary School, Ubulu-Uku, Aniocha South LGA</t>
  </si>
  <si>
    <t xml:space="preserve">Perimeter fencing of Oduke Secondary School; construction of Water supply system and connection of power to BEDC </t>
  </si>
  <si>
    <t>Perimeter fencing and construction of gate house at Ugbolu Mixed Secondary school, Ugbolu</t>
  </si>
  <si>
    <t>Conversion of under-utilized classroom blocks/Construction of Corpers Lodge in selected schools in the State</t>
  </si>
  <si>
    <t>Special Interventions during emergencies in Education</t>
  </si>
  <si>
    <t>The National Policy on Education (NPE) advocates for inclusive education at all levels of Basic &amp; Secondary education.  Hence, the need for the state to pilot test with some schools has become apt</t>
  </si>
  <si>
    <t xml:space="preserve">Uzoigwe Primary School is the only public Primary School catering for school age children stretching from FMC through Shoprite flyover to DDPA and down to Okpanam town.  Therefore,the new school will serve as buffer for primary school pupils within the catchment area. </t>
  </si>
  <si>
    <t xml:space="preserve">There has been over pressure on the existing facilities at West End M/S/S, Asaba and Govermnemt Model Secondary School Asaba due to huge enrolment surge.  The school are apparently exeeding their carrying capacities thereby resulting in high classroom/students ratios.  Hence, the new school will reduce the enrolment pressure in both schools </t>
  </si>
  <si>
    <t>This school has been established and existing for upwards of four (4) years but cohabiting with a primary school which has made teaching and learning somewhat diifficult.  Hence, its needs to rrelocate to the permanent site provided by the community</t>
  </si>
  <si>
    <t xml:space="preserve">The issue of school land encroachment has assumed  frightening dimensions to the extent that unscrupulous community members are even engaged in the land rackecteering and speculative activities.  Most unfenced school structures now serve as hide outs and dens for kidnappers, armed robbers and other miscreants including cultism and vandalism.  Hence, the special focus on school safety and security. </t>
  </si>
  <si>
    <t>This school is the only public secondary school in the state running double shifts for almost four (4) years now. Beside the population surge, the newly constructed storey building block which ordinarily should have accommodated over 500 students is in a terribly bad and deangerous state.  THe only option is complete demolition and construction of a new one.  Worst still is the poor and marshy landscape whic puts government in bad breath as the school is strategically located on the highway</t>
  </si>
  <si>
    <t>Government is in the process of resolving the disagreement with the Mission authorities and at the end there would be the need for minor renovation works before full school rsumption</t>
  </si>
  <si>
    <t>This school was newly acquired by the government from the defunct DSC Aladja and requires fencing to provide autonomy and safety of school properties.</t>
  </si>
  <si>
    <t>This is a professional centre for the building of the capacities of teachers especially and other human resources for the State and National development.  The project is ongoing but requires continued budgetary provisions towards its completion.</t>
  </si>
  <si>
    <t>The school school is undergoing some forms of transformation and reforms</t>
  </si>
  <si>
    <t>This school is in a very delapidated condition and requires urgent government intervention on nearly all the school structures</t>
  </si>
  <si>
    <t>The school is in a poor state and faced with copious land encroachment which must be tackled urgently</t>
  </si>
  <si>
    <t>This school is located within the heart of Okpanam community and boardered by residential homes which makes the environment prone to encraochment, distractions and vices because of free access into the schoo compound.  Beside, there are neither laboratory nor examination halls for conducive teaching and learning</t>
  </si>
  <si>
    <t>This school has been encroachment prone with no fencing nor Quarters.  Hence, the need for Principal's quarters to provide human prsence especailly after school hors.</t>
  </si>
  <si>
    <t>Need for infrstructural upgrades and make human presence possible in the school to wards oof criminal activities</t>
  </si>
  <si>
    <t>This school structures are all in great shambles that that teaching and learning has almost become impossible at the moment</t>
  </si>
  <si>
    <t>The structures require rahbilatation to bring up the school to relative standards</t>
  </si>
  <si>
    <t>School structures in very delapidated states</t>
  </si>
  <si>
    <t>The school structures have been under serious attacks through bush fire and other sundry activities of hoodlums therby leaving the school in very poor state for teaching and learning</t>
  </si>
  <si>
    <t>the school premises is fast becoming the den of armed bandits and other miscreants who occupy the school after schooling hours for nefarious activities</t>
  </si>
  <si>
    <t>This is essentially needed for adequate referencing during teaching and learning</t>
  </si>
  <si>
    <t>These are statutory school records which must be provided by government for all school and further aids to classroom interactions</t>
  </si>
  <si>
    <t>This is required to aid science and technology driven education and economic grwoth</t>
  </si>
  <si>
    <t>There are existing newly built laboratory structures withpout the necessary scince equipment for teaching and learning of the sciences</t>
  </si>
  <si>
    <t>The furniture situation in most schools have assumed a very worrisome and embarrassing dimensions with many learners sitting practically on bare floors during class activities and this impedes quality outcomes</t>
  </si>
  <si>
    <t>This is a typical hinterland school with poor classroom facilities and requires quick interventions</t>
  </si>
  <si>
    <t>This is a new school located in the heart of Oduke community but has witnessed herders' incessant disturbances.  Hence, security is required</t>
  </si>
  <si>
    <t>The school compound has been been hijacked by hoodlums who use the adjorning surroundings for criminal activities including gang raping and cult activities</t>
  </si>
  <si>
    <t>Schools with surplus or under-utilized blocks of classrooms could be converted and rehabilitated into Corpers' lodge</t>
  </si>
  <si>
    <t>There are many incidences of natural and man-made disasters such as blown off roofs, burglary theft etc which may appear minor and requiires urgent attention to avoid further deterioration with increased expenditure on government</t>
  </si>
  <si>
    <t>0517022001</t>
  </si>
  <si>
    <t>0517022002</t>
  </si>
  <si>
    <t>0517022003</t>
  </si>
  <si>
    <t>0517022004</t>
  </si>
  <si>
    <t>0517022005</t>
  </si>
  <si>
    <t>0517022006</t>
  </si>
  <si>
    <t>0517022007</t>
  </si>
  <si>
    <t>0517022008</t>
  </si>
  <si>
    <t>0517022009</t>
  </si>
  <si>
    <t>0517022010</t>
  </si>
  <si>
    <t>0517022011</t>
  </si>
  <si>
    <t>0517022012</t>
  </si>
  <si>
    <t>0517022013</t>
  </si>
  <si>
    <t>0517022014</t>
  </si>
  <si>
    <t>0517022015</t>
  </si>
  <si>
    <t>0517022016</t>
  </si>
  <si>
    <t>0517022017</t>
  </si>
  <si>
    <t>0517022018</t>
  </si>
  <si>
    <t>0517022019</t>
  </si>
  <si>
    <t>0517022020</t>
  </si>
  <si>
    <t>0517022021</t>
  </si>
  <si>
    <t>0517022022</t>
  </si>
  <si>
    <t>0517022023</t>
  </si>
  <si>
    <t>0517022024</t>
  </si>
  <si>
    <t>0517022025</t>
  </si>
  <si>
    <t>Construction of Administrative/Senate building at DELSU, Abraka</t>
  </si>
  <si>
    <t>Faculty of Engineering, Oleh Campus</t>
  </si>
  <si>
    <t>Additional facilities (furniture, E-Library, Computer Based Testing) at the Standard Library Complex, Asaba</t>
  </si>
  <si>
    <t>Construction offence of Male/Female Halls of Residence/Gate house at Delta State Polytechnic, Ogwashi-Uku</t>
  </si>
  <si>
    <t>Supply of workshop/laboratory equipment at Delta State Polytechnic, Ozoro</t>
  </si>
  <si>
    <t>Demolition and Reconstruction of a fresh 12-classroom Building Block inclusive of Abolition works at Institute of Continuing Education, Ásaba</t>
  </si>
  <si>
    <t>Construction of Faculty of Science, Delta State University, Abraka Campus (Faculty Block (1) Unit</t>
  </si>
  <si>
    <t>Institute of Continuing Education</t>
  </si>
  <si>
    <t>Fencing of DELSU, Anwai</t>
  </si>
  <si>
    <t>Fencing of Delta State Polytechnic, Otefe-Oghara</t>
  </si>
  <si>
    <t>Renovation of Education Building, College of Education, Warri</t>
  </si>
  <si>
    <t>Provision of potable water, DELSU, Anwai</t>
  </si>
  <si>
    <t>Establishment of Library at Uwheru</t>
  </si>
  <si>
    <t>Digitalization of Libraries</t>
  </si>
  <si>
    <t>0517022026</t>
  </si>
  <si>
    <t>0517022027</t>
  </si>
  <si>
    <t>0517022028</t>
  </si>
  <si>
    <t>0517022029</t>
  </si>
  <si>
    <t>0517022030</t>
  </si>
  <si>
    <t>0517022032</t>
  </si>
  <si>
    <t xml:space="preserve">Construction of Six (6) Classroom Block with stores and Toilet facilities each  at Etti-tti Amaka Primary School, Ubulu-Unor and Nsukwa Grammar School, Nsukwa. </t>
  </si>
  <si>
    <t>MINISTRY OF ENERGY</t>
  </si>
  <si>
    <t>FOR IMPROVEMENT OF ELECTRICITY ACROSS THE STATE.</t>
  </si>
  <si>
    <t>RURAL DEVELOPMENT AGENCY</t>
  </si>
  <si>
    <t>DIFF</t>
  </si>
  <si>
    <t>Re-inforcement / Rehabilitation of Electricity Supply Network at Urhuoka/ Ekredjeta-Abraka, Ethiope East LGA</t>
  </si>
  <si>
    <t>Establishment of Inter-Township Connection Network (ITC) 33KV to Ogriagbene in Bomadi LGA</t>
  </si>
  <si>
    <t xml:space="preserve">Installation of 1No. 300KVA, 11/0.415KV Transformer and 1No. 500KVA, 11/0.415KV Transformer at DBS Station (Asaba) and Jarret Street (Asaba) Oshimili South LGA  </t>
  </si>
  <si>
    <t xml:space="preserve">Extension of Electricity to Omenibodo Agricultural Estate/Ogbe-Nnani Street, Abbi, Ndokwa West LGA  </t>
  </si>
  <si>
    <t>Re-Inforcement/Rehabilitation of Electricity Supply Network at Koko Community in Warri North LGA</t>
  </si>
  <si>
    <t>Rehabilitation/Re-Inforcement of Electricity Supply Network at Ugono/Orogun, Ughelli North LGA</t>
  </si>
  <si>
    <t>Rehabilitation/Re-Inforcement of Electricity Supply Network at Okoro/Ajuya Streets &amp; Environs, Warri South LGA</t>
  </si>
  <si>
    <t>Re-Inforcement of Electricity Supply Network at Onicha-Olona, Aniocha North LGA</t>
  </si>
  <si>
    <t>Rehabilitation/Re-Inforcement of Electricity Supply Network at Uwheru, Agadama and Ighwre-Ovie Town, Ughelli North LGA</t>
  </si>
  <si>
    <t xml:space="preserve">Re-Inforcement/Rehabilitation Electricity of Supply Network at Abbi, Ndokwa West  </t>
  </si>
  <si>
    <t>Rehabilitation of  Electricity Supply Network at Enwhe, Isoko South LGA</t>
  </si>
  <si>
    <t>Rehabilitation/Re-Inforcement of Electricity Supply Network at Okugbe Quarters &amp;  Uduophori Waterside, Uduphori Town, Patani LGA</t>
  </si>
  <si>
    <t>Rehabilitation/Re-Inforcement of Electricity Supply Network at Old AT&amp;P Road, Ejumuyavwe, Oghara Junction and Mosogar, Ethiope West  LGA</t>
  </si>
  <si>
    <t>Purchase/Supply of Critical  Electrical Materials For The Re-Inforcement of the Existing Electricity  Electricity Networks in Delta State</t>
  </si>
  <si>
    <t>Re-Inforcement of Electricity Supply Network at Barr. Irogbo/Our Lady's School environs, Okpanam and Ugbolu, Oshimili  North LGA</t>
  </si>
  <si>
    <t xml:space="preserve">Extension of Electricity Supply Network to Amachai New Layout, Okpanam, Oshimili  North LGA </t>
  </si>
  <si>
    <t>Rehabilitation/Re-Inforcement of Electricity Supply Network at Jaffi-Tutu Street and Environs, Abavo, Ika South LGA</t>
  </si>
  <si>
    <t>Rehabilitation/Re-Inforcement of Electricity Supply Network at Owa-Oyibu, Owa-Ofie, Owa-Alizomor, Owanta-Aliosimie, Mbiri,  Ika North East LGA</t>
  </si>
  <si>
    <t>Rehabilitation/Re-Inforcement of Electricity Supply Network at  Oko-Odifulu, Oshimili South LGA</t>
  </si>
  <si>
    <t>Installation of 1No. Transfomer and 45No. Column-Mounted Streetlight at Ugbolu, Oshimili North LGA</t>
  </si>
  <si>
    <t xml:space="preserve">Completion of Agoloma Elecrification Project/Extension to Toru-Agiama, Patani LGA </t>
  </si>
  <si>
    <t>Rehabilitation/Re-Inforcement of Electricity Supply Network at Emefiele / Emeteke Streets, Okotomi Layout, Okpanam, Oshimili North LGA</t>
  </si>
  <si>
    <t>Re-Inforcement/Rehabilitation of Electricity Supply Network at Uloho Layout, Ekredjebor, Ughelli North LGA</t>
  </si>
  <si>
    <t>Re-Inforcement/Rehabilitation of Electricity Supply Network at Odedegho Community, Ughelli North LGA</t>
  </si>
  <si>
    <t xml:space="preserve">Extension of Electricity Supply Network to Urhuagbesa-Abraka, Ethiope East LGA </t>
  </si>
  <si>
    <t xml:space="preserve">Extension of Toru-Apelebiri, Bolu-Apelebiri Apelebiri Clan, Patani LGA </t>
  </si>
  <si>
    <t>Rehabiliatation of Electricity Supply Network in Ossissa Clan, Ndokwa East LGA</t>
  </si>
  <si>
    <t>Electrification/Installation of 1No. 100KVA Generator to power Ode-Itsekiri Community, Warri South LGA</t>
  </si>
  <si>
    <t>Rehabiliatation of Ezkiokpor-Umukwata &amp; Ebedei 33KV Network in Ukwuani LGA</t>
  </si>
  <si>
    <t>Re-Inforcement/Rehabilitation of Electricity Supply Network at Umunede, Ekwuoma, Otolokpo and Idumesah, Ika North East LGA</t>
  </si>
  <si>
    <t>Re-Inforcement/Rehabilitation of Electricity Supply Network at Ozanogogo Ika South LGA</t>
  </si>
  <si>
    <t>Extension of Electrcity Supply 33KV Network to Orere-Uluba, Warri South LGA</t>
  </si>
  <si>
    <t>Re-Inforcement/Rehabilitation of Electricity Supply across the State</t>
  </si>
  <si>
    <t>Re-Inforcement/Rehabilitation of Electricity Supply Network at Oton Iyatsekiri Community, Sapele LGA</t>
  </si>
  <si>
    <t>Re-Inforcement/Rehabilitation of Electricity Supply Network at Akumazi Umuocha, Ika North East LGA</t>
  </si>
  <si>
    <t>Extension of Electrcity Supply to Ogwashi-Uku Corectional Service and environs, Aniocha South LGA</t>
  </si>
  <si>
    <t>Re-Inforcement/Rehabilitation of Electricity Supply Network at Iwride-Iyede, Isoko North  LGA</t>
  </si>
  <si>
    <t>Re-Inforcement/Rehabilitation of Electricity Supply Network at Evwriyen Community, Okpe  LGA</t>
  </si>
  <si>
    <t>Re-Inforcement/Rehabilitation of Electricity Supply Network at Niger-Cat / Refinery Road Axis, Uvwie LGA</t>
  </si>
  <si>
    <t>Re-Inforcement/Rehabilitation of Electricity Supply Network at Onicha-Uku and Issele-Mkpitime, Aniocha North LGA</t>
  </si>
  <si>
    <t>Re-Inforcement/Rehabilitation of Electricity Supply Network at Owa-Alero and Ekuku-Agbor, Ika North East LGA</t>
  </si>
  <si>
    <t>Re-Inforcement/Rehabilitation of Electricity Supply Network at Obikwele, Ndokwa East LGA</t>
  </si>
  <si>
    <t>Re-Inforcement/Rehabilitation of Electricity Supply Network at Okpe-Olomu, Ughelli South LGA</t>
  </si>
  <si>
    <t>Re-Inforcement/Rehabilitation of Electricity Supply Network at Idumurinma community,  Boji-Boji Owa, Ika North East LGA</t>
  </si>
  <si>
    <t>Re-Inforcement/Rehabilitation of Electricity Supply Network at Araya and Aviara, Isoko South LGA</t>
  </si>
  <si>
    <t>Re-Inforcement/Rehabilitation of Electricity Supply Network at Ogbe-Ijaw, Warri South-West LGA</t>
  </si>
  <si>
    <t>Re-Inforcement/Rehabilitation of Electricity Supply Network at Akhiewe, Isoko North LGA</t>
  </si>
  <si>
    <t>Re-Inforcement/Rehabilitation of Electricity Supply Network at Olota, Ughelli South LGA</t>
  </si>
  <si>
    <t xml:space="preserve">Office Furniture / Equipment </t>
  </si>
  <si>
    <t>0231120001</t>
  </si>
  <si>
    <t>0231120002</t>
  </si>
  <si>
    <t>0231120003</t>
  </si>
  <si>
    <t>0231120004</t>
  </si>
  <si>
    <t>0231120005</t>
  </si>
  <si>
    <t>0231120006</t>
  </si>
  <si>
    <t>0231120007</t>
  </si>
  <si>
    <t>0231120008</t>
  </si>
  <si>
    <t>0231120009</t>
  </si>
  <si>
    <t>0231120010</t>
  </si>
  <si>
    <t>0231120011</t>
  </si>
  <si>
    <t>0231120012</t>
  </si>
  <si>
    <t>0231120013</t>
  </si>
  <si>
    <t>0231120014</t>
  </si>
  <si>
    <t>0231120015</t>
  </si>
  <si>
    <t>0231120016</t>
  </si>
  <si>
    <t>0231120017</t>
  </si>
  <si>
    <t>0231120018</t>
  </si>
  <si>
    <t>0231120020</t>
  </si>
  <si>
    <t>0231120021</t>
  </si>
  <si>
    <t>0231120022</t>
  </si>
  <si>
    <t>0231120023</t>
  </si>
  <si>
    <t>0231120024</t>
  </si>
  <si>
    <t>0231120025</t>
  </si>
  <si>
    <t>0231120026</t>
  </si>
  <si>
    <t>0231120027</t>
  </si>
  <si>
    <t>0231120028</t>
  </si>
  <si>
    <t>0231120029</t>
  </si>
  <si>
    <t>0231120030</t>
  </si>
  <si>
    <t>0231120031</t>
  </si>
  <si>
    <t>0231120032</t>
  </si>
  <si>
    <t>0231120033</t>
  </si>
  <si>
    <t>0231120034</t>
  </si>
  <si>
    <t>0231120035</t>
  </si>
  <si>
    <t>0231120036</t>
  </si>
  <si>
    <t>0231120037</t>
  </si>
  <si>
    <t>0231120038</t>
  </si>
  <si>
    <t>0231120039</t>
  </si>
  <si>
    <t>0231120040</t>
  </si>
  <si>
    <t>0231120041</t>
  </si>
  <si>
    <t>0231120042</t>
  </si>
  <si>
    <t>0231120043</t>
  </si>
  <si>
    <t>0231120044</t>
  </si>
  <si>
    <t>0231120045</t>
  </si>
  <si>
    <t>0231120046</t>
  </si>
  <si>
    <t>0231120047</t>
  </si>
  <si>
    <t>0231120048</t>
  </si>
  <si>
    <t>0231120049</t>
  </si>
  <si>
    <t>0231120050</t>
  </si>
  <si>
    <t>0231120051</t>
  </si>
  <si>
    <t>0231120052</t>
  </si>
  <si>
    <t>0231120053</t>
  </si>
  <si>
    <t>0231120054</t>
  </si>
  <si>
    <t>0231120055</t>
  </si>
  <si>
    <t>0231120056</t>
  </si>
  <si>
    <t>0231120057</t>
  </si>
  <si>
    <t>0231120058</t>
  </si>
  <si>
    <t>0231120059</t>
  </si>
  <si>
    <t>0231120060</t>
  </si>
  <si>
    <t>0003150402</t>
  </si>
  <si>
    <t>216M</t>
  </si>
  <si>
    <t>319K</t>
  </si>
  <si>
    <t>324I</t>
  </si>
  <si>
    <t>214R</t>
  </si>
  <si>
    <t>325B</t>
  </si>
  <si>
    <t>214P</t>
  </si>
  <si>
    <t>102Q</t>
  </si>
  <si>
    <t>215M / 215L</t>
  </si>
  <si>
    <t xml:space="preserve">211A / 211Q </t>
  </si>
  <si>
    <t>215L</t>
  </si>
  <si>
    <t>322K / 322L</t>
  </si>
  <si>
    <t>106K</t>
  </si>
  <si>
    <t>106L</t>
  </si>
  <si>
    <t>322S</t>
  </si>
  <si>
    <t>213A / 213B</t>
  </si>
  <si>
    <t>217D / 217F / 217H</t>
  </si>
  <si>
    <t>211O / 211P / 211S</t>
  </si>
  <si>
    <t>104Q</t>
  </si>
  <si>
    <t>103G</t>
  </si>
  <si>
    <t>108Q</t>
  </si>
  <si>
    <t>209D / 209F</t>
  </si>
  <si>
    <t>211E</t>
  </si>
  <si>
    <t>321A / 321B</t>
  </si>
  <si>
    <t>320K</t>
  </si>
  <si>
    <t>107B</t>
  </si>
  <si>
    <t>Renovation/expansion/upgrade of Existing Hospitals</t>
  </si>
  <si>
    <t>Asaba specialist Hospital</t>
  </si>
  <si>
    <t>purchase of office funiture</t>
  </si>
  <si>
    <t>purchase of office equipment</t>
  </si>
  <si>
    <t>purchase of computers</t>
  </si>
  <si>
    <t>minor works</t>
  </si>
  <si>
    <t>0521200001</t>
  </si>
  <si>
    <t>0521200003</t>
  </si>
  <si>
    <t>0521200004</t>
  </si>
  <si>
    <t>0521200005</t>
  </si>
  <si>
    <t>0521200006</t>
  </si>
  <si>
    <t>0521200007</t>
  </si>
  <si>
    <t>0521200008</t>
  </si>
  <si>
    <t>0521200009</t>
  </si>
  <si>
    <t>0521200010</t>
  </si>
  <si>
    <t>0521200011</t>
  </si>
  <si>
    <t>0521200012</t>
  </si>
  <si>
    <t>0521200013</t>
  </si>
  <si>
    <t>0521200014</t>
  </si>
  <si>
    <t>0521200015</t>
  </si>
  <si>
    <t>0521200016</t>
  </si>
  <si>
    <t>0521200017</t>
  </si>
  <si>
    <t>0521200018</t>
  </si>
  <si>
    <t>0521200019</t>
  </si>
  <si>
    <t>0521200020</t>
  </si>
  <si>
    <t>0521200021</t>
  </si>
  <si>
    <t>0521200022</t>
  </si>
  <si>
    <t>0521200023</t>
  </si>
  <si>
    <t>0521200024</t>
  </si>
  <si>
    <t>0521200025</t>
  </si>
  <si>
    <t>0521200026</t>
  </si>
  <si>
    <t>0521200027</t>
  </si>
  <si>
    <t>0521200028</t>
  </si>
  <si>
    <t>0521200029</t>
  </si>
  <si>
    <t>0521200030</t>
  </si>
  <si>
    <t>0521200031</t>
  </si>
  <si>
    <t>0521200032</t>
  </si>
  <si>
    <t>0521200033</t>
  </si>
  <si>
    <t>0521200034</t>
  </si>
  <si>
    <t>0521200035</t>
  </si>
  <si>
    <t>0521200036</t>
  </si>
  <si>
    <t>0521200037</t>
  </si>
  <si>
    <t>0521200038</t>
  </si>
  <si>
    <t>0521200039</t>
  </si>
  <si>
    <t>0521200040</t>
  </si>
  <si>
    <t>0521200041</t>
  </si>
  <si>
    <t>0521200042</t>
  </si>
  <si>
    <t>0521200043</t>
  </si>
  <si>
    <t>0521200044</t>
  </si>
  <si>
    <t>0521200045</t>
  </si>
  <si>
    <t>0521200046</t>
  </si>
  <si>
    <t>0521200047</t>
  </si>
  <si>
    <t>0521200048</t>
  </si>
  <si>
    <t>0521200049</t>
  </si>
  <si>
    <t>0521200050</t>
  </si>
  <si>
    <t>0521200051</t>
  </si>
  <si>
    <t>0521200052</t>
  </si>
  <si>
    <t>Construction of Isaba/Aladja DSC Road (10.3km) in Warri South West LGA</t>
  </si>
  <si>
    <t>Construction of Aradhe/Ellu Old Road (Phase 1)</t>
  </si>
  <si>
    <t xml:space="preserve">Dualization of Access Road to Jesse </t>
  </si>
  <si>
    <t>Engineering Survey and Design of Dualisation of Ughelli-Asaba, Road</t>
  </si>
  <si>
    <t>Construction of Uduophori (Bomadi/Ohoro Junction)/Toru-Angiama/Toru-Apelebiri/Patani Road (Phase II) in Patani L.G.A.</t>
  </si>
  <si>
    <t xml:space="preserve"> Construction of Trans Warri - Ode-Itsekiri Bridges and Access Roads Phase I: Section I Ubeji to Ode-Itsekiri Roundabout with Spurs to Ijala Ugbodede, Orugbo and Ajigba - Inorin - Usele Communities and Section II (iii) Ode-Itsekiri Internal roads</t>
  </si>
  <si>
    <t>Dualization of Effurun-Osubi-Eku Road (Sector A).</t>
  </si>
  <si>
    <t>Construction of Omadino Bridge Bye-Pass to Link Warri Sapele Expressway</t>
  </si>
  <si>
    <t>Provision of Obstacle Free-Zone for the Runway of Asaba International Airport (Sector B) in Oshimili South L.G.A.</t>
  </si>
  <si>
    <t>Dualisation of Asaba/Okpanam Road Section II</t>
  </si>
  <si>
    <t>Dualisation of Old Lagos Asaba Road from Emuhu Junction to Agbor-Obi Junction in Ika North East LGA</t>
  </si>
  <si>
    <t>Dualisation of Ughelli-Asaba Road, (Sector A).</t>
  </si>
  <si>
    <t>Construction of Ayakoromor Bridge across River Forcados, Ayakoromor</t>
  </si>
  <si>
    <t>Consultancy Services for the Rehabilitation Works on Asaba International Airport Runway and Taxiways (Design)</t>
  </si>
  <si>
    <t>Widening of Warri/Sapele Road. Phase I: from Effurun Roundabout to Enerhen Junction (Warri Bus Rapid TRansit (BRT) Project)</t>
  </si>
  <si>
    <t xml:space="preserve">Reconstruction of the Korobe Road, Koko </t>
  </si>
  <si>
    <t>Rehablitation of Jeddo Ughoton Road and Construction of Access Road to Eagles Height University</t>
  </si>
  <si>
    <t>Dualisation of Link Road from Benin - Warri Road to Oghara Teaching Hospital Ethiope West LGA</t>
  </si>
  <si>
    <t>Construction of Agboma-Mokpia Street, Owa-Alero in Ika North East Local Government Area</t>
  </si>
  <si>
    <t>Consultancy Services for the Rehabilitation Works on Asaba International Airport Runway and Taxiways</t>
  </si>
  <si>
    <t>Construction of Onomigbo Street, Orerokpe, Okpe L.G.A</t>
  </si>
  <si>
    <t>Construction of Ejinyere/Orodje Streets Orerokpe, Okpe L.G.A</t>
  </si>
  <si>
    <t xml:space="preserve">Construction of Oritsejobor Street, Dr. Steve Oru Street, Dr. Steve Oru Close, Okpodjiko Street Extension, and Rehabilitation of Okpodjiko Access Road in Ughelli, Ughelli North Local Govt Area </t>
  </si>
  <si>
    <t>Construction of Ejiyere Street, Dederu Street and Akemu Street(by Church of God Mission)Warri South Local Government Area.</t>
  </si>
  <si>
    <t>Main Axial Road at Okerenkoko, Warri South West Local Government Area.</t>
  </si>
  <si>
    <t xml:space="preserve">Dualisation of Sapele Road from Amukpe Roundabout by Sapele/Warri Expressway to AT &amp; P Roundabout Sapele in Sapele Local Government area </t>
  </si>
  <si>
    <t>Reconstruction of Oteri Township Road Ughelli North L. G. A.</t>
  </si>
  <si>
    <t>Dualization of Owa-Ekei-Owa-Alero Road (from Old Lagos/Asaba Road to Owa Alero Roundabout) in Ika North East LGA</t>
  </si>
  <si>
    <t>Expansion and Upgrading of Tankers Park, Ekpan in Uvwie LGA</t>
  </si>
  <si>
    <t>Construction  of Anglican Diocese Grammar School Road,  Uzuobe Street And Rehabilitation/Overlay Of Other Township Roads, Iyede In Isoko North Local Government Area.</t>
  </si>
  <si>
    <t>Completion of the Construction Of Ogwashi-uku/Ubulu-Unor Road</t>
  </si>
  <si>
    <t>Widening/Reconstruction Of Owhelogbo/Abbi Road In Isoko North And Ndokwa West Local Government Areas</t>
  </si>
  <si>
    <t>Rehabilitation/Widening of Access Road to Beneku Community in Ndokwa East LGA</t>
  </si>
  <si>
    <t>Rehabilitation of Old Abraka Road (from Traffic Light to Powerline), Owa in Ika North East LGA</t>
  </si>
  <si>
    <t xml:space="preserve">Construction of Edegbrode-Elume Road in Sapele Local Government Area </t>
  </si>
  <si>
    <t>Rehabilitation/Asphalt Overlay of Ekakpamre/Ekrokpe/Usiefurun Road in Ughelli South and Udu LGA</t>
  </si>
  <si>
    <t>Continuation of the Construction Of Issele-Uku/Onicha-Uku/Ugbodu/Ukwu-Nzu/Obomkpa/Idumu-Ogo Road: Completion Of Phase I of the Contract (6.65km Length) from Idumu-Ugo to Obomkpa in Aniocha North Local Government Area</t>
  </si>
  <si>
    <t>Construction of Drains along Old Emede Road/Emede-Olomoro Junction, Oleh in Isoko South LGA</t>
  </si>
  <si>
    <t>Reconstruction of Ubeji Access Road (from NPA Road Interchange to Trans – Warri Junction, Ubeji</t>
  </si>
  <si>
    <t>Maintenance of Roads in Effurun, Uvwie Local Government Area</t>
  </si>
  <si>
    <t>Construction of Oghara Township Road, Phase VI</t>
  </si>
  <si>
    <t>Continuation of the Construction of Onicha-Ugbo/Ubulu-Uku Road with a spur to Knowledge Centre, Onicha-Ugbo; Phase I: from the Expressway Junction to the Knowledge Centre including Internal Roads within the Centre (2.157km)</t>
  </si>
  <si>
    <t xml:space="preserve"> Construction of Oviri-Olomu/Egodor in Ughelli South and Burutu LGA</t>
  </si>
  <si>
    <t>Rehabilitation &amp; Asphalt Overlay of Umunede/Otolokpo/Ute-Okpu/Ekuku-Agbor/Ndemili/Obeti/Umutu Road in Ika North East, Ika South, Ndokwa West &amp; Ukwuani LGA</t>
  </si>
  <si>
    <t xml:space="preserve">Rehabilitation &amp; Resealing of Otu-Jeremi /Okwagbe Road in Ughelli South LGA </t>
  </si>
  <si>
    <t>Construction of Oporoza Palace Road in Gbaramatu Kingdom, Warri South West LGA</t>
  </si>
  <si>
    <t>Construction of Oseri / Ayovoriemu Street with a spur to Chief Justice Marshal Umukoro Street in Ughelli</t>
  </si>
  <si>
    <t>Construction of Internal Roads in Ikpide-Irri Community in Isoko South Local Government Area</t>
  </si>
  <si>
    <t>Construction of Ovwor/Effurun-Otor Bridge and Access Roads in Ughelli South LGA</t>
  </si>
  <si>
    <t>Rehabilitation and Asphalt Overlay of Ekreravwe/Orhoakpor/Isiokolo Road, in Ughelli North &amp; Ethiope East LGA</t>
  </si>
  <si>
    <t xml:space="preserve">Construction of Okurekpo/Okunoh-Okpara/Okoruah/Onumane/Samagidi Road </t>
  </si>
  <si>
    <t>Construction of Grace Road, Ekete Waterside, Udu, Udu Local Government  Area</t>
  </si>
  <si>
    <t>Construction of Rigid Concrete Pavement Road at Obitobon-Elolo-Ajaokurogbo-Orubu Road, Ogidigben, Warri South West</t>
  </si>
  <si>
    <t>Construction of Osititi Street, Off Osamede and Asuighwuru Street, Okumagba Layout, Warri</t>
  </si>
  <si>
    <t xml:space="preserve">Construction of Access Road and Parking Lot at the Palace of Ovie of Agbon Kingdom at Isiokolo </t>
  </si>
  <si>
    <t>Construction of Hon. Chief Frank Omare Crescent, Okumagba Layout, Warri</t>
  </si>
  <si>
    <t>Continuation and Completion of the Construction of Storm Water Ccontrol Measures in DLA/Jesus Saves Corridor in Asaba</t>
  </si>
  <si>
    <t>Construction of Group Medical and City of God Roads and Overlay of Entrance at Mosheshe Estate, Effurun, Uvwie Local Government Area</t>
  </si>
  <si>
    <t xml:space="preserve">Completion of the Construction of Iwere College Road, Koko </t>
  </si>
  <si>
    <t>Construction of Aradhe/Ellu Old Road (Phase II: from the Ughelli/Asaba Expressway to Aradhe)</t>
  </si>
  <si>
    <t>Construction of ldheze By-Pass to Okpe lsoko in lsoko South Local Government Area</t>
  </si>
  <si>
    <t>Rehabilitation of Ugbokodo Road, from Jeddo/Ughoton Road Junction to the Market</t>
  </si>
  <si>
    <t>Extension of Ejinyere/Orodje Streets Orerokpe, Okpe LGA</t>
  </si>
  <si>
    <t xml:space="preserve">Construction of Okwagbe/Otutuama/Esaba Road, (Phase I: from Okwagbe to the first bridge) </t>
  </si>
  <si>
    <t>Continuation of Agbarho/Orherhe/Otokutu Road, Section I (From Agbarho to Orherhe in Ughelli North LGA</t>
  </si>
  <si>
    <t xml:space="preserve">Construction of Alisimie/Igbanke Road with a Spur to Imahiagbe Street </t>
  </si>
  <si>
    <t>Rehabilitation and Resurfacing of Owa-Alero/Owa-Oyibu Road in Ika North East Local Government Area</t>
  </si>
  <si>
    <t>Reconstruction  of Owa-Alero/Ute-Okpu  Road  in Ika North East Local Government Area (from Owa-Alero Roundabout to Railway Fly-Over Bridge)</t>
  </si>
  <si>
    <t>Maintenance of Obi Ikechukwu and Palace Roads Agbor</t>
  </si>
  <si>
    <t xml:space="preserve">Maintenance of Effurun Roundabout and Refinery Road, Effurun </t>
  </si>
  <si>
    <t xml:space="preserve">Construction Okerenkoko Township  Roads (Phase II), in Warri South West Local Government Area </t>
  </si>
  <si>
    <t>Completion of the Rehabilitation of Runway and Taxiways, Extension of Box Culvert and ancillary works at Asaba International Airport, Asaba</t>
  </si>
  <si>
    <t>Construction of Obobo/Abu-Ise/Umutei Road, Illah</t>
  </si>
  <si>
    <t>Construction of Alero Street (from Melekwe Junction to Alika Street), Melekwe Lane, Obiagbena Lane II off Obiagbena Street, Boji Boji Owa</t>
  </si>
  <si>
    <t>Construction of Storm Water Discharge Channel Along DBS/Cabinet/ Umejei Adudu Way to Amilimocha River, Asaba</t>
  </si>
  <si>
    <t>Construction of Storm Water Drainage Along Amb. Raph Uwechue Way to Anwai River, Asaba</t>
  </si>
  <si>
    <t>Construction of Okuomowa Road in Osubi to link Etakpo Lane / MacNero Road, Osubi</t>
  </si>
  <si>
    <t>Construction of Bethel Oborovwori Crescent / Iyamu Street in Osubi to link Maroko in Okuokoko, Osubi</t>
  </si>
  <si>
    <t xml:space="preserve">Reconstruction and resurfacing of Old Umunede/Emuhu Road with a spur to the Asaba/Benin Expressway </t>
  </si>
  <si>
    <t xml:space="preserve">Construction of access road to Ugbuwangwe New Layout, off Vincent Uduaghan road, Ugbuwangwe, Warri, Warri South Local Government Area </t>
  </si>
  <si>
    <t>Construction of Mereje Drainage Network, Mereje, Okpe Local Government Area</t>
  </si>
  <si>
    <t xml:space="preserve">Construction of Ede Grammar School Road, off Asaba/Benin Express way, Umunede in Ika North East Local Government Area </t>
  </si>
  <si>
    <t xml:space="preserve">Construction of Owa-Aliosimi/Abraka Road </t>
  </si>
  <si>
    <t xml:space="preserve">Construction of Old Okpe Road, Jeddo </t>
  </si>
  <si>
    <t>Continuation and Completion of the Construction of the Road from Ughelli/Patani Expressway Junction to Bulu-Angiama in Patani LGA</t>
  </si>
  <si>
    <t>Construction of Agidiehi Road, in Ogwashi-Uku Town</t>
  </si>
  <si>
    <t xml:space="preserve">Maintenance of Oha/Adagbrassa-Ugolo/Ohorhe Road </t>
  </si>
  <si>
    <t xml:space="preserve">Construction of Emede Ring Road with a Spur to Ovie Palace Road, Emede </t>
  </si>
  <si>
    <t>Construction of Arhagba - Orogun Road in Ughelli North Local Government Area  (Phase I: From Arhagba/Emonu Junction to Ebor Community)</t>
  </si>
  <si>
    <t xml:space="preserve">Construction of Concrete Drains and Discharge Channel from Refinery Road through Aribogha Street, Jesus is Lord Street to the Natural Waterway by Regal Clinic, Jakpa Road, Effurun in Uvwie Local Government Area </t>
  </si>
  <si>
    <t xml:space="preserve">Construction of  Ogulagha/Youbebe/Biniebiama Road </t>
  </si>
  <si>
    <t xml:space="preserve">Reconstruction of the Failed Portions of Okuvo/Okugbogbo/Mereje Road </t>
  </si>
  <si>
    <t>Construction of Ogulagha-Youbebe-Bieniebiama Road in Burutu Local Government Area (Consultancy)</t>
  </si>
  <si>
    <t>Construction of Ogbeowele Road, Issele-Uku</t>
  </si>
  <si>
    <t>Construction of Catholic Mission Road with a spur to Delta State Skills and Acquisition Centres Road, Umutu in Ukwuani LGA</t>
  </si>
  <si>
    <t xml:space="preserve">Construction of a 1200 metres length section of  Etua/Utagba-Uno Road in Utagba-Uno </t>
  </si>
  <si>
    <t>Construction of Karien Street with a Spur to Emiberien Street, Okumagba Layout, Warri</t>
  </si>
  <si>
    <t>Construction of Dimony Street, Okumagba Layout, Warri</t>
  </si>
  <si>
    <t>Construction of Internal Roads and Parking Lots within the Premises of the General Hospital Complex, Asaba</t>
  </si>
  <si>
    <t>Construction of DDPA Housing Estate Roads, Agbor in Ika South Local Government Area</t>
  </si>
  <si>
    <t>Rehabilitation and Expansion of Access Road to Uvwie Modern Market Ugbolokposo, Section I measuring 2.153kilometres,  which begins from P.T.I Road/Alegbo Road junction to the market in Effurun</t>
  </si>
  <si>
    <t>Consultancy Service for the Construction of  Asaba/Oko-Amakom/Oko-Obiokpu/Oko-Anala Road</t>
  </si>
  <si>
    <t>Construction of Lucas Street, Abraka in Ethiope East Local Government Area</t>
  </si>
  <si>
    <t>Rehabilitation of Ekiugbo-Iyede/Oghara-Iyede/Emevor Old Road with Construction of Spur (4) at Oghara-Iyede</t>
  </si>
  <si>
    <t xml:space="preserve">Construction of Umunne Street with a spur to Eluebo Street, Boji-Boji Owa </t>
  </si>
  <si>
    <t>Construction Main Axial Road in Erowha Community</t>
  </si>
  <si>
    <t xml:space="preserve">Continuation of the construction of Ibusa/Achalla/Asaba Road (Phase I: 4.125 kilometres from Ibusa) </t>
  </si>
  <si>
    <t>Consultancy Service for the Study and Design of Storm Water Management and Control Measures in Asaba and Its Environs</t>
  </si>
  <si>
    <t>Reconstruction of Ivie Road Abraka, Ethiope East Local Government Area</t>
  </si>
  <si>
    <t>Construction of NUT Road, Abraka in Ethiope East LGA</t>
  </si>
  <si>
    <t>Construction of 400m Road within the Isoko Development Union (IDU) Secretariat Complex, by Oleh Roundabout</t>
  </si>
  <si>
    <t>Reactivation of Airfield Ground Lighting Systems at the Asaba International Airport, Asaba</t>
  </si>
  <si>
    <t>Construction of Cecilia Omo-Agege Road, Effurun in Uvwie Local Government Area</t>
  </si>
  <si>
    <t>Construction of Musheshe Street, Effurun in Uvwie Local Government Area</t>
  </si>
  <si>
    <t>Construction of Queens Street, Boji-Boji, Agbor</t>
  </si>
  <si>
    <t>Construction of various Roads (5.3km) in Ekakpamre</t>
  </si>
  <si>
    <t>Construction of the Oyede Industrial Layout Road, Oyede</t>
  </si>
  <si>
    <t>Construction of Concrete Drains along Agboma/Mokpia Street (Phase I), Owa-Alero in Ika North-East Local Government Area</t>
  </si>
  <si>
    <t xml:space="preserve">Construction of Waico Layout, off Effurun/Sapele Road </t>
  </si>
  <si>
    <t>Rehabilitation of the Edjeba Waterfront/Warri Industrial Business Park Road in Edjeba</t>
  </si>
  <si>
    <t>Construction of Idesoh Street off Macdermott Road in Warri, Warri South LGA</t>
  </si>
  <si>
    <t>Construction of Idgbori Street/Water-Side Road off Mac Dermott Road in Warri, Warri South LGA</t>
  </si>
  <si>
    <t>Construction of Otite Industrial Anvenue Road, Okpara Inland Local Government Area</t>
  </si>
  <si>
    <t>Construction of Scot Road Oghara in Ethiope West LGA</t>
  </si>
  <si>
    <t>Construction of Court Road Oghara in Ethiope West Local Government Area</t>
  </si>
  <si>
    <t xml:space="preserve">Construction of  Torugbene/Ojobo Road (Section A: Length 3.104 Kilometres from end of NDDC project to approach to first bridge) </t>
  </si>
  <si>
    <t xml:space="preserve">Construction of  Asaba/Oko-Amakom/Oko-Obiokpu/Oko-Anala Road  (Section I: Oko-Amakom/Oko-Obiokpu) </t>
  </si>
  <si>
    <t>Construction of Iselegu/Umuokpala Road (Phase I) in Ndokwa East Local Government Area</t>
  </si>
  <si>
    <t xml:space="preserve">Construction of Odua Street using Concrete Interlocking Stones at Aboh </t>
  </si>
  <si>
    <t>Construction of Otor-Owhe Internal Roads, Otor-Owhe in Isoko North LGA</t>
  </si>
  <si>
    <t>Construction of Drains to Route Storm Water at the Roundbaout at Nnebisi/Okpanam/Anwai Roads and Dr. Emmanuel Eweta Uduaghan Way Intersection, Asaba, oshimili South LGA</t>
  </si>
  <si>
    <t>Construction of Creme Suites Road, Owa-Ekei</t>
  </si>
  <si>
    <t>Construction of Aje Street and School Road using Interlocking Stones at Egbokodo New Layout in Warri</t>
  </si>
  <si>
    <t>Completion of Okerenkoko Township Roads (Phase II) in Warri South West LGA</t>
  </si>
  <si>
    <t>Construction of Uzougba Link Road to Issele-Uku/Otulu Road, Ubulu-Okiti</t>
  </si>
  <si>
    <t>Completion of Perimeter Fencing of Asaba International Airport</t>
  </si>
  <si>
    <t>Construction of Pedestrian Bridge at Intersection of Dennis Osadebe Way and Asaba/Benin Expressway (Abraka Junction), Asaba in Oshimili Osuth LGA</t>
  </si>
  <si>
    <t>Construction of Pedestrian Bridge at Summit Junction, Asaba in Oshimili South LGA</t>
  </si>
  <si>
    <t>Rehabilitation of Failed Sections of Eku/Agbor Road (from Agbor to Eku)</t>
  </si>
  <si>
    <t>Construction of DDPA Housing Estate Roads, (Phase II)  Agbor in Ika South Local Government Area</t>
  </si>
  <si>
    <t xml:space="preserve"> Construction of Umusam Road, Admiral Onah Street and Umeseti Road, Utagba-Uno </t>
  </si>
  <si>
    <t>Rehabilitation of Failed Sections of Ughelli/Asaba Road by Mobile Police Barrack/Edo-Ogwashi and (Between Ogbe-Ubu Street and Kwale Junction) Ogwashi</t>
  </si>
  <si>
    <t>Rehabilitation of failed Sections of NNPC Housing Estate Complex Road/Bypass in Uvwie Local Government Area</t>
  </si>
  <si>
    <t>Construction of Omini/Nigercat Link Road off Refinery Road, Ekpan</t>
  </si>
  <si>
    <t>Re-construction/Rehabilitation of Mission Road, Ogwashi-Uku</t>
  </si>
  <si>
    <t>Construction of 5 cell 2.5m x 3m Box culvert across Omoja Stream along Jesse-Boboruku Road, Ethiope West LGA</t>
  </si>
  <si>
    <t xml:space="preserve">Construction of Sargin Erhivwieta Street/Mission Road, Jesse </t>
  </si>
  <si>
    <t xml:space="preserve">Construction of Ugoani Palace and Aniemeke Street, Okpanam </t>
  </si>
  <si>
    <t xml:space="preserve">Palliative Repair of the Patani/Agoloma/Toru-Angiama/Uduophori Road </t>
  </si>
  <si>
    <t>Asphalt Overlay of Obodo Avenue (Berger Road) Shaguolo Area, off Warri Refinery and Petrochemical Company, Ekpan</t>
  </si>
  <si>
    <t xml:space="preserve">Construction of Fish Mill Road in Ekpan </t>
  </si>
  <si>
    <t>Construction of Access Road to Nigeria Maritime Univeristy Okerenkoko (Kurutie Campus) in Warri South West LGA</t>
  </si>
  <si>
    <t>Construction of Access Road from NPA Expressway (By former Protea Hotel now BON Hotel) to Warri Refinery Road</t>
  </si>
  <si>
    <t>Construction of Otabor Street off Upper Ojekpolor Street in Ika North East LGA</t>
  </si>
  <si>
    <t xml:space="preserve">Asphalt overlay of NPA Bye pass Road (From the New Port Gate to Old Port Gate) Warri </t>
  </si>
  <si>
    <t>Rehabilitation of failed Roads in Ugbuwangwe in Warri South Local Government Area</t>
  </si>
  <si>
    <t>Construction of Access Road and Parking Lot at Anglican Church Owa-Alero in Ika North-East LGA</t>
  </si>
  <si>
    <t>Construction of Internal Roads at Cathedral Church of the Ascension Diocese of Ika Church of Anglican Communion at Ika Anglican Grammar School Boji-Boji Owa in Ika North East LGA</t>
  </si>
  <si>
    <t>Construction of Concrete Drain along Agbor-Alidinma Obiduhon Road, Ika South LGA</t>
  </si>
  <si>
    <t xml:space="preserve">Construction of Hon. Abinoko way, community road  and Ekuobodo village access road, Phase I: Ekuobodo village, Mosogar in Ethiope West LGA </t>
  </si>
  <si>
    <t>Construction of Akumazi/Owerre-Olubor/Ekwuoma link road (Phase II) with 265 metres long spur to Obior/Ogwashi-uku roads in Ika North East LGA</t>
  </si>
  <si>
    <t xml:space="preserve">Reconstruction of Igbodo/Obior Road in Ika North East and Aniocha North LGA </t>
  </si>
  <si>
    <t xml:space="preserve">Construction of Abavo Circular Road (Phase II), Abavo  in Ika South LGA </t>
  </si>
  <si>
    <t>Maintenance, Rehabilation, Reconstruction and Construction of Roads in Effurun and Ekpan, Uvwie LGA</t>
  </si>
  <si>
    <t xml:space="preserve">Completion of the dualisation and rehabilitation of Emore road in Oleh Town, Isoko South LGA </t>
  </si>
  <si>
    <t xml:space="preserve">Construction of Kwale-Beneku bridge and approach roads in Ndokwa West and Ndokwa-East LGA </t>
  </si>
  <si>
    <t xml:space="preserve">Construction of Ugbomro Road (Section II) from   Ughelli/warri Expressway Junction at Iteregbi Village to the Main gate of Federal University of Petroleum Resources Junction) in Uvwie Local Government Area </t>
  </si>
  <si>
    <t>Construction of Ajagbodudu Township Roads</t>
  </si>
  <si>
    <t>Construction of streets Adjoining Asaba/Okpanam road (from legislative quarters to Okpanam by Post Office) in Oshimili North Local Government Area (Sector A)</t>
  </si>
  <si>
    <t>Construction of streets Adjoining Asaba/Okpanam road (from legislative quarters to Okpanam by Post Office) in Oshimili North Local Government Area (Sector B)</t>
  </si>
  <si>
    <t xml:space="preserve">Construction of Raph Uwechue Way, Lady Ginika Monye, Price Ikechukwu Iyeke Way and Ejiro Adegor Street in Oshimili South LGA </t>
  </si>
  <si>
    <t xml:space="preserve">Construction of Tutu Lane/Obodokwu Road, Sapele </t>
  </si>
  <si>
    <t>Rehabilitation of failed Roads in Warri South Local Government Area</t>
  </si>
  <si>
    <t xml:space="preserve">Rehabilitation of some internal roads in Orerokpe, Okpe LGA </t>
  </si>
  <si>
    <t>Construction of 5,085m (made up of 13Nos. Roads) network of paved roads, using HFP concrete stones in the state</t>
  </si>
  <si>
    <t>Completion of the Dualisation of Ughelli-Asaba Road (Sector C2)</t>
  </si>
  <si>
    <t>Construction of Ekaeze Street, Agbor-Obi in Ika South Local Government Area</t>
  </si>
  <si>
    <t>Construction of Obi-Olihe Street, Agbor-Obi in Ika South Local Government Area</t>
  </si>
  <si>
    <t>Reconstruction of Old Ekwuoma/Umunede Road in Ika North East LGA</t>
  </si>
  <si>
    <t>Rehabilitation and Asphalt Overlay of Abavo Circular Road, Phase III (from Udomi-Junction to Old Ekuma-Ekwueze Road) and Additional Works on Abavo Circular Road, Phase II in Ika South LGA</t>
  </si>
  <si>
    <t>Rehabilitatio of Otokutu Axial Road and Maintenance of Otokutu/Ekrokpe Road in Ughelli South LGA</t>
  </si>
  <si>
    <t>Remedial Works on Old  Lagos-Asaba Road, Agbor</t>
  </si>
  <si>
    <t>Construction of Kpakiama Link Roads in Bomadi Local Government Area</t>
  </si>
  <si>
    <t>Construction of Niki-Tobi and Market Roads at Esanma in Bomadi Local Government Area</t>
  </si>
  <si>
    <t>Construction of Engr. Oyubu Godspower Street to Link Ibori Road, Oghara in Ethiope West Local Government Area</t>
  </si>
  <si>
    <t>Construction of Access Road from Otumara Road to Western Delta Univeristy, Oghara in Ethiope West Local Government Area</t>
  </si>
  <si>
    <t>Construction of Egba Bypass, Igbide, Isoko</t>
  </si>
  <si>
    <t>Construction of Olomoro Internal Roads in Isoko South Local Government Area</t>
  </si>
  <si>
    <t>Construction of Obi-Ogo Eziokpor/Umuoshi Eziokpor Road in Ukwuani Local Government Area</t>
  </si>
  <si>
    <t>Rehabilitation of 1Km failed section of Oviri Road off Warri-Abraka Road, a Link to Sapele-Abraka Road</t>
  </si>
  <si>
    <t>Construction of Abavo Palace Avenue Road, Abavo in Ika South LGA</t>
  </si>
  <si>
    <t>Rehabilitaion and Resurfacing of Godwin Emefiele Street, Agbor in Ika South LGA</t>
  </si>
  <si>
    <t>Construction of Okerenkoko Township Roads, (Phase III) in Warri South West Local Government Area</t>
  </si>
  <si>
    <t>Rehabiliation of failed sections of Ashaka/ Igbuku/ Aboh Road in Ndokwa East LGA</t>
  </si>
  <si>
    <t>Construction of Baptist Mission Road (Macedonia Baptiat Church), Amukpe Sapele LGA</t>
  </si>
  <si>
    <t>Construction of Uloho Avenue Amukpe/Sapele in Sapele Local Government Area</t>
  </si>
  <si>
    <t>Construction of Ushie Township Roads, Ushie (Phase II) in Ndokwa East Local Government Area</t>
  </si>
  <si>
    <t>Rehabilitation/Overlay of NDC Road and Construction of St. Joseph College (technical) Road, Ozoro</t>
  </si>
  <si>
    <t>Rehabilitation and Resurfacing of Prof. Ebie Street Boji-Boji Agbor in Ika South LGA</t>
  </si>
  <si>
    <t>Rehabilitation of Roads and Desiltation of Drains in GRA (Phase I), Asaba in Oshimili South LGA</t>
  </si>
  <si>
    <t>Construction of Ekrovie &amp; CBN Roads Orhuwhorun in Udu LGA</t>
  </si>
  <si>
    <t>Construction of Obiaruku Township Roads, Obiaruku in Ukwuani LGA</t>
  </si>
  <si>
    <t>Construction of Bishop's Court Roads, Obiaruku in Ukwuani LGA</t>
  </si>
  <si>
    <t>Construction of Heroes of Faith Street, Upper Agbarho in Ughelli, Emomejere Road and Rehabilitation of Otobo Road, Ughelli</t>
  </si>
  <si>
    <t>Rehabilitation of Ogiyede Road and Construction of Ogiyede Extension off Ogunu Road, Warri</t>
  </si>
  <si>
    <t>Construction of Ogbe-Nta Street, Ika South Local Government Area</t>
  </si>
  <si>
    <t>Construction of Idumuesah/Ute-Alohen Road in Ika North East LGA</t>
  </si>
  <si>
    <t>Construction of Amagiya Road off Adeola Road to Link Odiete Road, Sapele in Sapele Local Government Area</t>
  </si>
  <si>
    <t>Construction of Chief Ede Street off Obi Ikechukwu Road in Ika South Local Government Area</t>
  </si>
  <si>
    <t>Construction of Oginibo/Ohwahwa Road in Ughelli South LGA</t>
  </si>
  <si>
    <t>Construction/Rehabilitation of Owhelogbo Internal Roads (Phase I) in Isoko North Local Government Area</t>
  </si>
  <si>
    <t>Constrction of Ebise Road, Ekrudo Road and Odumere Road Oria-Abraka in Ethiope East Local Government Area</t>
  </si>
  <si>
    <t>Construction of Internal Roads in Otolokpo Community (Phase I) in Ika North East Local Government Area</t>
  </si>
  <si>
    <t>Construction of Approach Roads to Ogriagbene bridge in Bomadi LGA</t>
  </si>
  <si>
    <t>Completion for the Provision of Obstacle Free Zone for the Runway of Asaba International Airport (Sector A and C)</t>
  </si>
  <si>
    <t>Construction of Lawrance and Izu Roads, Sapele in Saple LGA</t>
  </si>
  <si>
    <t>Regulation of failed sections and Asphalt Overlay of 3 kilometres Length of Iselegu Junction/Ugiliamai/Utagba-Uno/Obiaruku Road in Ndokwa West and Ukwuani Local Government Area</t>
  </si>
  <si>
    <t>Construction of Oseji Street (from Hill Street to Baleke Street), Boji-Boji Agbor in Ika South Local Government Area</t>
  </si>
  <si>
    <t>Construction of Teachers Road, Sapele in Sapele Local Government Area</t>
  </si>
  <si>
    <t>Completion of the construction of Effurn-Otor/Iwhrekekan/Ughevwughe/Eruemukohwaren/Otor-Edo/Usiefurun Road in Ughelli South Local Government Area.  Phase I: Iwhrekekan/Ughevwughe</t>
  </si>
  <si>
    <t>Construction of Access Road to Obi's Palace, Ubulu-Uku in Aniocha South Local Government Area</t>
  </si>
  <si>
    <t>Rehabilitation/Construction of DBS/Isho Road, Ubulu-uku in Aniocha South LGA</t>
  </si>
  <si>
    <t>Reconstruction of Old Adeje Road, Adeje in Okpe LGA</t>
  </si>
  <si>
    <t>Completion of the Construction of Ugbolu/Akwukwu-Igbo Road in Oshimili North Local Government Area (Phase I: from end of asphalt at Akwukwu-Igbo LG Council Secretariat to Akwukwu Board Camp (6.00 Kilometres))</t>
  </si>
  <si>
    <t>Completion of the Dualisation of Ughelli/Asaba Road (Sector C1: Km 92 + 000 to Km117 + 000,  Ossissa to Kwale Junction, Ogwashi-Uku)</t>
  </si>
  <si>
    <t xml:space="preserve">Construction of Iregwa and Ebegboni Street, off Obi Ikechukwu Stret, Agbor Obi in IkaSouth Local Government Area </t>
  </si>
  <si>
    <t>Construction of Kess College Road off Ewhrekpokpor/Ekrejebor/Agbarha Otor Road in Ughelli North LGA</t>
  </si>
  <si>
    <t>Rehabilitation/Construction of Owa-Oyibu/Udomi-Abavo Road in Ika South LGA</t>
  </si>
  <si>
    <t>Construction/Rehabilitation of Internal roads in  Orogun town. (Hospital and Ossai Roads)</t>
  </si>
  <si>
    <t>Maintenance of failed portions of Oteri/Ovwor/Ophorigbala New Road and Oteri/Ovwor Old Road in Ughelli North Local Government Area</t>
  </si>
  <si>
    <t>Rehabilitation and Asphalt of 150M Length of Enerhen Motel Road from Enerhen Road Junction, Uvwie LGA</t>
  </si>
  <si>
    <t>Construction of Drains/Interlocking Tiles in Air Force Housing Estate, Jeddo in Okpe Local Government Area</t>
  </si>
  <si>
    <t>Construction of Owa-Alero Internal Roads in Ika North East LGA</t>
  </si>
  <si>
    <t>Construction of Main Axial Road, Erowha Community, Phase II (Asphalt Overlay of Road and Shoulders)</t>
  </si>
  <si>
    <t>Completion of the construction of Ovie Palace Road and Asphalt Overlay of Emede Ring Road in Isoko LGA</t>
  </si>
  <si>
    <t>Construction of Egwulemu Street, off Obi Ikechukwu Road, Agbor-Obi in Ika South LGA</t>
  </si>
  <si>
    <t>Construction of Okosome Road, Boji-Boji Owa in Ika North East Local Government Area</t>
  </si>
  <si>
    <t>Construction of Flood Control Measures around Asaba Specialist Hospital, Asaba, Oshimili South LGA</t>
  </si>
  <si>
    <t>Construction of the Extension of Ebegboni and Upper Ogbini Streets, Boji Boji, Owa in Ika North East LGA</t>
  </si>
  <si>
    <t>Construction of Flood Control Measures at Okotomi Quarters, Okpanam, Oshimili North LGA</t>
  </si>
  <si>
    <t xml:space="preserve">Construction of Owhelogbo Drainage, Phase I (Ovuzuorie Macaulay/Edigre Road), Isoko North LGA </t>
  </si>
  <si>
    <t>Rehabilitation of a section of Idheze/Ozoro Road in Isoko South LGA</t>
  </si>
  <si>
    <t>Construction of Storm Water Discharge Channels and Erosion Control Measures for Ogwashi - Uku/Ubulu - Unor Road in Aniocha South LGA</t>
  </si>
  <si>
    <t>Palative Repairs on Failed Sections of Benin/Asaba/Onitsha Expressway at Ubulu - Okiti and the Approach of Niger Bridge</t>
  </si>
  <si>
    <t>Reconstruction and Rehabilitation of Failed Portions of Warri - Sapele - Benin Dual Carriageway</t>
  </si>
  <si>
    <t>Dualization of Okumagba Avenue- Deco Road</t>
  </si>
  <si>
    <t xml:space="preserve">PTI Ekpan Jakpa Road </t>
  </si>
  <si>
    <t>Emergency Roads Repairs in Effurun and Ughelli</t>
  </si>
  <si>
    <t xml:space="preserve">Construction of the Rehabilitation of Eku/Agbor Road </t>
  </si>
  <si>
    <t>Construction of 500m Road off Mabiaku Road, Warri South LGA</t>
  </si>
  <si>
    <t>Construction of Victory Avenue, Mbaise Street and Shaguolo/Awakpo Street, Ekpan, Uvwie LGA</t>
  </si>
  <si>
    <t>Construction of Ute-Okpu/Ute-Enugu Road Phase III</t>
  </si>
  <si>
    <t>Asaba Flyover</t>
  </si>
  <si>
    <t>Palliative Repair at Asagbas Palace</t>
  </si>
  <si>
    <t>Civil Engineering Material Testing Laboratory</t>
  </si>
  <si>
    <t>Purchase of Computers/Computerization</t>
  </si>
  <si>
    <t>F213000000</t>
  </si>
  <si>
    <t>O2101</t>
  </si>
  <si>
    <t>70112</t>
  </si>
  <si>
    <t>To resubmit</t>
  </si>
  <si>
    <t>Ministry of Works</t>
  </si>
  <si>
    <t>MINISTRY OF WORKS</t>
  </si>
  <si>
    <t>Pipeline extension (5km each in LGA Headquarters)</t>
  </si>
  <si>
    <t>Supply of replaceable parts</t>
  </si>
  <si>
    <t>Rehabilitation of Schemes</t>
  </si>
  <si>
    <t>Urban Sanitation</t>
  </si>
  <si>
    <t>Supply of pipes of various sizes</t>
  </si>
  <si>
    <t>Provision of security gadgets for SSG's Office and Residence</t>
  </si>
  <si>
    <t>Office of former Governors and Deputy Governor</t>
  </si>
  <si>
    <t>Physical Devt.Plan/Development control</t>
  </si>
  <si>
    <t>Archives/Registry</t>
  </si>
  <si>
    <t>Refurbishing of Utility/Monitoring Vehicle</t>
  </si>
  <si>
    <t xml:space="preserve">Drawing Equipment/Planning Studio </t>
  </si>
  <si>
    <t>Land Use Allocation Committee (Equipment/furniture)</t>
  </si>
  <si>
    <t>Office of the Surveyor-General (Office Furniture and Equipment)</t>
  </si>
  <si>
    <t>Delta State Boundary Committee  (Office Furniture and Equipment)</t>
  </si>
  <si>
    <t>Reasons for additional funding to be provided</t>
  </si>
  <si>
    <t>MINISTRY OF WATER RESOURCES</t>
  </si>
  <si>
    <t>REQUEST FOR ADDITIONAL FUNDING - REASONS TO BE PROVIDED BY MDA</t>
  </si>
  <si>
    <t>CUSTOMARY COURT OF APPEAL</t>
  </si>
  <si>
    <t>Office of the SSG</t>
  </si>
  <si>
    <t>MINISTRY OF ENVIRONMENT</t>
  </si>
  <si>
    <t xml:space="preserve">MINISTRY OF LANDS AND SURVEYS </t>
  </si>
  <si>
    <t>LOCAL GOVT.SERVICE COMMISSION</t>
  </si>
  <si>
    <t>SUB-Total</t>
  </si>
  <si>
    <t>f201010000</t>
  </si>
  <si>
    <t>70620</t>
  </si>
  <si>
    <t>Land Use Layout/Removal of illegal structures</t>
  </si>
  <si>
    <t>Urban Water Corporation, Asaba</t>
  </si>
  <si>
    <t>0149119001</t>
  </si>
  <si>
    <t>0149119002</t>
  </si>
  <si>
    <t>0149119003</t>
  </si>
  <si>
    <t>0149119004</t>
  </si>
  <si>
    <t>Construction of Isoko North Area Customary Court II, Otor Owhe (External Work)</t>
  </si>
  <si>
    <t>Purchase of Vehicles for Customary Court of Appeal Judges</t>
  </si>
  <si>
    <t>Construction of Ukwani Area Customary Court, Obiaruku (External Work)</t>
  </si>
  <si>
    <t xml:space="preserve">CAPITAL  </t>
  </si>
  <si>
    <t>A</t>
  </si>
  <si>
    <t>LOCAL GOVERNMENT SERVICE COMMISSION</t>
  </si>
  <si>
    <t>57</t>
  </si>
  <si>
    <t>58</t>
  </si>
  <si>
    <t>59</t>
  </si>
  <si>
    <t>60</t>
  </si>
  <si>
    <t>INTERIM REPORT OF THE OUTCOME OF 2020 BUDGET SESSION.</t>
  </si>
  <si>
    <t>REMARKS/RECOMMENDATION</t>
  </si>
  <si>
    <t>MINISTRY OF BASIC AND SECONDARY EDUCATION</t>
  </si>
  <si>
    <t>NEW PROJECTS</t>
  </si>
  <si>
    <t>MDA COMMITMENT 2015 - 2019</t>
  </si>
  <si>
    <t>REQUEST FROM MDAs</t>
  </si>
  <si>
    <t>00170000010109</t>
  </si>
  <si>
    <t xml:space="preserve">Rehabilitation of Oha/Oha/Orerokpe/Oviore Road (with bridge) </t>
  </si>
  <si>
    <t xml:space="preserve">Rehabilitation and Asphalt overlay of Obotobo 1 - Obotobo II  Sokebolou and Yokri Road </t>
  </si>
  <si>
    <t xml:space="preserve">Construction of Water Board Road, Owa-Ekei </t>
  </si>
  <si>
    <t>Provision of Solar Powered Street Lights</t>
  </si>
  <si>
    <t>Construction of Onyeka Street, Somekelchukwu Street, Jeacobean Avenue and Water Board Extension Road</t>
  </si>
  <si>
    <t>Construction of TB/Leprosy Road, Akwe/Osedjor-Onowhapor-Urhushue Junction - Ekrudu-Egbogbo-Uti-Samagidi Road, Oria-Abraka</t>
  </si>
  <si>
    <t>Improvement of Koka Junction with Park and monument, Asaba.</t>
  </si>
  <si>
    <t xml:space="preserve">Installation of Street Lights with cameras at Koka Junction and environs, Asaba. </t>
  </si>
  <si>
    <t>Uniform, Raincoat &amp; Umbrella</t>
  </si>
  <si>
    <t xml:space="preserve">Office Equipments </t>
  </si>
  <si>
    <t>Equipment fo Town Planners &amp; Engineers</t>
  </si>
  <si>
    <t>Renovation of Youth Centre</t>
  </si>
  <si>
    <t>Fencing of Youth Centre</t>
  </si>
  <si>
    <t>Equipment of Youth Centre</t>
  </si>
  <si>
    <t>NYSC Permanent Orientation Camp</t>
  </si>
  <si>
    <t>NYSC Multi Purpose Hall</t>
  </si>
  <si>
    <t>Fencing of NYSC Perm. Orientation Camp</t>
  </si>
  <si>
    <t>Construction of Youth Training Centre</t>
  </si>
  <si>
    <t>Fencing of Youth Training Centre</t>
  </si>
  <si>
    <t>Renovation of Hostels/ Classsrooms/Toilets/Kitchens at NYSC Permanent Orientation Camp</t>
  </si>
  <si>
    <t xml:space="preserve">Renovation of Zonal Offices in the three Senatorial District </t>
  </si>
  <si>
    <t>First Aid-Equipment</t>
  </si>
  <si>
    <t xml:space="preserve">Furnishing of Area Offices in 25 LGAs </t>
  </si>
  <si>
    <t>213S</t>
  </si>
  <si>
    <t>Govt House Resource/Research center</t>
  </si>
  <si>
    <t>GOVERNMENT HOUSE</t>
  </si>
  <si>
    <t>For HE Intervention</t>
  </si>
  <si>
    <t>Office of the Auditor General (State)</t>
  </si>
  <si>
    <t>Security</t>
  </si>
  <si>
    <t>Directorate of Science &amp; Technology</t>
  </si>
  <si>
    <t>Provision of Generators for Government Offices, Housing Units and Lodges</t>
  </si>
  <si>
    <t>Repair/Overhauling of brocken down Heavy Duty Generators in Government Quarters</t>
  </si>
  <si>
    <t>Installation/Maintenance/Reactivation of Streetlights in the State.</t>
  </si>
  <si>
    <t>Provision of Generators for the Zonal Centres of Institute of Continuing Education.</t>
  </si>
  <si>
    <t>Extension of Electricity Power Supply along James Agbro Street beside UIDC Company to Eruvwedede Street in Ovwor, Ughelli South LGA</t>
  </si>
  <si>
    <t xml:space="preserve">Extension of Electricity power Supply to Ministry of Energy Multi-Purpose Co-operative Society Housing Estate. </t>
  </si>
  <si>
    <t>Extension of Electricity Power Supply from  Agoloma Town to Toru Apelebiri, Toru-Angiama and Amatebe in Patani Local Government Area.</t>
  </si>
  <si>
    <t>Installation of 4No. 300KVA, 11KVA Transformers at Okuemeva Street off Ibori road and Environs, in Oghara, Ethiope West LGA</t>
  </si>
  <si>
    <t>Construction of 33KV Line across Raymond Creck using Galvanized Steel Towers in Gbaregolor in Ughelli South Local Government Area and Extension of 33KV Power Supply from Gbaragolor to Akugbene through Esanma and Ogbei- Ama Towns in Bomadi Local Government Area.</t>
  </si>
  <si>
    <t>Provision of Transformer Powered Streetlights along Delta State University Teaching Hospital road in Oghara, Ethiope West LGA</t>
  </si>
  <si>
    <t>Extension of Streetlight along Chief James Ibori Road to cover up to Oghareki Model Grammer School and Central Hospital road</t>
  </si>
  <si>
    <t>Installation and Reactivation of Solar Streetlights in Sapele</t>
  </si>
  <si>
    <t>Installation of Solar Street Lights at Onosode Drive, Ekiugbo in Ughelli LGA</t>
  </si>
  <si>
    <t>Installation of 17No Solar Street Lights at Ekelie Street off DLA Road, Asaba</t>
  </si>
  <si>
    <t xml:space="preserve">Supply/Installation of Solar Street Light along Dein Palace road, Agbor, Ika South Local Government Area. </t>
  </si>
  <si>
    <t>Provision and Installation of 30 Units Solar Streetlights in Ovie Palace Grounds, Isiokolo</t>
  </si>
  <si>
    <t>Reactivation of Solar Street Lights Across the State</t>
  </si>
  <si>
    <t>Purchase and distribution of transformers /reinforcement/upgrading of existing substation and power supply in the state</t>
  </si>
  <si>
    <t>Extension of electricity Power Supply in Urban and Regional Area</t>
  </si>
  <si>
    <t>Construction of new electricity power schemes in the State</t>
  </si>
  <si>
    <t>Installation of transformers in the State</t>
  </si>
  <si>
    <t>Installation of 500KVA, 11/0.415KV Transformer at Redeemer's Street, Asaba</t>
  </si>
  <si>
    <t>Provision of 1(No) 500KVA CAT Generator for the Office of the Head of Service, Asaba.</t>
  </si>
  <si>
    <t>Installation of 500KVA, 11/0.415KV Transformer at Ogbeowelle Quarters, Okpanam</t>
  </si>
  <si>
    <t>Installation and Maintenance of Security and Garden Lights in Government Offices and Housing Units</t>
  </si>
  <si>
    <t>Installation of Telephone, PAS and Computer Facilities, Electronic and Safety/Security Devices in Government Offices, Residents and Estates</t>
  </si>
  <si>
    <t>Installation of Solar Street Light at Akugbene Town in Bomadi LGA</t>
  </si>
  <si>
    <t>Installation of Solar Street Lights at Ogbein-ama Town in Bomadi LGA</t>
  </si>
  <si>
    <t>Installation of Solar Streetlights at Federal Housing Estate, Ugboroke-Warri, Delta State</t>
  </si>
  <si>
    <t>Installation of 2No. 500KVA Transformer at Federal Housing Estate, Ugboroke-Warri, Deltat State</t>
  </si>
  <si>
    <t>Procurement of Energy Data Bank System for PRS/Data Collection Van</t>
  </si>
  <si>
    <t>322A</t>
  </si>
  <si>
    <t>318M</t>
  </si>
  <si>
    <t>318K</t>
  </si>
  <si>
    <t>Extension of 33KV Overhead line from Gboregolor to Enekoragho Junction and Completion of 33KV line from Okpokunoa to Gbaregolor</t>
  </si>
  <si>
    <t>Construction of 33KV line across Bomadi River using galvanized Steel towers in Bomadi LGA</t>
  </si>
  <si>
    <t>Reinforcement of Electricity Power Supply at Bomadi Town, in Bomadi Local Government Area</t>
  </si>
  <si>
    <t>Replacement of Burnt 1No. 500KVA, 33/415KV Transformer S/S at Kingdom Close, Egbokodo Itsekiri, Warri</t>
  </si>
  <si>
    <t>Construction of 5 Spans of 11KV Overhead Line and Installation of 1No 300KVA, 11/0.415KV Transformer S/S at Pastor Agbaebu Street, Okpanam in oshimili South LGA</t>
  </si>
  <si>
    <t>Installation of a Pilot 3X10KVA Solar PV Generating System complete with Inverters and Battery Banks to power Streetlights with 60W Energy saving LED Lamps</t>
  </si>
  <si>
    <t>Reactivation of the streetlights in Oghara by replacing all damaged poles, concrete bases, underground armoured cables and replacement of all fittings with 250Watts LED</t>
  </si>
  <si>
    <t>Installation of  2(Nos) 500KVA Transformers, 1No. each at Sinebe Street and St. Patricks College, Asaba</t>
  </si>
  <si>
    <t>Reinforcement of 500kva, 33kv/0.415kv electricity power supply at Hon. Evance O. Ivwurie and Umono Street in Abraka, Ethiope West LGA</t>
  </si>
  <si>
    <t>Reinforcement of Electricity Power Supply at NEPA Co-operative Community and Environs, Sapele in Sapele LGA</t>
  </si>
  <si>
    <t>Installation of 33KV Overhead Line from Odorobu to Adobu Town and Construction of Distribution Network (TDN) in Adobu Town, Patani LGA</t>
  </si>
  <si>
    <t>Rehabilitation of Existing 33KV, 11KV, 415V Overhead Lines and Vandalized S/S Materials at Aladja in Udu LGA as well as Replacement of Collapsed 33KV Overhead Line and Installation of 1No. 300KVA, 33/0.415 Transformer at Palace road, Ogbe-Ijor in Warri South-West LGA Respectively</t>
  </si>
  <si>
    <t>Reinforcement of electricity power supply at Iwezue street off Efezomor road, Owa in Ika North East LGA</t>
  </si>
  <si>
    <t>Replacement of Vandalized Transformer S/S Materials at Adobu Community in Patani LGA</t>
  </si>
  <si>
    <t>Installation of 4(Nos) Schneider Electric's All-In-One LED Solar Powered Streetlights at S.S.S. Road, Asaba, Oshimili South LGA</t>
  </si>
  <si>
    <t>Reinforcement of electricity power supply at St. Philip's Anglican Church Dioses of Asaba in Oshimili South LGA</t>
  </si>
  <si>
    <t>Extension of Electricity Power Supply to Chukwunwike Street, Behind Ulo Yard, Off Asaba/Ibusa Express road, Oshimili-South LGA</t>
  </si>
  <si>
    <t>Rehabilitation and reinforcement of electricity power supply in Umeh Town in Isoko South LGA</t>
  </si>
  <si>
    <t>Reconstruction of collapsed high tension (HT) and low tension (LT) overhead (OH) lines as well as rehabilitation of vandalized transformer s/s in Bomadi over-side and main Town in Bomadi LGA</t>
  </si>
  <si>
    <t>Reactivation of 110 (Nos) and installation of 75 (Nos) Solar Powered Streetlights using Schneider All-In-One LED Light at Bishop Nwosu Street and Environs, Asaba</t>
  </si>
  <si>
    <t>Replacement of Undersized Aluminium Conductor and Installation of 1No. 300KVA, 33/0.415KV Transformer S/S at Edumugiren Street, Off Uti Street, Effurun in Uvwie LGA</t>
  </si>
  <si>
    <t>Reinforcement of Electricity Power Supply at Iwerunmor/Obi Road/ Onyebikuma-Onye Communities, Alibioba Quarters Agbor in Ika South LGA</t>
  </si>
  <si>
    <t>Installation of 1No. 100KVA, 11/0.415KV Transformer Substation at Old-Lagos Asaba Road by Owa Alero Junction Boji Boji Owa in Ika North-East LGA</t>
  </si>
  <si>
    <t>Installation of Additional 1No 7.5MVA, 33/11KV Injection Transformer S/S at Government House Road by Commissioners' Quarters, Asaba in Oshimili South LGA</t>
  </si>
  <si>
    <t>Installation of All-In-One LED Solar Powered Streetlights at Ajagbaodudu in Warri North LGA</t>
  </si>
  <si>
    <t>0204: Ministry of Trade and Investment</t>
  </si>
  <si>
    <t>Technology Incubation Centre(TIC) Asaba.</t>
  </si>
  <si>
    <t>Technology Incubation Centre(TIC) Uvwie.</t>
  </si>
  <si>
    <t>Mapping of Renewable Energy Phase 2</t>
  </si>
  <si>
    <t>Office Furniture /Equipment</t>
  </si>
  <si>
    <t>Uniform, Overall and Boots.</t>
  </si>
  <si>
    <t xml:space="preserve">Ministry of Finance </t>
  </si>
  <si>
    <t xml:space="preserve">Board of internal Revenue </t>
  </si>
  <si>
    <t>Delta State Oil Producing Communities Development Commission</t>
  </si>
  <si>
    <t xml:space="preserve">Directorate of Culture &amp; Tourism </t>
  </si>
  <si>
    <t>Uniform Rain Coat Boots</t>
  </si>
  <si>
    <t>Esterblishment of Library</t>
  </si>
  <si>
    <t>Tourism Mission/ Exhibition and Confrences</t>
  </si>
  <si>
    <t>Identification of new Tourist site/ Attraction</t>
  </si>
  <si>
    <t>Phase Development and promotion of Domestic Tourist (River Ethiope source umuaja</t>
  </si>
  <si>
    <t>Design of sculture in strategic Roundabout in the state</t>
  </si>
  <si>
    <t>Festival and Cultural Exposition (Rhythms of Delta)</t>
  </si>
  <si>
    <t>Production of Document on culture and investment prospect in Delta state</t>
  </si>
  <si>
    <t>Talent Hunt Development Project</t>
  </si>
  <si>
    <t>Leisure park and Film Village creative center Asaba</t>
  </si>
  <si>
    <t>Tourism Resource Development Centre</t>
  </si>
  <si>
    <t>Historical sites Development Adane okpe square mungo park House and expatrite graveyard</t>
  </si>
  <si>
    <t>Delta Tourism Board</t>
  </si>
  <si>
    <t>Delta state Council for Arts and Culture</t>
  </si>
  <si>
    <t>landers Brothers Achorage in Asaba</t>
  </si>
  <si>
    <t>31050415</t>
  </si>
  <si>
    <t>00023050110</t>
  </si>
  <si>
    <t>Directorate of Culture &amp; Tourism</t>
  </si>
  <si>
    <t>Furnishing of the Deputy Governor's Lodge/Guest Houses</t>
  </si>
  <si>
    <t xml:space="preserve">Office Equipment for  the Office Special Adviser, Niger Delta Affairs/BRACED Commission </t>
  </si>
  <si>
    <t>0111020001</t>
  </si>
  <si>
    <t>0111020002</t>
  </si>
  <si>
    <t>0111020004</t>
  </si>
  <si>
    <t>0111020005</t>
  </si>
  <si>
    <t>0111020006</t>
  </si>
  <si>
    <t>0111020007</t>
  </si>
  <si>
    <t>0111020008</t>
  </si>
  <si>
    <t>0111020009</t>
  </si>
  <si>
    <t>0111020010</t>
  </si>
  <si>
    <t>0111020012</t>
  </si>
  <si>
    <t>0111020013</t>
  </si>
  <si>
    <t>0111020014</t>
  </si>
  <si>
    <t>0111020015</t>
  </si>
  <si>
    <t>0111020016</t>
  </si>
  <si>
    <t>0111020017</t>
  </si>
  <si>
    <t>0111020018</t>
  </si>
  <si>
    <t>0111020019</t>
  </si>
  <si>
    <t>0111020020</t>
  </si>
  <si>
    <t>0111020021</t>
  </si>
  <si>
    <t>0111020022</t>
  </si>
  <si>
    <t>0111020023</t>
  </si>
  <si>
    <t>0111020024</t>
  </si>
  <si>
    <t>0111020025</t>
  </si>
  <si>
    <t>0111220006</t>
  </si>
  <si>
    <t>0111220007</t>
  </si>
  <si>
    <t>0111220008</t>
  </si>
  <si>
    <t>0111220009</t>
  </si>
  <si>
    <t>0111220010</t>
  </si>
  <si>
    <t>0111220011</t>
  </si>
  <si>
    <t>0111220012</t>
  </si>
  <si>
    <t>0111220013</t>
  </si>
  <si>
    <t>0111220014</t>
  </si>
  <si>
    <t>0111220015</t>
  </si>
  <si>
    <t>0111220016</t>
  </si>
  <si>
    <t>0111220017</t>
  </si>
  <si>
    <t>0111220018</t>
  </si>
  <si>
    <t>0111220019</t>
  </si>
  <si>
    <t>0112200001</t>
  </si>
  <si>
    <t>0112200002</t>
  </si>
  <si>
    <t>0112200003</t>
  </si>
  <si>
    <t>0112200004</t>
  </si>
  <si>
    <t>0112200005</t>
  </si>
  <si>
    <t>0112200006</t>
  </si>
  <si>
    <t>0112200007</t>
  </si>
  <si>
    <t>0112200008</t>
  </si>
  <si>
    <t>0112200009</t>
  </si>
  <si>
    <t>0112200010</t>
  </si>
  <si>
    <t>0112200011</t>
  </si>
  <si>
    <t>0112200012</t>
  </si>
  <si>
    <t>0112200013</t>
  </si>
  <si>
    <t>0112200014</t>
  </si>
  <si>
    <t>0112200015</t>
  </si>
  <si>
    <t>0112200016</t>
  </si>
  <si>
    <t>0112200017</t>
  </si>
  <si>
    <t>0112200018</t>
  </si>
  <si>
    <t>0112200019</t>
  </si>
  <si>
    <t>0112200020</t>
  </si>
  <si>
    <t>0112200021</t>
  </si>
  <si>
    <t>0112200022</t>
  </si>
  <si>
    <t>0112200023</t>
  </si>
  <si>
    <t>0112200024</t>
  </si>
  <si>
    <t>0112200025</t>
  </si>
  <si>
    <t>0112200026</t>
  </si>
  <si>
    <t>0112200027</t>
  </si>
  <si>
    <t>0112200028</t>
  </si>
  <si>
    <t>0112200029</t>
  </si>
  <si>
    <t>0112200030</t>
  </si>
  <si>
    <t>0112200031</t>
  </si>
  <si>
    <t>0112200032</t>
  </si>
  <si>
    <t>0112200033</t>
  </si>
  <si>
    <t>0112200034</t>
  </si>
  <si>
    <t>0112200035</t>
  </si>
  <si>
    <t>0112200036</t>
  </si>
  <si>
    <t>0112200037</t>
  </si>
  <si>
    <t>0112200038</t>
  </si>
  <si>
    <t>0112200039</t>
  </si>
  <si>
    <t>0112200040</t>
  </si>
  <si>
    <t>0112200041</t>
  </si>
  <si>
    <t>0112200042</t>
  </si>
  <si>
    <t>0112200043</t>
  </si>
  <si>
    <t>0112200044</t>
  </si>
  <si>
    <t>0112200045</t>
  </si>
  <si>
    <t>0112200046</t>
  </si>
  <si>
    <t>0112200047</t>
  </si>
  <si>
    <t>0112200048</t>
  </si>
  <si>
    <t>0111320001</t>
  </si>
  <si>
    <t>0111320002</t>
  </si>
  <si>
    <t>0111320003</t>
  </si>
  <si>
    <t>0111320004</t>
  </si>
  <si>
    <t>0111320005</t>
  </si>
  <si>
    <t>0111320006</t>
  </si>
  <si>
    <t>0111320007</t>
  </si>
  <si>
    <t>0111320008</t>
  </si>
  <si>
    <t>0111320009</t>
  </si>
  <si>
    <t>0111320010</t>
  </si>
  <si>
    <t>0111320011</t>
  </si>
  <si>
    <t>0111320012</t>
  </si>
  <si>
    <t>0111320013</t>
  </si>
  <si>
    <t>0111320014</t>
  </si>
  <si>
    <t>0111320015</t>
  </si>
  <si>
    <t>0111320016</t>
  </si>
  <si>
    <t>0111102001</t>
  </si>
  <si>
    <t>0111102002</t>
  </si>
  <si>
    <t>0111102003</t>
  </si>
  <si>
    <t>0111102004</t>
  </si>
  <si>
    <t>0111102005</t>
  </si>
  <si>
    <t>0111102006</t>
  </si>
  <si>
    <t>0111102007</t>
  </si>
  <si>
    <t>0111102008</t>
  </si>
  <si>
    <t>0125200001</t>
  </si>
  <si>
    <t>0125200002</t>
  </si>
  <si>
    <t>0125200003</t>
  </si>
  <si>
    <t>0125200004</t>
  </si>
  <si>
    <t>0125200005</t>
  </si>
  <si>
    <t>0125200006</t>
  </si>
  <si>
    <t>0125200007</t>
  </si>
  <si>
    <t>0125200008</t>
  </si>
  <si>
    <t>0125200009</t>
  </si>
  <si>
    <t>0125200010</t>
  </si>
  <si>
    <t>Directorate Of Political and Security Services</t>
  </si>
  <si>
    <t>0111420001</t>
  </si>
  <si>
    <t>0111420002</t>
  </si>
  <si>
    <t>0111420003</t>
  </si>
  <si>
    <t>0111420004</t>
  </si>
  <si>
    <t>0111420005</t>
  </si>
  <si>
    <t>0111420006</t>
  </si>
  <si>
    <t>0111620001</t>
  </si>
  <si>
    <t>0111620002</t>
  </si>
  <si>
    <t>0111620003</t>
  </si>
  <si>
    <t>0111620004</t>
  </si>
  <si>
    <t>0111620005</t>
  </si>
  <si>
    <t>0111620006</t>
  </si>
  <si>
    <t>0111620007</t>
  </si>
  <si>
    <t>0111620008</t>
  </si>
  <si>
    <t>0111620009</t>
  </si>
  <si>
    <t>0111620011</t>
  </si>
  <si>
    <t>0111620012</t>
  </si>
  <si>
    <t>0111620013</t>
  </si>
  <si>
    <t>0111612001</t>
  </si>
  <si>
    <t>0111612002</t>
  </si>
  <si>
    <t>0111612003</t>
  </si>
  <si>
    <t>0111612004</t>
  </si>
  <si>
    <t>0111612005</t>
  </si>
  <si>
    <t>0148200001</t>
  </si>
  <si>
    <t>0148200002</t>
  </si>
  <si>
    <t>0148200003</t>
  </si>
  <si>
    <t>0148200004</t>
  </si>
  <si>
    <t>0148200005</t>
  </si>
  <si>
    <t>0148200006</t>
  </si>
  <si>
    <t>0148200007</t>
  </si>
  <si>
    <t>0141190001</t>
  </si>
  <si>
    <t>0141190002</t>
  </si>
  <si>
    <t>0141190003</t>
  </si>
  <si>
    <t>0141190004</t>
  </si>
  <si>
    <t>0141190005</t>
  </si>
  <si>
    <t>0141190006</t>
  </si>
  <si>
    <t>0141190007</t>
  </si>
  <si>
    <t>0141190008</t>
  </si>
  <si>
    <t>0141190009</t>
  </si>
  <si>
    <t>0141190010</t>
  </si>
  <si>
    <t>0141190011</t>
  </si>
  <si>
    <t>Office of the Auditor General (Local Government)</t>
  </si>
  <si>
    <t>0140200001</t>
  </si>
  <si>
    <t>0140200002</t>
  </si>
  <si>
    <t>0140200003</t>
  </si>
  <si>
    <t>0140200004</t>
  </si>
  <si>
    <t>0140200005</t>
  </si>
  <si>
    <t>0140200006</t>
  </si>
  <si>
    <t>0140200007</t>
  </si>
  <si>
    <t>0140200008</t>
  </si>
  <si>
    <t>0147200001</t>
  </si>
  <si>
    <t>0147200002</t>
  </si>
  <si>
    <t>0147200003</t>
  </si>
  <si>
    <t>0147200004</t>
  </si>
  <si>
    <t>0147200005</t>
  </si>
  <si>
    <t>0147200006</t>
  </si>
  <si>
    <t>0147200007</t>
  </si>
  <si>
    <t>Delta State House of Assembly Service Commission</t>
  </si>
  <si>
    <t>0112120001</t>
  </si>
  <si>
    <t>0112120002</t>
  </si>
  <si>
    <t>0112120003</t>
  </si>
  <si>
    <t>0112120004</t>
  </si>
  <si>
    <t>0112120005</t>
  </si>
  <si>
    <t xml:space="preserve">1.  Renovation of Commission building including partitioniing of Chairman and Member's officesHead Quarters and Zonal Offices (Minor Works)                     , Sand filling and general interlocking of the commission premises                      </t>
  </si>
  <si>
    <t>0149119005</t>
  </si>
  <si>
    <t>0111312001</t>
  </si>
  <si>
    <t>0260200001</t>
  </si>
  <si>
    <t>0260200002</t>
  </si>
  <si>
    <t>0260200003</t>
  </si>
  <si>
    <t>0260200004</t>
  </si>
  <si>
    <t>0260200005</t>
  </si>
  <si>
    <t>0260200006</t>
  </si>
  <si>
    <t>0260200007</t>
  </si>
  <si>
    <t>0260200008</t>
  </si>
  <si>
    <t>0260200009</t>
  </si>
  <si>
    <t>0260200010</t>
  </si>
  <si>
    <t>0260200011</t>
  </si>
  <si>
    <t>0260200012</t>
  </si>
  <si>
    <t>0260200013</t>
  </si>
  <si>
    <t>0260200014</t>
  </si>
  <si>
    <t>0260200015</t>
  </si>
  <si>
    <t>0260200016</t>
  </si>
  <si>
    <t>0260200017</t>
  </si>
  <si>
    <t>0260200018</t>
  </si>
  <si>
    <t>0260200019</t>
  </si>
  <si>
    <t>0260200020</t>
  </si>
  <si>
    <t>0260200021</t>
  </si>
  <si>
    <t>0260200022</t>
  </si>
  <si>
    <t>0260200023</t>
  </si>
  <si>
    <t>0260200024</t>
  </si>
  <si>
    <t>0260200025</t>
  </si>
  <si>
    <t>0260200026</t>
  </si>
  <si>
    <t>0260200027</t>
  </si>
  <si>
    <t>0260020001</t>
  </si>
  <si>
    <t>0260020002</t>
  </si>
  <si>
    <t>0260020003</t>
  </si>
  <si>
    <t>0260020004</t>
  </si>
  <si>
    <t>0236200001</t>
  </si>
  <si>
    <t>0236200002</t>
  </si>
  <si>
    <t>0236200003</t>
  </si>
  <si>
    <t>0236200004</t>
  </si>
  <si>
    <t>0236200005</t>
  </si>
  <si>
    <t>0236200006</t>
  </si>
  <si>
    <t>0236200007</t>
  </si>
  <si>
    <t>0236200008</t>
  </si>
  <si>
    <t>0236200009</t>
  </si>
  <si>
    <t>0236200010</t>
  </si>
  <si>
    <t>0236200011</t>
  </si>
  <si>
    <t>0236200012</t>
  </si>
  <si>
    <t>0236200013</t>
  </si>
  <si>
    <t>0236200014</t>
  </si>
  <si>
    <t>0236200015</t>
  </si>
  <si>
    <t>0236200016</t>
  </si>
  <si>
    <t>0236200017</t>
  </si>
  <si>
    <t>0236200018</t>
  </si>
  <si>
    <t>0236200019</t>
  </si>
  <si>
    <t>0236200020</t>
  </si>
  <si>
    <t>0236200021</t>
  </si>
  <si>
    <t>0236200022</t>
  </si>
  <si>
    <t>0215020001</t>
  </si>
  <si>
    <t>0215020003</t>
  </si>
  <si>
    <t>0215020007</t>
  </si>
  <si>
    <t>0215020011</t>
  </si>
  <si>
    <t>0215020016</t>
  </si>
  <si>
    <t>0215020018</t>
  </si>
  <si>
    <t>0215020021</t>
  </si>
  <si>
    <t>0215020027</t>
  </si>
  <si>
    <t>0215020032</t>
  </si>
  <si>
    <t>0222200001</t>
  </si>
  <si>
    <t>0222200002</t>
  </si>
  <si>
    <t>0222200003</t>
  </si>
  <si>
    <t>0222200004</t>
  </si>
  <si>
    <t>0222200006</t>
  </si>
  <si>
    <t>0222200007</t>
  </si>
  <si>
    <t>0222200008</t>
  </si>
  <si>
    <t>0222200009</t>
  </si>
  <si>
    <t>0222200010</t>
  </si>
  <si>
    <t>0222200011</t>
  </si>
  <si>
    <t>0222200014</t>
  </si>
  <si>
    <t>0222200018</t>
  </si>
  <si>
    <t>0222200019</t>
  </si>
  <si>
    <t>0222200021</t>
  </si>
  <si>
    <t>0222200023</t>
  </si>
  <si>
    <t>0222120001</t>
  </si>
  <si>
    <t>0222120002</t>
  </si>
  <si>
    <t>0222120003</t>
  </si>
  <si>
    <t>0222120004</t>
  </si>
  <si>
    <t>0222120005</t>
  </si>
  <si>
    <t>Delta State Micro, Small Scale and Medium Enterprises Agency</t>
  </si>
  <si>
    <t>0231120019</t>
  </si>
  <si>
    <t>Minstry of Water Resources</t>
  </si>
  <si>
    <t>0252200001</t>
  </si>
  <si>
    <t>0252200002</t>
  </si>
  <si>
    <t>0252200003</t>
  </si>
  <si>
    <t>0252200004</t>
  </si>
  <si>
    <t>0252200005</t>
  </si>
  <si>
    <t>0252200006</t>
  </si>
  <si>
    <t>0252200007</t>
  </si>
  <si>
    <t>0252200008</t>
  </si>
  <si>
    <t>0252200009</t>
  </si>
  <si>
    <t>0252200010</t>
  </si>
  <si>
    <t>0252200011</t>
  </si>
  <si>
    <t>0252200012</t>
  </si>
  <si>
    <t>0252200013</t>
  </si>
  <si>
    <t>0252200014</t>
  </si>
  <si>
    <t>0252200015</t>
  </si>
  <si>
    <t>0252200016</t>
  </si>
  <si>
    <t>0252200017</t>
  </si>
  <si>
    <t>0252200018</t>
  </si>
  <si>
    <t>0252020001</t>
  </si>
  <si>
    <t>0252020002</t>
  </si>
  <si>
    <t>0252020003</t>
  </si>
  <si>
    <t>0252020004</t>
  </si>
  <si>
    <t>0228200001</t>
  </si>
  <si>
    <t>0228200002</t>
  </si>
  <si>
    <t>0228200003</t>
  </si>
  <si>
    <t>0228200004</t>
  </si>
  <si>
    <t>0228200005</t>
  </si>
  <si>
    <t>0228200006</t>
  </si>
  <si>
    <t>0228200007</t>
  </si>
  <si>
    <t>0228200008</t>
  </si>
  <si>
    <t>0228200009</t>
  </si>
  <si>
    <t>0228200010</t>
  </si>
  <si>
    <t>0228200011</t>
  </si>
  <si>
    <t>0228200012</t>
  </si>
  <si>
    <t>0228200013</t>
  </si>
  <si>
    <t>0228200014</t>
  </si>
  <si>
    <t>0228200015</t>
  </si>
  <si>
    <t>0228200016</t>
  </si>
  <si>
    <t>0232200001</t>
  </si>
  <si>
    <t>0232200002</t>
  </si>
  <si>
    <t>0232200003</t>
  </si>
  <si>
    <t>0232200004</t>
  </si>
  <si>
    <t>0232200005</t>
  </si>
  <si>
    <t>0232200006</t>
  </si>
  <si>
    <t>0232200007</t>
  </si>
  <si>
    <t>0232200008</t>
  </si>
  <si>
    <t>0232200009</t>
  </si>
  <si>
    <t>0232200010</t>
  </si>
  <si>
    <t>0232200011</t>
  </si>
  <si>
    <t>0232200012</t>
  </si>
  <si>
    <t>0220200001</t>
  </si>
  <si>
    <t>0220200002</t>
  </si>
  <si>
    <t>0220200003</t>
  </si>
  <si>
    <t>0220200004</t>
  </si>
  <si>
    <t>0220200005</t>
  </si>
  <si>
    <t>0220200006</t>
  </si>
  <si>
    <t>0220200007</t>
  </si>
  <si>
    <t>0220200008</t>
  </si>
  <si>
    <t>0220200009</t>
  </si>
  <si>
    <t>0220200010</t>
  </si>
  <si>
    <t>0220200011</t>
  </si>
  <si>
    <t>0220200012</t>
  </si>
  <si>
    <t>0220200013</t>
  </si>
  <si>
    <t>0220200014</t>
  </si>
  <si>
    <t>0220200015</t>
  </si>
  <si>
    <t>0220220001</t>
  </si>
  <si>
    <t>0238200001</t>
  </si>
  <si>
    <t>0238200002</t>
  </si>
  <si>
    <t>0238200003</t>
  </si>
  <si>
    <t>0238200004</t>
  </si>
  <si>
    <t>0238200005</t>
  </si>
  <si>
    <t>0238200006</t>
  </si>
  <si>
    <t>0238200007</t>
  </si>
  <si>
    <t>0238200008</t>
  </si>
  <si>
    <t>0238200009</t>
  </si>
  <si>
    <t>0238200010</t>
  </si>
  <si>
    <t>0238200011</t>
  </si>
  <si>
    <t>0238200012</t>
  </si>
  <si>
    <t>0238200013</t>
  </si>
  <si>
    <t>0238200014</t>
  </si>
  <si>
    <t>0238200015</t>
  </si>
  <si>
    <t>0238200016</t>
  </si>
  <si>
    <t>0238200017</t>
  </si>
  <si>
    <t>00032010105</t>
  </si>
  <si>
    <t>00022020311</t>
  </si>
  <si>
    <t>00023030103</t>
  </si>
  <si>
    <t>MDAs CAPTURED  IN BUDGET</t>
  </si>
  <si>
    <t>Reinforcement of electricity power supply at Obogogba Quarters across express, Okpanam Oshimili North LGA</t>
  </si>
  <si>
    <t>Reinforcement/rehabilitation of electricity power supply at Issele-Mkpitime in Aniocha North LGA</t>
  </si>
  <si>
    <t>Installation of All-in-One LED Solar Powered Streetlights at Madonna road back of N.T.A. and Environs in Oshimili South LGA</t>
  </si>
  <si>
    <t>Reinforcement of electricity power supply at Okotomi Layout, Phase 2 Poultry road, Ogbe Sachi Quarters, Okpanam in Oshimili North LGA</t>
  </si>
  <si>
    <t>Reinforcement of Electricity Power supply at Edu China Street, Ogbe-Owelle Community Opposite Airport, Okpanam in Oshimili North LGA</t>
  </si>
  <si>
    <t>Renovation of Sports Commision Athletes Hostel</t>
  </si>
  <si>
    <t>Construction of Irrigation for Greens and Fairways of Ibori Golf and Country Club, Asaba</t>
  </si>
  <si>
    <t>Burutu Mini Stadium Earthfilling and completion of Courts (Basketball, Volleyball)</t>
  </si>
  <si>
    <t>Construction of Ogwashi-Uku Mini Stadium/Hostel</t>
  </si>
  <si>
    <t>Construction of Otu-Jeremi Mini Stadium</t>
  </si>
  <si>
    <t>Construction of Mini Stadium including Tartan Tracks &amp; Floodlight at Isiokolo</t>
  </si>
  <si>
    <t>Oleh Mini Stadium (Provision of auxilliary facilities</t>
  </si>
  <si>
    <t>Construction of Ugbomro Mini Stadium (Uvwie LGA)</t>
  </si>
  <si>
    <t>Ughelli Mini Stadium (Provision of auxilliary facilities)</t>
  </si>
  <si>
    <t>Swimming Strect at Obiaruku</t>
  </si>
  <si>
    <t>Construction of Swimming Pool in Asaba Township Stadium</t>
  </si>
  <si>
    <t>Construction of Swimming Pool in Warri</t>
  </si>
  <si>
    <t>Construction of Weight Lifting Gymnasium at Asaba Stadium</t>
  </si>
  <si>
    <t>Owa-Oyibu Mini Sports Arena / Sports Academy</t>
  </si>
  <si>
    <t>Construction of Burutu Mini Spotrs Arena, Burutu</t>
  </si>
  <si>
    <t>Purchase of Mowers/Slashers/Tractors</t>
  </si>
  <si>
    <t>Purchase Sports Equipment</t>
  </si>
  <si>
    <t>Equipment of Squash Hall at VIP Quarters including Leisure  Pool</t>
  </si>
  <si>
    <t>Digital Scoreboard/Floodlight for Asaba Stadium</t>
  </si>
  <si>
    <t>Completion/Provision of auxilliary facilities at Stephen Keshi Stadium, Asaba</t>
  </si>
  <si>
    <t>Indoor Sports Hall Asaba</t>
  </si>
  <si>
    <t>Digital Scoreboard/Floodlight for Sapele Stadium</t>
  </si>
  <si>
    <t>Suply of Sports Ambulance Utility Vehicles</t>
  </si>
  <si>
    <t>Provision of&amp; Installation of Synthetic grass turf at the Orerokpe Mini Sports Arena</t>
  </si>
  <si>
    <t>00023030107</t>
  </si>
  <si>
    <t>00031050202</t>
  </si>
  <si>
    <t>00031050116</t>
  </si>
  <si>
    <t>0539200001</t>
  </si>
  <si>
    <t>0539200002</t>
  </si>
  <si>
    <t>0539200003</t>
  </si>
  <si>
    <t>0539200004</t>
  </si>
  <si>
    <t>0539200005</t>
  </si>
  <si>
    <t>0539200006</t>
  </si>
  <si>
    <t>0539200007</t>
  </si>
  <si>
    <t>0539200008</t>
  </si>
  <si>
    <t>0539200009</t>
  </si>
  <si>
    <t>0539200010</t>
  </si>
  <si>
    <t>0539200011</t>
  </si>
  <si>
    <t>0539200012</t>
  </si>
  <si>
    <t>0539200013</t>
  </si>
  <si>
    <t>0539200014</t>
  </si>
  <si>
    <t>0539200015</t>
  </si>
  <si>
    <t>0539200016</t>
  </si>
  <si>
    <t>0539200017</t>
  </si>
  <si>
    <t>0539200018</t>
  </si>
  <si>
    <t>0539200019</t>
  </si>
  <si>
    <t>0539200020</t>
  </si>
  <si>
    <t>0539200021</t>
  </si>
  <si>
    <t>0539200022</t>
  </si>
  <si>
    <t>0539200023</t>
  </si>
  <si>
    <t>0539200024</t>
  </si>
  <si>
    <t>0539200025</t>
  </si>
  <si>
    <t>0539200026</t>
  </si>
  <si>
    <t>0539200027</t>
  </si>
  <si>
    <t>0539200028</t>
  </si>
  <si>
    <t>0539200029</t>
  </si>
  <si>
    <t>0539200030</t>
  </si>
  <si>
    <t>0539200031</t>
  </si>
  <si>
    <t>0539200032</t>
  </si>
  <si>
    <t>0539200033</t>
  </si>
  <si>
    <t>0539200034</t>
  </si>
  <si>
    <t>0539200035</t>
  </si>
  <si>
    <t>0539200036</t>
  </si>
  <si>
    <t>0539200037</t>
  </si>
  <si>
    <t>0539200038</t>
  </si>
  <si>
    <t>0539200039</t>
  </si>
  <si>
    <t>0539200040</t>
  </si>
  <si>
    <t>0539200041</t>
  </si>
  <si>
    <t>0539200042</t>
  </si>
  <si>
    <t>0539200043</t>
  </si>
  <si>
    <t>0539200044</t>
  </si>
  <si>
    <t>0539200045</t>
  </si>
  <si>
    <t>0111420007</t>
  </si>
  <si>
    <t>Ministry of Justice</t>
  </si>
  <si>
    <t xml:space="preserve">Ministry of Justice </t>
  </si>
  <si>
    <t>MINISTRY OFTECHNICAL &amp; VOCATIONAL EDUCATION</t>
  </si>
  <si>
    <t xml:space="preserve">Judiciary Service Commission </t>
  </si>
  <si>
    <t>0111020026</t>
  </si>
  <si>
    <t>Office Furniture for the L.G.A field offices</t>
  </si>
  <si>
    <t>Office Equipment for the L.G.A field offices</t>
  </si>
  <si>
    <t>02102</t>
  </si>
  <si>
    <t>F204010001</t>
  </si>
  <si>
    <t>Geological Surveillance of Solid Minerals</t>
  </si>
  <si>
    <t>Road Traffic and Warning Signs</t>
  </si>
  <si>
    <t>Equiping of Central Mechanical Workshop (Mech.)</t>
  </si>
  <si>
    <t>Training School (Mech.)</t>
  </si>
  <si>
    <t>Provision / Maintenance of Traffic Lights / Signals in Urban Towns</t>
  </si>
  <si>
    <t>MINOR WORKS  (DESTMA)</t>
  </si>
  <si>
    <t xml:space="preserve">Road Markings at Olu Palace Road Ajamimogha, Warri South </t>
  </si>
  <si>
    <t>Supply / Installation of Solar Traffic Lights in the State.</t>
  </si>
  <si>
    <t>Purchase and upkeep of Refridgerator and Air-Conditioners</t>
  </si>
  <si>
    <t>Purchase of Mechanical Drawing Instrument (Mech.)</t>
  </si>
  <si>
    <t>Repairs / Maintainance of V.I.O 4No Tow Trucks ( 2Nos 50 Ton, 2 No 10Ton )</t>
  </si>
  <si>
    <t>Renovation of V.I.O Zonal Office at Ogwashi-Uku,Ugheli, Warri and Agbor.</t>
  </si>
  <si>
    <t>Procurement of Radio Communication Equipment for Vehicle Inspection Officers</t>
  </si>
  <si>
    <t>Road safty awareness Campaigns for Road users / Motorist across the State by V.I.Os</t>
  </si>
  <si>
    <t>Procurement of Uniforms/ Materials and Paraphernalia of Office for vehicle Inspection Officers V.I.Os</t>
  </si>
  <si>
    <t xml:space="preserve">Maintenance of V.I.O Patrol Vehicles Across the State </t>
  </si>
  <si>
    <t>Waterways Safety Measures</t>
  </si>
  <si>
    <t>Purchase of Publicity Equipment for the Public Relation Unit</t>
  </si>
  <si>
    <t>00032010400</t>
  </si>
  <si>
    <t>00022020616</t>
  </si>
  <si>
    <t>Rehabilitation Remand Home and Detention Centre, Sapele</t>
  </si>
  <si>
    <t>71070</t>
  </si>
  <si>
    <t>71012</t>
  </si>
  <si>
    <t>71011</t>
  </si>
  <si>
    <t>70911</t>
  </si>
  <si>
    <t>70860</t>
  </si>
  <si>
    <t>71040</t>
  </si>
  <si>
    <t>70980</t>
  </si>
  <si>
    <t>00022020503</t>
  </si>
  <si>
    <t>00022020302</t>
  </si>
  <si>
    <t>00022020400</t>
  </si>
  <si>
    <t xml:space="preserve">Delta State Traffic Management Authority (DESTMA) </t>
  </si>
  <si>
    <t>0229200001</t>
  </si>
  <si>
    <t>0229200002</t>
  </si>
  <si>
    <t>0229200003</t>
  </si>
  <si>
    <t>0229200004</t>
  </si>
  <si>
    <t>0229200007</t>
  </si>
  <si>
    <t>0229200008</t>
  </si>
  <si>
    <t>0229200009</t>
  </si>
  <si>
    <t>0229200010</t>
  </si>
  <si>
    <t>0229200011</t>
  </si>
  <si>
    <t>0229200012</t>
  </si>
  <si>
    <t>0229200013</t>
  </si>
  <si>
    <t>0229200014</t>
  </si>
  <si>
    <t>0229200015</t>
  </si>
  <si>
    <t>0229200016</t>
  </si>
  <si>
    <t>0229200017</t>
  </si>
  <si>
    <t>0229200018</t>
  </si>
  <si>
    <t>0229200019</t>
  </si>
  <si>
    <t>0229200020</t>
  </si>
  <si>
    <t>0229200021</t>
  </si>
  <si>
    <t>0229200022</t>
  </si>
  <si>
    <t>0229200023</t>
  </si>
  <si>
    <t>0229200024</t>
  </si>
  <si>
    <t>0229200025</t>
  </si>
  <si>
    <t>0229200026</t>
  </si>
  <si>
    <t>0229120001</t>
  </si>
  <si>
    <t>0229120002</t>
  </si>
  <si>
    <t>Equipment of Conference Hall</t>
  </si>
  <si>
    <t>Office of the Senior Policy Adviser</t>
  </si>
  <si>
    <t>FUMIGATION</t>
  </si>
  <si>
    <t>DESILTING OF INTERNAL DRAINS IN THE STATE</t>
  </si>
  <si>
    <t xml:space="preserve">FLOOD CONTROL IN THE STATE </t>
  </si>
  <si>
    <t>FLOOD/EROSION CONTROL MEASURES AT OGHARA</t>
  </si>
  <si>
    <t>FUMIGATION OF PUBLIC PLACES(HOSPITAL,GOVT QUARTERS &amp; OFFICES)</t>
  </si>
  <si>
    <t>WARRI DRAINAGE PROJECT</t>
  </si>
  <si>
    <t>OPENNING OF NANA TOWN CREEK, WARRI NORTH</t>
  </si>
  <si>
    <t>IMPLEMEMTAION OF CLIMATE CHANGE STRATEGIC ACTION PLAN IN THE STATE</t>
  </si>
  <si>
    <t>MAINTENANCE OF DUMP SITES ACROSS THE STATE</t>
  </si>
  <si>
    <t xml:space="preserve">PROVISION/CONSTRUCTION OF CULVERTS IN THE STATE </t>
  </si>
  <si>
    <t xml:space="preserve">FOREST REGENERATION </t>
  </si>
  <si>
    <t>FOREST SURVEY/ RESEARCH BOUNDARIES</t>
  </si>
  <si>
    <t>TREE PLANTING CAMPAIGN SCHEME</t>
  </si>
  <si>
    <t>MAINTENANCE OF ESTABLISHED PLANTATIONS</t>
  </si>
  <si>
    <t>NURSERY ESTABLISHMENT &amp; OPERATIONS</t>
  </si>
  <si>
    <t>OFFICE EQUIPMENT AND FURNITURE</t>
  </si>
  <si>
    <t>INSTALLATION OF INTERCOM, TELEPHONE AND CLOSE CIRCUIT TELEVISION</t>
  </si>
  <si>
    <t>ADDING MACHINES &amp; CALCULATORS</t>
  </si>
  <si>
    <t>UNIFORM, UMBRELLA AND RAINCOATS</t>
  </si>
  <si>
    <t>LIBRARY</t>
  </si>
  <si>
    <t>MINOR WORKS</t>
  </si>
  <si>
    <t>DELTA STATE WASTE MANAGEMENT BOARD</t>
  </si>
  <si>
    <t>DELTA STATE ENVIRONMENTAL PROTECTION AGENCY</t>
  </si>
  <si>
    <t xml:space="preserve">F504010000 </t>
  </si>
  <si>
    <t xml:space="preserve">F504010000  </t>
  </si>
  <si>
    <t>00025020306</t>
  </si>
  <si>
    <t>FUMIGATION, DERATIZATION AND LARVICIDING OF PUBLIC PLACES</t>
  </si>
  <si>
    <t>Construction of internal roads in Eku</t>
  </si>
  <si>
    <t>Rehabilitation/Construction/Maintenance of  Roads</t>
  </si>
  <si>
    <t>0003201202</t>
  </si>
  <si>
    <t>Installation of PAXB</t>
  </si>
  <si>
    <t>F105011000</t>
  </si>
  <si>
    <t>Uniforms/PPE &amp; Safety</t>
  </si>
  <si>
    <t>Construction of Magistrate Courts (Ogbe-Ijoh)</t>
  </si>
  <si>
    <t>Aghalokpe Magistrate Court Okpe</t>
  </si>
  <si>
    <t>Renovation/Fencing/Furnishing of High Courts and Magistrate Courts in Ethiope</t>
  </si>
  <si>
    <t>High Court Complex Warri</t>
  </si>
  <si>
    <t>Landscaping &amp; Interlocking of High Court, Sapele.</t>
  </si>
  <si>
    <t>Construction of High Courts, Ogbe-Ijoh</t>
  </si>
  <si>
    <t>Construction of High Courts, Koko</t>
  </si>
  <si>
    <t>Construction of Magistrate Courts, Emevor.</t>
  </si>
  <si>
    <t>Reconstruction of the Collapsed Uncompleted High Court Complex Asaba.</t>
  </si>
  <si>
    <t>Fencing/Landscapping/Interlocking of High Court, Koko and Warri.</t>
  </si>
  <si>
    <t>High Court, Out-Jeremi</t>
  </si>
  <si>
    <t>Construction of Electoral Tribunal Complex, Asaba</t>
  </si>
  <si>
    <t>Complete Renovation of Judges Quarters, Bomadi</t>
  </si>
  <si>
    <t>Purchase of Office Equipment/Furniture(Including Courts)</t>
  </si>
  <si>
    <t>Furnishing of Judges and Magistrate Quarters/Chamber</t>
  </si>
  <si>
    <t>Furnishing of Library</t>
  </si>
  <si>
    <t>Law Reports/Books</t>
  </si>
  <si>
    <t>Purchase of Uniform and Rain Coats</t>
  </si>
  <si>
    <t>Furnishing of High Courts Administrative Buildings</t>
  </si>
  <si>
    <t>Multi-Door Court-House/Center /Effurun</t>
  </si>
  <si>
    <t>Purchase of Vehicles for High Court Judges and Magistrate</t>
  </si>
  <si>
    <t>Purchase of Vehicles for other Officers</t>
  </si>
  <si>
    <t>Settlement of witnesses, expenses/claims</t>
  </si>
  <si>
    <t>0238200018</t>
  </si>
  <si>
    <t>0238200019</t>
  </si>
  <si>
    <t>NASSCO/SOCU Projects</t>
  </si>
  <si>
    <t>000230501</t>
  </si>
  <si>
    <t>0238212001</t>
  </si>
  <si>
    <t>0238212002</t>
  </si>
  <si>
    <t>0238212003</t>
  </si>
  <si>
    <t>0238212004</t>
  </si>
  <si>
    <t>0238212005</t>
  </si>
  <si>
    <t>0238212006</t>
  </si>
  <si>
    <t>0238212007</t>
  </si>
  <si>
    <t>0238212008</t>
  </si>
  <si>
    <t>0238212009</t>
  </si>
  <si>
    <t>0238212010</t>
  </si>
  <si>
    <t>0238212011</t>
  </si>
  <si>
    <t>0238212012</t>
  </si>
  <si>
    <t>0238212013</t>
  </si>
  <si>
    <t>0238212014</t>
  </si>
  <si>
    <t>0238212015</t>
  </si>
  <si>
    <t>0238212016</t>
  </si>
  <si>
    <t>0238212017</t>
  </si>
  <si>
    <t>0238212018</t>
  </si>
  <si>
    <t>0238212019</t>
  </si>
  <si>
    <t>0238212020</t>
  </si>
  <si>
    <t>0238212021</t>
  </si>
  <si>
    <t>0238212022</t>
  </si>
  <si>
    <t>0238212023</t>
  </si>
  <si>
    <t>0238212024</t>
  </si>
  <si>
    <t>0238212025</t>
  </si>
  <si>
    <t>0238212026</t>
  </si>
  <si>
    <t>COUNTERPART FUND</t>
  </si>
  <si>
    <t>ICT Training Centre</t>
  </si>
  <si>
    <t>Establishment /Equipping  of BiotechLaboratory, Asaba.</t>
  </si>
  <si>
    <t>Pilot Chemical Recycling Plant (Recycling Plastics,mixed waste, etc)</t>
  </si>
  <si>
    <t>Construction of Science  Laboratory Complex</t>
  </si>
  <si>
    <t>Equipping of ICT  Lab in selected Secondary Schools.</t>
  </si>
  <si>
    <t xml:space="preserve">Construction of Delta State solid mineral development centre </t>
  </si>
  <si>
    <t>Equipping of TIC/ITDC Asaba</t>
  </si>
  <si>
    <t>Rehabilitation of ICT Centres</t>
  </si>
  <si>
    <t>Delta State Technology incubation centre (TIC/ITDC) Bomadi town , Delta State</t>
  </si>
  <si>
    <t>Utility  vehicles for supervision of projects (Hilux, Shell spec)</t>
  </si>
  <si>
    <t>Equipping of inovation Hub , Asaba</t>
  </si>
  <si>
    <t>Research and development</t>
  </si>
  <si>
    <t>Construction of an ICT Centre in Uvwie</t>
  </si>
  <si>
    <t>Construction of an ICT Centre in Agbor</t>
  </si>
  <si>
    <t>Construction of an ICT Centre in Ogbeinama</t>
  </si>
  <si>
    <t>Collaboration Portal for All MDA's for e-Governance</t>
  </si>
  <si>
    <t>0228200017</t>
  </si>
  <si>
    <t>0228200018</t>
  </si>
  <si>
    <t>0228200019</t>
  </si>
  <si>
    <t>0228200020</t>
  </si>
  <si>
    <t>0228200021</t>
  </si>
  <si>
    <t>0228200022</t>
  </si>
  <si>
    <t>0228200023</t>
  </si>
  <si>
    <t>0228200024</t>
  </si>
  <si>
    <t>0228200025</t>
  </si>
  <si>
    <t>70443 - Construction</t>
  </si>
  <si>
    <t>320F</t>
  </si>
  <si>
    <t>107M</t>
  </si>
  <si>
    <t>108H</t>
  </si>
  <si>
    <t>103S</t>
  </si>
  <si>
    <t>103A</t>
  </si>
  <si>
    <t>104A</t>
  </si>
  <si>
    <t>321G</t>
  </si>
  <si>
    <t>325A</t>
  </si>
  <si>
    <t>320H</t>
  </si>
  <si>
    <t>213G</t>
  </si>
  <si>
    <t>108M</t>
  </si>
  <si>
    <t>106A</t>
  </si>
  <si>
    <t>323P</t>
  </si>
  <si>
    <t>197G</t>
  </si>
  <si>
    <t>101H</t>
  </si>
  <si>
    <t>105H</t>
  </si>
  <si>
    <t>323F</t>
  </si>
  <si>
    <t>325I</t>
  </si>
  <si>
    <t>213T</t>
  </si>
  <si>
    <t>211Q</t>
  </si>
  <si>
    <t>211B</t>
  </si>
  <si>
    <t>211P</t>
  </si>
  <si>
    <t>319S</t>
  </si>
  <si>
    <t>209H</t>
  </si>
  <si>
    <t>214D</t>
  </si>
  <si>
    <t>211C</t>
  </si>
  <si>
    <t>320L</t>
  </si>
  <si>
    <t>321N</t>
  </si>
  <si>
    <t>107L</t>
  </si>
  <si>
    <t>102M</t>
  </si>
  <si>
    <t>210N</t>
  </si>
  <si>
    <t>214C</t>
  </si>
  <si>
    <t>210C</t>
  </si>
  <si>
    <t>102B</t>
  </si>
  <si>
    <t>318D</t>
  </si>
  <si>
    <t>102N</t>
  </si>
  <si>
    <t>217H</t>
  </si>
  <si>
    <t>103C</t>
  </si>
  <si>
    <t>212N</t>
  </si>
  <si>
    <t>211S</t>
  </si>
  <si>
    <t>107G</t>
  </si>
  <si>
    <t>210E</t>
  </si>
  <si>
    <t>103O</t>
  </si>
  <si>
    <t>Rehabilitation of Federal College of Education Technical and OsaDennis Roads, Asaba in Oshimili South Local Government Road</t>
  </si>
  <si>
    <t>Widening/Reconstruction of Owa-Alero/Owanta-Aliosimi Road in Ika North East LGA</t>
  </si>
  <si>
    <t>Palliative Measures  on Upper Efeizomor Street, in Ika North East LGA</t>
  </si>
  <si>
    <t>Construction of Aliosimi/Abraka Road (Phase II) from Old Abraka Road to the New Abraka Road, in Ika North East LGA</t>
  </si>
  <si>
    <t xml:space="preserve">Construction of Roads in Benikrukru, Warri South West </t>
  </si>
  <si>
    <t>Construction of Roads in Ika South LGA</t>
  </si>
  <si>
    <t>Construction of Chief Debaotubo Ekpela Lane through Tuomo/Ogbobagbene Express Road in Tuomo Town, Burutu LGA</t>
  </si>
  <si>
    <t>Construction of upper Idumu-Iso, Owa-Alero in Ika North Eat LGA</t>
  </si>
  <si>
    <t>Construction of Asaba Industrial Estate Road, Oshimili South LGA</t>
  </si>
  <si>
    <t>Construction of Old Oviore/Ogorivwo/Agbarho/Eku Road</t>
  </si>
  <si>
    <t>Construction of Dein Palace Uromi Road Junction, Ika South LGA</t>
  </si>
  <si>
    <t>Construction of Ochor - Ochor Avenue/Esume Uzoka Edike Street</t>
  </si>
  <si>
    <t>Construction of Oviririe Street, Off Uloho Avenue, Ughelli North LGA</t>
  </si>
  <si>
    <t>Construction of Internal Roads in Owa-Oyibu, Ika North East LGA</t>
  </si>
  <si>
    <t xml:space="preserve">Construction of Dafruit Street, Igbeghabor Community, Otefe Ogharaefe, Ethiope West LGA </t>
  </si>
  <si>
    <t>Construction of a 6.8Km Virgin Road From Oyede to Ozoro</t>
  </si>
  <si>
    <t xml:space="preserve">Osubi Township Roads </t>
  </si>
  <si>
    <t xml:space="preserve">Construction of Ogbeinama Road </t>
  </si>
  <si>
    <t xml:space="preserve">Construction of Ogbogbagena Link Road </t>
  </si>
  <si>
    <t>Chairman's Quarters Road linking  Ughelli Asaba Road by Poly Gate, Ozoro</t>
  </si>
  <si>
    <t xml:space="preserve">Construction of Ukwu-Uzu/Obomkpa Road with spur to Obi Palace Road Ugboba, Aniocha North LGA </t>
  </si>
  <si>
    <t>Access Road to Obi Palace Ubulu-Unor</t>
  </si>
  <si>
    <t>210H</t>
  </si>
  <si>
    <t>Okpanam Bypass linking Okpanam to Benin/Asaba Expressway and ajoining Roads</t>
  </si>
  <si>
    <t xml:space="preserve">Roads in Bomadi LGA </t>
  </si>
  <si>
    <t>Flood Control in Effurun/Warri and Environs</t>
  </si>
  <si>
    <t>Construction of Roads in Esize Quarters, Ughoton, Okpe LGA</t>
  </si>
  <si>
    <t xml:space="preserve">Amai/Arhagba-Orogun Road </t>
  </si>
  <si>
    <t>Council Road Ogwashi-Uku</t>
  </si>
  <si>
    <t>Council Road Obiaruku</t>
  </si>
  <si>
    <t>Construction of Ibusa/Okpanam/Akwukwu-Igbo Road</t>
  </si>
  <si>
    <t>Construction of Atuma Township Roads</t>
  </si>
  <si>
    <t>Construction of Emevor Township Roads</t>
  </si>
  <si>
    <t>Construction of Hon. Prince Michael Diden Ejele Road (Phase II) Ajagbodudu, Warri North LGA</t>
  </si>
  <si>
    <t>Construction of Ufuoma Street off Okwumaghoa, Osubi</t>
  </si>
  <si>
    <t>Construction of concrete pavement at back road from Kpakiama Linking Setraco Yard, Bomadi Overside</t>
  </si>
  <si>
    <t>318E</t>
  </si>
  <si>
    <t>Umu Eze Street Issele-Uku</t>
  </si>
  <si>
    <t>Ophori/Oguname/Ekrerhavwe</t>
  </si>
  <si>
    <t>Ekpan/Oviorie/Okpara/Isiokolo Road</t>
  </si>
  <si>
    <t>Owanta/Aliosimi Road</t>
  </si>
  <si>
    <t>Construction of Uduophori (Bomadi/Ohoro Junction)/Toru-Angiama/Toru-Apelebiri/Patani Road (Phase III) in Patani L.G.A.</t>
  </si>
  <si>
    <t>Access Road to new Tankers Park, Ekpan in Uvwie LGA</t>
  </si>
  <si>
    <t>Continuation of the Construction Of Issele-Uku/Onicha-Uku/Ugbodu/Ukwu-Nzu/Obomkpa/Idumu-Ogo Road: Completion Of Phase I of the Contract (Ukwu-Nzu to Obomkpa in Aniocha North Local Government Area</t>
  </si>
  <si>
    <t>Construction of Osititi Street, Off Osamede and Asuighwuru Street, Phase II Okumagba Layout, Warri</t>
  </si>
  <si>
    <t>Reconstruction of Old Ekwuoma/Umunede Road in Ika North East LGA (additional drains)</t>
  </si>
  <si>
    <t xml:space="preserve">Continuation of the construction of Ibusa/Achalla/Asaba Road (Phase II) </t>
  </si>
  <si>
    <t xml:space="preserve">Continuation of Agbarho/Orherhe/Otokutu Road, Section II </t>
  </si>
  <si>
    <t>Continuation of Asaba Stormwater Routing Project</t>
  </si>
  <si>
    <t>Construction of Red Berret Road, Jeddo</t>
  </si>
  <si>
    <t>Construction of  Kwale Market</t>
  </si>
  <si>
    <t>Purchase of Office Furniture for Hqtr</t>
  </si>
  <si>
    <t>Office Equipment for  for Hqtr</t>
  </si>
  <si>
    <t>Enterprenuership Development Programme (EDP)/Capacity</t>
  </si>
  <si>
    <t>Ourchase of Computers and Computerization</t>
  </si>
  <si>
    <t>500,000,</t>
  </si>
  <si>
    <t>Completion and construction of 200 Nos. three (3) and four (4) Bedroom Bungalow at Okerenkoko New Town Dev. Project in Warri-South West LGA (Make provision )</t>
  </si>
  <si>
    <t>Fees Claim by Consultant on the construction of 200 Nos, 3&amp;4 bedroom Bungalows at Okerenkoko Town</t>
  </si>
  <si>
    <t>Construction of Office building for State Independent Electoral Commission (DSIEC) Asaba.</t>
  </si>
  <si>
    <t>Renovation of the Office of Public Procurement Commission, Construction of Concrete Ramp and Reconstruction of Fallen Blockwall Fence within the Premises</t>
  </si>
  <si>
    <t>Construction of Copers' Lodge at Otolokpo Mixed Secondary School, Otolokpo, Delta State</t>
  </si>
  <si>
    <t>Ancillary works at the Event Centre</t>
  </si>
  <si>
    <t>Construction of Isoko Development Union Shopping Mall ( Make provision)</t>
  </si>
  <si>
    <t>Construction of Ecumenical Centre, Asaba (Make provision)</t>
  </si>
  <si>
    <t>Proposed Construction of cafeteria in the New Office Complex, Office of the Head of Service, Asaba</t>
  </si>
  <si>
    <t>Construction of 3 Nos Story building (4 units Bedroom of 1 bedroom flats per building at the Mobile police Barrack Oghara</t>
  </si>
  <si>
    <t>Renovation of flat 1 at the Permanent Secretaries Quarters</t>
  </si>
  <si>
    <t>Repair of leaking Roofs in the Commissioners' Quarters</t>
  </si>
  <si>
    <t>Demolition &amp; Reconstruction of Collapsed Soakway Pit by the Gate House, Ministry of housing, Asaba</t>
  </si>
  <si>
    <t>Construction of Head of Service Office Complex, Asaba</t>
  </si>
  <si>
    <t>Reconsruction of collapsed section of Fence at the old Secretariat Complex, Asaba</t>
  </si>
  <si>
    <t>Construction of 1 (One) Reingforced Concrete Septic Tank at Flat B20, MiddleMgt, Staff Qtrs. Asaba</t>
  </si>
  <si>
    <t>Construction of Office Block/Building at the Old Government House, Asaba</t>
  </si>
  <si>
    <t>Furnishing of VIP Guest House</t>
  </si>
  <si>
    <t>Construction of 32 Units of 2 Bedroom Bungaiows at Ozoro, Isoko North LGA</t>
  </si>
  <si>
    <t>Sights and Services- Low &amp; Medium Housing Estate 150No.Ibusa Road, Asaba</t>
  </si>
  <si>
    <t>Construction of SSG/Chief of Staff Offices/ Residential Apartments (make provision0</t>
  </si>
  <si>
    <t>Construction of 50 Units of 1 Bedroom Apartment/ Bungaiows under the Low and Medium Cost Housing Scheme, Asaba</t>
  </si>
  <si>
    <t>F119009999</t>
  </si>
  <si>
    <t>00032010600</t>
  </si>
  <si>
    <t>Youth Mentoring and Monitoring</t>
  </si>
  <si>
    <t>011132001</t>
  </si>
  <si>
    <t>PURCHASE OF OFFICE FUNITURES (DESTMA)</t>
  </si>
  <si>
    <t>DESTMA</t>
  </si>
  <si>
    <t>Public Procurement Commission</t>
  </si>
  <si>
    <t>Construction of Ovirie Street, Off Uloho Avenue, Ughelli North LGA</t>
  </si>
  <si>
    <t xml:space="preserve">Construction of Ogbogbagbena Link Road </t>
  </si>
  <si>
    <t>Renovation of New schools across the stat</t>
  </si>
  <si>
    <t>Construction of New school Buildings across the state</t>
  </si>
  <si>
    <t>Estab of New Institutions</t>
  </si>
  <si>
    <t>Higher education</t>
  </si>
  <si>
    <t>CONSTRUCTION OF NEW GOVERNMENT HOUSE, ASABA/INCLUDING FURNISHING</t>
  </si>
  <si>
    <t>ECUMENICAL CENTRE</t>
  </si>
  <si>
    <t>MIN OF HEALTH</t>
  </si>
  <si>
    <t>ISOKO DEVELOPMENT UNION MALL</t>
  </si>
  <si>
    <t>RESIDENCE FOR SSG &amp; COS</t>
  </si>
  <si>
    <t>SSG</t>
  </si>
  <si>
    <t>ASSISTANCE FOR FEDERAL AGENCY</t>
  </si>
  <si>
    <t>Maternaland child care</t>
  </si>
  <si>
    <t>Diagnosis Centre</t>
  </si>
  <si>
    <t>Renovation expansion of hospitals</t>
  </si>
  <si>
    <t>URBAN RENEWAL</t>
  </si>
  <si>
    <t>HMB</t>
  </si>
  <si>
    <t>Upgrading of hosp</t>
  </si>
  <si>
    <t>Construction of Storm Water Discharge Channels and Erosion Control Measures for Warri and Uvwie</t>
  </si>
  <si>
    <t>0517022033</t>
  </si>
  <si>
    <t>Establishment of New Institutions</t>
  </si>
  <si>
    <t>Development of New Central Secretariat Complex, and Furnishing.</t>
  </si>
  <si>
    <t xml:space="preserve">Construction of Isoko Development Union Shopping Mall </t>
  </si>
  <si>
    <t>Construction of Ecumenical Centre, Asaba</t>
  </si>
  <si>
    <t>Construction of SSG/Chief of Staff Offices/ Residential Apartments</t>
  </si>
  <si>
    <t>Interventionist Measures in Urban Cities</t>
  </si>
  <si>
    <t>Agricultural Enhancement Programme</t>
  </si>
  <si>
    <t>Mindset Programme &amp; Evaluation Programme</t>
  </si>
  <si>
    <t>Rural Youth Skill Acquisition Programme</t>
  </si>
  <si>
    <t>Construction of 150 Units of 1 Bedroom, 2 Bedroom and 3 Bedroom  Apartment/ Bungaiows under the Low and Medium Cost Housing Scheme, Asaba</t>
  </si>
  <si>
    <t>Women Empowerment Programme</t>
  </si>
  <si>
    <t xml:space="preserve">Girl Child Enterpreneurship Programme </t>
  </si>
  <si>
    <t>Ministry of Technical Education</t>
  </si>
  <si>
    <t>Technical &amp; Vocational Education Board</t>
  </si>
  <si>
    <t>Film Village creative center Asaba</t>
  </si>
  <si>
    <t>Construction of Olero Water Supply Scheme</t>
  </si>
  <si>
    <t>Constuction of Mosque Road and tomatoe Road, Old UCC Road, Warri</t>
  </si>
  <si>
    <t>Construction of Roads in Delta North Senatorial District</t>
  </si>
  <si>
    <t>Construction of Roads in Delta South Senatorial District</t>
  </si>
  <si>
    <t>Construction of Roads in Delta Central Senatorial District</t>
  </si>
  <si>
    <t xml:space="preserve">Construction of 4Km Riverine Road Concrete Roads </t>
  </si>
  <si>
    <t>DHIS 2</t>
  </si>
  <si>
    <t>Development of PHC Centres (Renovation and completion of Primary Health Care Centres and equipping)</t>
  </si>
  <si>
    <t>TB control</t>
  </si>
  <si>
    <t>Basic Health Provision Funds</t>
  </si>
  <si>
    <t>Malaria Control</t>
  </si>
  <si>
    <t xml:space="preserve"> Development and maintenance of cold chain facilities</t>
  </si>
  <si>
    <t>Development of School of Health Technology, Ufuoma, Ughelli ( additional classrooms)</t>
  </si>
  <si>
    <t>Asaba specialist Hospital/ sickle cell centre</t>
  </si>
  <si>
    <t>Supply of  Hospital fuiture to Health Facilities across the state.</t>
  </si>
  <si>
    <t>Maternal and Childcare Centre &amp; Ekpan</t>
  </si>
  <si>
    <t>Control of Drug Abuse/Task Force</t>
  </si>
  <si>
    <t>Rehabilitation Centre (Drugs etc)</t>
  </si>
  <si>
    <t>Construction of Mother and Child Care Centre, Owa-Alero</t>
  </si>
  <si>
    <t>Construction of Diagnostic Centre, Owa-Alero</t>
  </si>
  <si>
    <t>Emergency  Ambulance service (including  procurement of Boat Ambulances).</t>
  </si>
  <si>
    <t>0521200053</t>
  </si>
  <si>
    <t>0521200054</t>
  </si>
  <si>
    <t>0521020001</t>
  </si>
  <si>
    <t>Rehabilitation/Repairs of Roads in Warri/Uwie and environs, including removal of illegally erected structures</t>
  </si>
  <si>
    <t>Desilting of major drains in Warri/Uvwie and environs</t>
  </si>
  <si>
    <t>Procurement of official/operational vehicles</t>
  </si>
  <si>
    <t>Street trading Control Management and Stoppage in Warri/Uvwie and environs</t>
  </si>
  <si>
    <t>Purchase of furniture and fittings</t>
  </si>
  <si>
    <t>00150000010105</t>
  </si>
  <si>
    <t>Installation of Solar Street Lights at Ekelie Street off DLA Road, Asaba</t>
  </si>
  <si>
    <t>Extension of electricity power supply to the expanse of land around the Governor's Lodge and the Office of Her Excellency, Wife of the Governor</t>
  </si>
  <si>
    <t xml:space="preserve">Rehabilitation and Reinforcement of Electricity Power Supply at Ute Erumu &amp; Owa Alidinma (Ika North East), Ekuku-Agbor, Obi-Iduhor, Agbor-Alidinma &amp; Obi-Agbor (Ika South LGA) and Egbudu-Akah (Aniocha South LGA) respectively </t>
  </si>
  <si>
    <t>Rehabilitation of Solar street lights at Umunede</t>
  </si>
  <si>
    <t>Rehabilitation of solar street light at Ozanogogo</t>
  </si>
  <si>
    <t>Rehabilitation of solar street light at Idumuesa</t>
  </si>
  <si>
    <t>Rehabilitation of Solar street light at Patani</t>
  </si>
  <si>
    <t>Rehabilitation of solar street light at Ozoro</t>
  </si>
  <si>
    <t>Installation of 4No.300KVA, 11KVA Transformer at Okuemeva street off Ibori road and Environs in Oghara, Ethiope East LGA</t>
  </si>
  <si>
    <t>Extension of streetlights along Chief James Ibori road to cover up to Oghareki Model Grammer School and Central Hospital road</t>
  </si>
  <si>
    <t>Rehabilitation of solar street light at Ovie Palace road/GRA</t>
  </si>
  <si>
    <t>Rehabilitation of Solar Street lights at Mbiri</t>
  </si>
  <si>
    <t>Electrification of Oporoza and Okerenkoko in Warri South West LGA</t>
  </si>
  <si>
    <t>Rehabilitation/Reactivation of electricity power supply from Okwagbe through Otutuama, Ophorigbala towns in Ughelli South LGA and Gbekebor to Obotebe towns in Burutu LGA</t>
  </si>
  <si>
    <t>Installation of Solar Street lights/Invater at Ayakoromo town in Burutu LGA</t>
  </si>
  <si>
    <t>70435 - Electricity</t>
  </si>
  <si>
    <t xml:space="preserve">Construction of Six (6) Classroom Block with stores and Toilet facilities each  at Etti-tti Amaka Primary School, Ubulu-Unor and Nsukwa Grammar School, Nsukwa. Construction of Three (3) classroom block with offices and toilets at Nwaeze Primary School, Ogwashi-Uku and supply of 40 Students’ and 10 Teachers’ Furniture </t>
  </si>
  <si>
    <t>Construction of 1No. Six (6) Classroom Block with stores and Toilets at  Owholeme Primary School, Olomoro, Isoko South LGA
Construction of 1No. Six (6) Classroom Block with stores and Toilets at  Eru Primary School, Igbide,
Provision of 510 Students’ and 105 Teachers’ Furniture to Selected Schools in Isoko South</t>
  </si>
  <si>
    <t>Proposed construction of a prototype three (3) classroom block with offices and toilets (upland communities) and Erection of School Sign Post with New Delta State Govt. Logo at Eweri Primary School, Emede.
Proposed construction of a prototype Six (6) classroom block with offices and toilets (upland communities) and Erection of School Sign Post with New Delta State Govt. Logo at College of Education Agbor, Irri Study Centre.
Renovation of 4 classroom Block without offices and Erection of School Sign Post with New Delta State Govt. Logo at Uzi Primary School, Oleh.
Supply of 481 Students’ and 60 teachers’ Furniture to Selected schools in Isoko South LGA</t>
  </si>
  <si>
    <t xml:space="preserve">1. Renovation of 1No. three Classroom Block with offices and 1No. 6 Classroom Block without offices at Ibabu Primary School, Ibabu, Onicha Ukwuani, 
2. Renovation of 1No. Six classroom block with stores, 1No. three Classroom Block with two offices and an Administrative Block at Iyashili Primary School, Umusan, Kwale,
3. Renovation of 2No. three classroom blocks without offices (Blocks A &amp; B), Renovation of Perimeter wall fence at Ulogwe Primary School, Ulogwe-Isumpe 
4. Renovation of Eight Classroom Block with stores at Adege Primary School, Ndemili </t>
  </si>
  <si>
    <t xml:space="preserve">Construction of Science Laboratory and Examination Hall at Osubi Secondary School, Construction of 1No. Prototype Six Classroom Block with stores and toilet facilities each at Evwereke Primary School, Osubi, Okirikperhe Primary School, Okirikperhe and Oviri-Okpe Secondary School, Oviri-Okpe respectively and supply of furniture </t>
  </si>
  <si>
    <t xml:space="preserve">Renovation of 1No. Six (6) Classroom Block, 1No. Three (3) Classroom Block, Construction of Gate House at Odorubu Primary School, Uduovie.
Renovation of 1No. Four (4) Classroom Block at Aven Primary School, Aven
Renovation of 1No. Four (4) Classroom Block at Ayinma Primary School, Abari
Supply of 1027 Students’ and 350 Teachers’ Furniture tp Selected schools in Patani LGA
</t>
  </si>
  <si>
    <t>Renovation of 1No.5 classroom block, supply of 110 students’ and 15 teachers’ furniture and erection of standard school signpost at Enuofu Primary School, Issele-Mkpitime and supply of 100 teachers’ and 540 students’ furniture to Public Schools in Aniocha North LGA.</t>
  </si>
  <si>
    <t>Construction of a Prototype 1No. Six (6) Classroom Block with Stores and Toilet facilities. Construction of Toilet Block with Borehole and Water Reticulation and Erection of School Sign post with new Delta State Government logo.Olloh Mixed Secondary School, Aniocha 
South LGA</t>
  </si>
  <si>
    <t>i. Demolition and Reconstruction of 1No. 3 Classroom block and Construction of 1No. Prototype Students Toilets with water stanchion and borehole at Okpu-Elechele Primary School and 
ii. Construction of 1No. Prototype Students toilet with water stanchion and borehole at Oko Mixed Secondary School, Oko and Supply of 50 Students and 5 Teachers Furniture to Okpu-Elechele and Oko Mixed Secondary School, Oshimili South LGA</t>
  </si>
  <si>
    <t>Renovation/rehabilitation of 2Nos.4 classroom block with offices, 1No.ICT block/examination hall, construction of fence and gate house and erection of standard school signpost (with the name of the school and the State logo) at Ogbe-Ijoh Grammar School, Ogbe-Ijoh, Warri South West</t>
  </si>
  <si>
    <t>Construction of prototype laboratory block with stores, offices and toilets, 1No.6 classroom block with offices, supply of 70 students’ double seater furniture and erection of standard school sign post with the name of the school and the new State logo at Agogboro Grammar School, Agogboro, Warri South West Constituency.</t>
  </si>
  <si>
    <t xml:space="preserve">Supply of 2335 pupils’/students’ double desks and 300 teachers’ furniture to Public Primary and Secondary Schools in the State, Statewide.                                                                                                                                                                                                                                                                                                                                                                                                                                                                                                                                                                                                                                                                                                                                                                                                                                                                                                                                                                                                                 </t>
  </si>
  <si>
    <t xml:space="preserve">Construction of students toilets with water stanchion and borehole at Morka Primary School, Obiaruku, Ukwuani LGA.
Renovation/Rehabilitation of Corpers lodge and Construction of 0.5km 50mm DIA UPVC pipeline extension at Model Secondary School, Onicha Olona, Aniocha North LGA
</t>
  </si>
  <si>
    <t>Supply of Furniture to Public Primary and Secondary Schools Across the State</t>
  </si>
  <si>
    <t>i. Renovation/rehabilitation of 1No.3 classroom block with offices, reconstruction of 1No.3 classroom block, erection of school signboard with new State Government logo  
ii. Renovation/rehabilitation of 1No.3 classroom block, construction of 2Nos.3 classroom block with stores and toilet, erection of school signboard with new State Government logo 
iii. Supply of 245 students’/pupils’ and 45 teachers’ furniture in i. Obi Nzekwue Primary School, Ogwashi-Uku
ii. Nwaeze Primary School, Ogwashi-Uku
iii. Selected Schools, Aniocha South Constituency</t>
  </si>
  <si>
    <t>Roads in Isoko</t>
  </si>
  <si>
    <t>Iwride-Iyede Road</t>
  </si>
  <si>
    <t>Isiaih Road, Ubeji</t>
  </si>
  <si>
    <t>Utagba-Ogbe (Eke Road)</t>
  </si>
  <si>
    <t>Alika Ubiazoko Roads</t>
  </si>
  <si>
    <t>Tete Street, Boji-Boji, Agbor</t>
  </si>
  <si>
    <t>Idumu-Izomo Road, Owa-Oyibu</t>
  </si>
  <si>
    <t>Internal Roads Ogwashi-Uku Polytechnic</t>
  </si>
  <si>
    <t>Ute-Okpu Roads</t>
  </si>
  <si>
    <t>Roads in Patani</t>
  </si>
  <si>
    <t>Agro - Industrial Park</t>
  </si>
  <si>
    <t>Bridge Across Ewu River</t>
  </si>
  <si>
    <t>DTHA Constituency Project</t>
  </si>
  <si>
    <t>023102001</t>
  </si>
  <si>
    <t>023102002</t>
  </si>
  <si>
    <t>023102003</t>
  </si>
  <si>
    <t>023102004</t>
  </si>
  <si>
    <t>023102005</t>
  </si>
  <si>
    <t>023102006</t>
  </si>
  <si>
    <t>023102007</t>
  </si>
  <si>
    <t>023102008</t>
  </si>
  <si>
    <t>023102009</t>
  </si>
  <si>
    <t>023102010</t>
  </si>
  <si>
    <t>023102011</t>
  </si>
  <si>
    <t>023102012</t>
  </si>
  <si>
    <t>023102013</t>
  </si>
  <si>
    <t>023102014</t>
  </si>
  <si>
    <t>023102015</t>
  </si>
  <si>
    <t>023102016</t>
  </si>
  <si>
    <t>023102017</t>
  </si>
  <si>
    <t>023102018</t>
  </si>
  <si>
    <t>023102019</t>
  </si>
  <si>
    <t>023102020</t>
  </si>
  <si>
    <t>023102021</t>
  </si>
  <si>
    <t>023102022</t>
  </si>
  <si>
    <t>023102023</t>
  </si>
  <si>
    <t>023102024</t>
  </si>
  <si>
    <t>023102025</t>
  </si>
  <si>
    <t>023102026</t>
  </si>
  <si>
    <t>023102027</t>
  </si>
  <si>
    <t>023102028</t>
  </si>
  <si>
    <t>023102029</t>
  </si>
  <si>
    <t>023102030</t>
  </si>
  <si>
    <t>023102031</t>
  </si>
  <si>
    <t>023102032</t>
  </si>
  <si>
    <t>023102033</t>
  </si>
  <si>
    <t>023102034</t>
  </si>
  <si>
    <t>023102035</t>
  </si>
  <si>
    <t>023102036</t>
  </si>
  <si>
    <t>023102037</t>
  </si>
  <si>
    <t>023102038</t>
  </si>
  <si>
    <t>023102039</t>
  </si>
  <si>
    <t>023102040</t>
  </si>
  <si>
    <t>023102041</t>
  </si>
  <si>
    <t>023102042</t>
  </si>
  <si>
    <t>023102043</t>
  </si>
  <si>
    <t>023102044</t>
  </si>
  <si>
    <t>023102045</t>
  </si>
  <si>
    <t>023102046</t>
  </si>
  <si>
    <t>023102047</t>
  </si>
  <si>
    <t>023102048</t>
  </si>
  <si>
    <t>023102049</t>
  </si>
  <si>
    <t>023102050</t>
  </si>
  <si>
    <t>023102051</t>
  </si>
  <si>
    <t>023102052</t>
  </si>
  <si>
    <t>023102053</t>
  </si>
  <si>
    <t>023102054</t>
  </si>
  <si>
    <t>023102055</t>
  </si>
  <si>
    <t>023102056</t>
  </si>
  <si>
    <t>023102057</t>
  </si>
  <si>
    <t>023102058</t>
  </si>
  <si>
    <t>023102059</t>
  </si>
  <si>
    <t>023102060</t>
  </si>
  <si>
    <t>023102061</t>
  </si>
  <si>
    <t>023102062</t>
  </si>
  <si>
    <t>023102063</t>
  </si>
  <si>
    <t>023102064</t>
  </si>
  <si>
    <t>023102065</t>
  </si>
  <si>
    <t>023102066</t>
  </si>
  <si>
    <t>023102067</t>
  </si>
  <si>
    <t>023102068</t>
  </si>
  <si>
    <t>023102069</t>
  </si>
  <si>
    <t>023102070</t>
  </si>
  <si>
    <t>023102071</t>
  </si>
  <si>
    <t>Installation of 2nd 2.5MVA, 33/11KV injection transformer at Agbarha-Otor Town in Ughelli North LGA</t>
  </si>
  <si>
    <t>023102072</t>
  </si>
  <si>
    <t>Conversion of existing 11KV Network to 33KV Network at Kiagbodo town in Burutu LGA</t>
  </si>
  <si>
    <t>023102073</t>
  </si>
  <si>
    <t>023102074</t>
  </si>
  <si>
    <t>023102075</t>
  </si>
  <si>
    <t>023102076</t>
  </si>
  <si>
    <t>023102077</t>
  </si>
  <si>
    <t>023102078</t>
  </si>
  <si>
    <t>023102079</t>
  </si>
  <si>
    <t>023102080</t>
  </si>
  <si>
    <t>023102081</t>
  </si>
  <si>
    <t>023102082</t>
  </si>
  <si>
    <t>023102083</t>
  </si>
  <si>
    <t>023102084</t>
  </si>
  <si>
    <t>023102085</t>
  </si>
  <si>
    <t>023102086</t>
  </si>
  <si>
    <t>023102087</t>
  </si>
  <si>
    <t>023102088</t>
  </si>
  <si>
    <t>023102089</t>
  </si>
  <si>
    <t>023102090</t>
  </si>
  <si>
    <t>023102091</t>
  </si>
  <si>
    <t>023102092</t>
  </si>
  <si>
    <t>023102093</t>
  </si>
  <si>
    <t>023102094</t>
  </si>
  <si>
    <t>023102095</t>
  </si>
  <si>
    <t>023102096</t>
  </si>
  <si>
    <t>023102097</t>
  </si>
  <si>
    <t>023102098</t>
  </si>
  <si>
    <t>023102099</t>
  </si>
  <si>
    <t>023102100</t>
  </si>
  <si>
    <t>023102101</t>
  </si>
  <si>
    <t>023102102</t>
  </si>
  <si>
    <t>023102103</t>
  </si>
  <si>
    <t>023102104</t>
  </si>
  <si>
    <t>023102105</t>
  </si>
  <si>
    <t>023102106</t>
  </si>
  <si>
    <t>023102107</t>
  </si>
  <si>
    <t>023102108</t>
  </si>
  <si>
    <t>023102109</t>
  </si>
  <si>
    <t>023102110</t>
  </si>
  <si>
    <t>023102111</t>
  </si>
  <si>
    <t>023102112</t>
  </si>
  <si>
    <t>023102113</t>
  </si>
  <si>
    <t>023102114</t>
  </si>
  <si>
    <t>023102115</t>
  </si>
  <si>
    <t>023102116</t>
  </si>
  <si>
    <t>023102117</t>
  </si>
  <si>
    <t>023102118</t>
  </si>
  <si>
    <t>023102119</t>
  </si>
  <si>
    <t>023102120</t>
  </si>
  <si>
    <t>023102121</t>
  </si>
  <si>
    <t>023102122</t>
  </si>
  <si>
    <t>023102123</t>
  </si>
  <si>
    <t>023102124</t>
  </si>
  <si>
    <t>023102125</t>
  </si>
  <si>
    <t>Social Benefits / CRF</t>
  </si>
  <si>
    <t xml:space="preserve">Purchase of Office Furniture </t>
  </si>
  <si>
    <t>0229120003</t>
  </si>
  <si>
    <t>0229120004</t>
  </si>
  <si>
    <t>1.2km Wooded Walkway in Idebagben Fishing Community, Egbema</t>
  </si>
  <si>
    <t>Purchase of 2 Units of Yahama 350Hp Outboard Engine with Accessories</t>
  </si>
  <si>
    <t>023102126</t>
  </si>
  <si>
    <t>Public Adress Systeem</t>
  </si>
  <si>
    <t>Provision for Intercom</t>
  </si>
  <si>
    <t>Digitilization/Networking</t>
  </si>
  <si>
    <t>0147200008</t>
  </si>
  <si>
    <t>0147200009</t>
  </si>
  <si>
    <t>0147200010</t>
  </si>
  <si>
    <t>0147200011</t>
  </si>
  <si>
    <t>Delta State Leisure Park/Gardens, Asaba</t>
  </si>
  <si>
    <t>0236200023</t>
  </si>
  <si>
    <t>0215020033</t>
  </si>
  <si>
    <t>0222200005</t>
  </si>
  <si>
    <t>0222200012</t>
  </si>
  <si>
    <t>0222200013</t>
  </si>
  <si>
    <t>0222200015</t>
  </si>
  <si>
    <t>0222200016</t>
  </si>
  <si>
    <t>0222200017</t>
  </si>
  <si>
    <t>0222200020</t>
  </si>
  <si>
    <t>0222200022</t>
  </si>
  <si>
    <t>0252200019</t>
  </si>
  <si>
    <t>0252200020</t>
  </si>
  <si>
    <t>0228200026</t>
  </si>
  <si>
    <t>ICT Activities &amp; Programmes</t>
  </si>
  <si>
    <t>0220120001</t>
  </si>
  <si>
    <t>0220120002</t>
  </si>
  <si>
    <t>0220120003</t>
  </si>
  <si>
    <t>0220120004</t>
  </si>
  <si>
    <t>0220120005</t>
  </si>
  <si>
    <t>0220120006</t>
  </si>
  <si>
    <t>0220120007</t>
  </si>
  <si>
    <t>0220120008</t>
  </si>
  <si>
    <t>0220120009</t>
  </si>
  <si>
    <t>0220120010</t>
  </si>
  <si>
    <t>0220120011</t>
  </si>
  <si>
    <t>0220120012</t>
  </si>
  <si>
    <t>0220120013</t>
  </si>
  <si>
    <t>0234200011</t>
  </si>
  <si>
    <t>0234200012</t>
  </si>
  <si>
    <t>0234200013</t>
  </si>
  <si>
    <t>0234200014</t>
  </si>
  <si>
    <t>0234200015</t>
  </si>
  <si>
    <t>0234200016</t>
  </si>
  <si>
    <t>0234200017</t>
  </si>
  <si>
    <t>0234200018</t>
  </si>
  <si>
    <t>0234200019</t>
  </si>
  <si>
    <t>0234200020</t>
  </si>
  <si>
    <t>0234200021</t>
  </si>
  <si>
    <t>0234200022</t>
  </si>
  <si>
    <t>0234200023</t>
  </si>
  <si>
    <t>0234200024</t>
  </si>
  <si>
    <t>0234200025</t>
  </si>
  <si>
    <t>0234200026</t>
  </si>
  <si>
    <t>0234200027</t>
  </si>
  <si>
    <t>0234200028</t>
  </si>
  <si>
    <t>0234200029</t>
  </si>
  <si>
    <t>0234200030</t>
  </si>
  <si>
    <t>0234200031</t>
  </si>
  <si>
    <t>0234200032</t>
  </si>
  <si>
    <t>0234200033</t>
  </si>
  <si>
    <t>0234200034</t>
  </si>
  <si>
    <t>0234200035</t>
  </si>
  <si>
    <t>0234200036</t>
  </si>
  <si>
    <t>0234200037</t>
  </si>
  <si>
    <t>0234200038</t>
  </si>
  <si>
    <t>0234200039</t>
  </si>
  <si>
    <t>0234200040</t>
  </si>
  <si>
    <t>0234200041</t>
  </si>
  <si>
    <t>0234200042</t>
  </si>
  <si>
    <t>0234200043</t>
  </si>
  <si>
    <t>0234200044</t>
  </si>
  <si>
    <t>0234200045</t>
  </si>
  <si>
    <t>0234200046</t>
  </si>
  <si>
    <t>0234200047</t>
  </si>
  <si>
    <t>0234200048</t>
  </si>
  <si>
    <t>0234200049</t>
  </si>
  <si>
    <t>0234200050</t>
  </si>
  <si>
    <t>0234200051</t>
  </si>
  <si>
    <t>0234200052</t>
  </si>
  <si>
    <t>0234200053</t>
  </si>
  <si>
    <t>0234200054</t>
  </si>
  <si>
    <t>0234200055</t>
  </si>
  <si>
    <t>0234200056</t>
  </si>
  <si>
    <t>0234200057</t>
  </si>
  <si>
    <t>0234200058</t>
  </si>
  <si>
    <t>0234200059</t>
  </si>
  <si>
    <t>0234200060</t>
  </si>
  <si>
    <t>0234200061</t>
  </si>
  <si>
    <t>0234200062</t>
  </si>
  <si>
    <t>0234200063</t>
  </si>
  <si>
    <t>0234200064</t>
  </si>
  <si>
    <t>0234200065</t>
  </si>
  <si>
    <t>0234200066</t>
  </si>
  <si>
    <t>0234200067</t>
  </si>
  <si>
    <t>0234200068</t>
  </si>
  <si>
    <t>0234200069</t>
  </si>
  <si>
    <t>0234200070</t>
  </si>
  <si>
    <t>0234200071</t>
  </si>
  <si>
    <t>0234200072</t>
  </si>
  <si>
    <t>0234200073</t>
  </si>
  <si>
    <t>0234200074</t>
  </si>
  <si>
    <t>0234200075</t>
  </si>
  <si>
    <t>0234200076</t>
  </si>
  <si>
    <t>0234200077</t>
  </si>
  <si>
    <t>0234200078</t>
  </si>
  <si>
    <t>0234200079</t>
  </si>
  <si>
    <t>0234200080</t>
  </si>
  <si>
    <t>0234200081</t>
  </si>
  <si>
    <t>0234200082</t>
  </si>
  <si>
    <t>0234200083</t>
  </si>
  <si>
    <t>0234200084</t>
  </si>
  <si>
    <t>0234200085</t>
  </si>
  <si>
    <t>0234200086</t>
  </si>
  <si>
    <t>0234200087</t>
  </si>
  <si>
    <t>0234200088</t>
  </si>
  <si>
    <t>0234200089</t>
  </si>
  <si>
    <t>0234200090</t>
  </si>
  <si>
    <t>0234200091</t>
  </si>
  <si>
    <t>0234200092</t>
  </si>
  <si>
    <t>0234200093</t>
  </si>
  <si>
    <t>0234200094</t>
  </si>
  <si>
    <t>0234200095</t>
  </si>
  <si>
    <t>0234200096</t>
  </si>
  <si>
    <t>0234200097</t>
  </si>
  <si>
    <t>0234200098</t>
  </si>
  <si>
    <t>0234200099</t>
  </si>
  <si>
    <t>0234200100</t>
  </si>
  <si>
    <t>0234200101</t>
  </si>
  <si>
    <t>0234200102</t>
  </si>
  <si>
    <t>0234200103</t>
  </si>
  <si>
    <t>0234200104</t>
  </si>
  <si>
    <t>0234200105</t>
  </si>
  <si>
    <t>0234200106</t>
  </si>
  <si>
    <t>0234200107</t>
  </si>
  <si>
    <t>0234200108</t>
  </si>
  <si>
    <t>0234200109</t>
  </si>
  <si>
    <t>0234200110</t>
  </si>
  <si>
    <t>0234200111</t>
  </si>
  <si>
    <t>0234200112</t>
  </si>
  <si>
    <t>0234200113</t>
  </si>
  <si>
    <t>0234200114</t>
  </si>
  <si>
    <t>0234200115</t>
  </si>
  <si>
    <t>0234200116</t>
  </si>
  <si>
    <t>0234200117</t>
  </si>
  <si>
    <t>0234200118</t>
  </si>
  <si>
    <t>0234200119</t>
  </si>
  <si>
    <t>0234200120</t>
  </si>
  <si>
    <t>0234200121</t>
  </si>
  <si>
    <t>0234200122</t>
  </si>
  <si>
    <t>0234200123</t>
  </si>
  <si>
    <t>0234200124</t>
  </si>
  <si>
    <t>0234200125</t>
  </si>
  <si>
    <t>0234200126</t>
  </si>
  <si>
    <t>0234200127</t>
  </si>
  <si>
    <t>0234200128</t>
  </si>
  <si>
    <t>0234200129</t>
  </si>
  <si>
    <t>0234200130</t>
  </si>
  <si>
    <t>0234200131</t>
  </si>
  <si>
    <t>0234200132</t>
  </si>
  <si>
    <t>0234200133</t>
  </si>
  <si>
    <t>0234200134</t>
  </si>
  <si>
    <t>0234200135</t>
  </si>
  <si>
    <t>0234200136</t>
  </si>
  <si>
    <t>0234200137</t>
  </si>
  <si>
    <t>0234200138</t>
  </si>
  <si>
    <t>0234200139</t>
  </si>
  <si>
    <t>0234200140</t>
  </si>
  <si>
    <t>0234200141</t>
  </si>
  <si>
    <t>0234200142</t>
  </si>
  <si>
    <t>0234200143</t>
  </si>
  <si>
    <t>0234200144</t>
  </si>
  <si>
    <t>0234200145</t>
  </si>
  <si>
    <t>0234200146</t>
  </si>
  <si>
    <t>0234200147</t>
  </si>
  <si>
    <t>0234200148</t>
  </si>
  <si>
    <t>0234200149</t>
  </si>
  <si>
    <t>0234200150</t>
  </si>
  <si>
    <t>0234200151</t>
  </si>
  <si>
    <t>0234200152</t>
  </si>
  <si>
    <t>0234200153</t>
  </si>
  <si>
    <t>0234200154</t>
  </si>
  <si>
    <t>0234200155</t>
  </si>
  <si>
    <t>0234200156</t>
  </si>
  <si>
    <t>0234200157</t>
  </si>
  <si>
    <t>0234200158</t>
  </si>
  <si>
    <t>0234200159</t>
  </si>
  <si>
    <t>0234200160</t>
  </si>
  <si>
    <t>0234200161</t>
  </si>
  <si>
    <t>0234200162</t>
  </si>
  <si>
    <t>0234200163</t>
  </si>
  <si>
    <t>0234200164</t>
  </si>
  <si>
    <t>0234200165</t>
  </si>
  <si>
    <t>0234200166</t>
  </si>
  <si>
    <t>0234200167</t>
  </si>
  <si>
    <t>0234200168</t>
  </si>
  <si>
    <t>0234200169</t>
  </si>
  <si>
    <t>0234200170</t>
  </si>
  <si>
    <t>0234200171</t>
  </si>
  <si>
    <t>0234200172</t>
  </si>
  <si>
    <t>0234200173</t>
  </si>
  <si>
    <t>0234200174</t>
  </si>
  <si>
    <t>0234200175</t>
  </si>
  <si>
    <t>0234200176</t>
  </si>
  <si>
    <t>0234200177</t>
  </si>
  <si>
    <t>0234200178</t>
  </si>
  <si>
    <t>0234200179</t>
  </si>
  <si>
    <t>0234200180</t>
  </si>
  <si>
    <t>0234200181</t>
  </si>
  <si>
    <t>0234200182</t>
  </si>
  <si>
    <t>0234200183</t>
  </si>
  <si>
    <t>0234200184</t>
  </si>
  <si>
    <t>0234200185</t>
  </si>
  <si>
    <t>0234200186</t>
  </si>
  <si>
    <t>0234200187</t>
  </si>
  <si>
    <t>0234200188</t>
  </si>
  <si>
    <t>0234200189</t>
  </si>
  <si>
    <t>0234200190</t>
  </si>
  <si>
    <t>0234200191</t>
  </si>
  <si>
    <t>0234200192</t>
  </si>
  <si>
    <t>0234200193</t>
  </si>
  <si>
    <t>0234200194</t>
  </si>
  <si>
    <t>0234200195</t>
  </si>
  <si>
    <t>0234200196</t>
  </si>
  <si>
    <t>0234200197</t>
  </si>
  <si>
    <t>0234200198</t>
  </si>
  <si>
    <t>0234200199</t>
  </si>
  <si>
    <t>0234200200</t>
  </si>
  <si>
    <t>0234200201</t>
  </si>
  <si>
    <t>0234200202</t>
  </si>
  <si>
    <t>0234200203</t>
  </si>
  <si>
    <t>0234200204</t>
  </si>
  <si>
    <t>0234200205</t>
  </si>
  <si>
    <t>0234200206</t>
  </si>
  <si>
    <t>0234200207</t>
  </si>
  <si>
    <t>0234200208</t>
  </si>
  <si>
    <t>0234200209</t>
  </si>
  <si>
    <t>0234200210</t>
  </si>
  <si>
    <t>0234200211</t>
  </si>
  <si>
    <t>0234200212</t>
  </si>
  <si>
    <t>0234200213</t>
  </si>
  <si>
    <t>0234200214</t>
  </si>
  <si>
    <t>0234200215</t>
  </si>
  <si>
    <t>0234200216</t>
  </si>
  <si>
    <t>0234200217</t>
  </si>
  <si>
    <t>0234200218</t>
  </si>
  <si>
    <t>0234200219</t>
  </si>
  <si>
    <t>0234200220</t>
  </si>
  <si>
    <t>0234200221</t>
  </si>
  <si>
    <t>0234200222</t>
  </si>
  <si>
    <t>0234200223</t>
  </si>
  <si>
    <t>0234200224</t>
  </si>
  <si>
    <t>0234200225</t>
  </si>
  <si>
    <t>0234200226</t>
  </si>
  <si>
    <t>0234200227</t>
  </si>
  <si>
    <t>0234200228</t>
  </si>
  <si>
    <t>0234200229</t>
  </si>
  <si>
    <t>0234200230</t>
  </si>
  <si>
    <t>0234200231</t>
  </si>
  <si>
    <t>0234200232</t>
  </si>
  <si>
    <t>0234200233</t>
  </si>
  <si>
    <t>0234200234</t>
  </si>
  <si>
    <t>0234200235</t>
  </si>
  <si>
    <t>0234200236</t>
  </si>
  <si>
    <t>0234200237</t>
  </si>
  <si>
    <t>0234200238</t>
  </si>
  <si>
    <t>0234200239</t>
  </si>
  <si>
    <t>0234200240</t>
  </si>
  <si>
    <t>0234200241</t>
  </si>
  <si>
    <t>0234200242</t>
  </si>
  <si>
    <t>0234200243</t>
  </si>
  <si>
    <t>0234200244</t>
  </si>
  <si>
    <t>0234200245</t>
  </si>
  <si>
    <t>0234200246</t>
  </si>
  <si>
    <t>0234200247</t>
  </si>
  <si>
    <t>0234200248</t>
  </si>
  <si>
    <t>0234200249</t>
  </si>
  <si>
    <t>0234200250</t>
  </si>
  <si>
    <t>0234200251</t>
  </si>
  <si>
    <t>0234200252</t>
  </si>
  <si>
    <t>0234200253</t>
  </si>
  <si>
    <t>0234200254</t>
  </si>
  <si>
    <t>0234200255</t>
  </si>
  <si>
    <t>0234200256</t>
  </si>
  <si>
    <t>0234200257</t>
  </si>
  <si>
    <t>0234200258</t>
  </si>
  <si>
    <t>0234200259</t>
  </si>
  <si>
    <t>0234200260</t>
  </si>
  <si>
    <t>0234200261</t>
  </si>
  <si>
    <t>0234200262</t>
  </si>
  <si>
    <t>0234200263</t>
  </si>
  <si>
    <t>0234200264</t>
  </si>
  <si>
    <t>0234200265</t>
  </si>
  <si>
    <t>0234200266</t>
  </si>
  <si>
    <t>0234200267</t>
  </si>
  <si>
    <t>0234200268</t>
  </si>
  <si>
    <t>0234200269</t>
  </si>
  <si>
    <t>0234200270</t>
  </si>
  <si>
    <t>0234200271</t>
  </si>
  <si>
    <t>0234200272</t>
  </si>
  <si>
    <t>0234200273</t>
  </si>
  <si>
    <t>0234200274</t>
  </si>
  <si>
    <t>0234200275</t>
  </si>
  <si>
    <t>0234200276</t>
  </si>
  <si>
    <t>0234200277</t>
  </si>
  <si>
    <t>0234200278</t>
  </si>
  <si>
    <t>0234200279</t>
  </si>
  <si>
    <t>0234200280</t>
  </si>
  <si>
    <t>0234200281</t>
  </si>
  <si>
    <t>0234200282</t>
  </si>
  <si>
    <t>0234200283</t>
  </si>
  <si>
    <t>0234200284</t>
  </si>
  <si>
    <t>0234200285</t>
  </si>
  <si>
    <t>0234200286</t>
  </si>
  <si>
    <t>0234200287</t>
  </si>
  <si>
    <t>0234200288</t>
  </si>
  <si>
    <t>0234200289</t>
  </si>
  <si>
    <t>0234200290</t>
  </si>
  <si>
    <t>0234200291</t>
  </si>
  <si>
    <t>0234200292</t>
  </si>
  <si>
    <t>0234200293</t>
  </si>
  <si>
    <t>0234200294</t>
  </si>
  <si>
    <t>0234200295</t>
  </si>
  <si>
    <t>0234200296</t>
  </si>
  <si>
    <t>0234200297</t>
  </si>
  <si>
    <t>0234200298</t>
  </si>
  <si>
    <t>0234200299</t>
  </si>
  <si>
    <t>0234200300</t>
  </si>
  <si>
    <t>0234200301</t>
  </si>
  <si>
    <t>0234200302</t>
  </si>
  <si>
    <t>0234200303</t>
  </si>
  <si>
    <t>0234200304</t>
  </si>
  <si>
    <t>0234200305</t>
  </si>
  <si>
    <t>0234200306</t>
  </si>
  <si>
    <t>0234200307</t>
  </si>
  <si>
    <t>0234200308</t>
  </si>
  <si>
    <t>0234200309</t>
  </si>
  <si>
    <t>0234200310</t>
  </si>
  <si>
    <t>0234200311</t>
  </si>
  <si>
    <t>0234200312</t>
  </si>
  <si>
    <t>0234200313</t>
  </si>
  <si>
    <t>0234200314</t>
  </si>
  <si>
    <t>0234200315</t>
  </si>
  <si>
    <t>0234200316</t>
  </si>
  <si>
    <t>0234200317</t>
  </si>
  <si>
    <t>0234200318</t>
  </si>
  <si>
    <t>0234200319</t>
  </si>
  <si>
    <t>0234200320</t>
  </si>
  <si>
    <t>0234200321</t>
  </si>
  <si>
    <t>0234200322</t>
  </si>
  <si>
    <t>0234200323</t>
  </si>
  <si>
    <t>0234200324</t>
  </si>
  <si>
    <t>0234200001</t>
  </si>
  <si>
    <t>0234200002</t>
  </si>
  <si>
    <t>0234200003</t>
  </si>
  <si>
    <t>0234200004</t>
  </si>
  <si>
    <t>0234200005</t>
  </si>
  <si>
    <t>0234200006</t>
  </si>
  <si>
    <t>0234200007</t>
  </si>
  <si>
    <t>0234200008</t>
  </si>
  <si>
    <t>0234200009</t>
  </si>
  <si>
    <t>0234200010</t>
  </si>
  <si>
    <t>0253200001</t>
  </si>
  <si>
    <t>0253200002</t>
  </si>
  <si>
    <t>0253200003</t>
  </si>
  <si>
    <t>0253200004</t>
  </si>
  <si>
    <t>0253200005</t>
  </si>
  <si>
    <t>0253200006</t>
  </si>
  <si>
    <t>0253200007</t>
  </si>
  <si>
    <t>0253200008</t>
  </si>
  <si>
    <t>0253200009</t>
  </si>
  <si>
    <t>0253200010</t>
  </si>
  <si>
    <t>0253200011</t>
  </si>
  <si>
    <t>0253200012</t>
  </si>
  <si>
    <t>0253200013</t>
  </si>
  <si>
    <t>0253200014</t>
  </si>
  <si>
    <t>0253200015</t>
  </si>
  <si>
    <t>0253200016</t>
  </si>
  <si>
    <t>0253200017</t>
  </si>
  <si>
    <t>0253200018</t>
  </si>
  <si>
    <t>0253200019</t>
  </si>
  <si>
    <t>0253200020</t>
  </si>
  <si>
    <t>0253200021</t>
  </si>
  <si>
    <t>0253200022</t>
  </si>
  <si>
    <t>0253200023</t>
  </si>
  <si>
    <t>0253200024</t>
  </si>
  <si>
    <t>0253200025</t>
  </si>
  <si>
    <t>0253200026</t>
  </si>
  <si>
    <t>0253200027</t>
  </si>
  <si>
    <t>0253200028</t>
  </si>
  <si>
    <t>0253200029</t>
  </si>
  <si>
    <t>0253200030</t>
  </si>
  <si>
    <t>0253200031</t>
  </si>
  <si>
    <t>0253200032</t>
  </si>
  <si>
    <t>0253200033</t>
  </si>
  <si>
    <t>0253200034</t>
  </si>
  <si>
    <t>0253200035</t>
  </si>
  <si>
    <t>0253200036</t>
  </si>
  <si>
    <t>0253200037</t>
  </si>
  <si>
    <t>0253200038</t>
  </si>
  <si>
    <t>0253200039</t>
  </si>
  <si>
    <t>0253200040</t>
  </si>
  <si>
    <t>0253200041</t>
  </si>
  <si>
    <t>0253200042</t>
  </si>
  <si>
    <t>0253200043</t>
  </si>
  <si>
    <t>0253200044</t>
  </si>
  <si>
    <t>0253200045</t>
  </si>
  <si>
    <t>0253200046</t>
  </si>
  <si>
    <t>0253200047</t>
  </si>
  <si>
    <t>0253200048</t>
  </si>
  <si>
    <t>0253200049</t>
  </si>
  <si>
    <t>0253200050</t>
  </si>
  <si>
    <t>0253200051</t>
  </si>
  <si>
    <t>0253200052</t>
  </si>
  <si>
    <t>0253200053</t>
  </si>
  <si>
    <t>0253200054</t>
  </si>
  <si>
    <t>0253200055</t>
  </si>
  <si>
    <t>0253200056</t>
  </si>
  <si>
    <t>0253200057</t>
  </si>
  <si>
    <t>0253200058</t>
  </si>
  <si>
    <t>0253200059</t>
  </si>
  <si>
    <t>0253200060</t>
  </si>
  <si>
    <t>0253200061</t>
  </si>
  <si>
    <t>0253200062</t>
  </si>
  <si>
    <t>0253200063</t>
  </si>
  <si>
    <t>0253200064</t>
  </si>
  <si>
    <t>0253200065</t>
  </si>
  <si>
    <t>0253200066</t>
  </si>
  <si>
    <t>0253200067</t>
  </si>
  <si>
    <t>0229200005</t>
  </si>
  <si>
    <t>0229200006</t>
  </si>
  <si>
    <t>0229200027</t>
  </si>
  <si>
    <t>0229200028</t>
  </si>
  <si>
    <t>0326200001</t>
  </si>
  <si>
    <t>0326200002</t>
  </si>
  <si>
    <t>0326200003</t>
  </si>
  <si>
    <t>0326200004</t>
  </si>
  <si>
    <t>0326200005</t>
  </si>
  <si>
    <t>0326200006</t>
  </si>
  <si>
    <t>0326200007</t>
  </si>
  <si>
    <t>0326200008</t>
  </si>
  <si>
    <t>0326200009</t>
  </si>
  <si>
    <t>0326200010</t>
  </si>
  <si>
    <t>0326200011</t>
  </si>
  <si>
    <t>0318200001</t>
  </si>
  <si>
    <t>0318200002</t>
  </si>
  <si>
    <t>0318200003</t>
  </si>
  <si>
    <t>0318200004</t>
  </si>
  <si>
    <t>0318200005</t>
  </si>
  <si>
    <t>0318200006</t>
  </si>
  <si>
    <t>0318200007</t>
  </si>
  <si>
    <t>0318200008</t>
  </si>
  <si>
    <t>0318200009</t>
  </si>
  <si>
    <t>0318200010</t>
  </si>
  <si>
    <t>0318200011</t>
  </si>
  <si>
    <t>0318200012</t>
  </si>
  <si>
    <t>0318200013</t>
  </si>
  <si>
    <t>0318200014</t>
  </si>
  <si>
    <t>0318200015</t>
  </si>
  <si>
    <t>0318200016</t>
  </si>
  <si>
    <t>0318200017</t>
  </si>
  <si>
    <t>0318200018</t>
  </si>
  <si>
    <t>0318200019</t>
  </si>
  <si>
    <t>0318200020</t>
  </si>
  <si>
    <t>0318200021</t>
  </si>
  <si>
    <t>0318200022</t>
  </si>
  <si>
    <t>0318200023</t>
  </si>
  <si>
    <t>0318200024</t>
  </si>
  <si>
    <t>0318200025</t>
  </si>
  <si>
    <t>0318200026</t>
  </si>
  <si>
    <t>0318200027</t>
  </si>
  <si>
    <t>0318200028</t>
  </si>
  <si>
    <t>0318200029</t>
  </si>
  <si>
    <t>0318200030</t>
  </si>
  <si>
    <t>0318200031</t>
  </si>
  <si>
    <t>0318200032</t>
  </si>
  <si>
    <t>0318200033</t>
  </si>
  <si>
    <t>0318209001</t>
  </si>
  <si>
    <t>0318209002</t>
  </si>
  <si>
    <t>0318209003</t>
  </si>
  <si>
    <t>0318209006</t>
  </si>
  <si>
    <t>0318209007</t>
  </si>
  <si>
    <t>0318209009</t>
  </si>
  <si>
    <t>0318209011</t>
  </si>
  <si>
    <t>0318209013</t>
  </si>
  <si>
    <t>0318209014</t>
  </si>
  <si>
    <t>0318209017</t>
  </si>
  <si>
    <t>0318209019</t>
  </si>
  <si>
    <t>0318209021</t>
  </si>
  <si>
    <t>0318209024</t>
  </si>
  <si>
    <t>0318209025</t>
  </si>
  <si>
    <t>0318209026</t>
  </si>
  <si>
    <t>0318209027</t>
  </si>
  <si>
    <t>0513200001</t>
  </si>
  <si>
    <t>0513200002</t>
  </si>
  <si>
    <t>0513200003</t>
  </si>
  <si>
    <t>0513200004</t>
  </si>
  <si>
    <t>0513200005</t>
  </si>
  <si>
    <t>0513200006</t>
  </si>
  <si>
    <t>0513200007</t>
  </si>
  <si>
    <t>0513200008</t>
  </si>
  <si>
    <t>0513200009</t>
  </si>
  <si>
    <t>0513200010</t>
  </si>
  <si>
    <t>0513200011</t>
  </si>
  <si>
    <t>0513200012</t>
  </si>
  <si>
    <t>0513200013</t>
  </si>
  <si>
    <t>0513200014</t>
  </si>
  <si>
    <t>0513200015</t>
  </si>
  <si>
    <t>0513200016</t>
  </si>
  <si>
    <t>0513200017</t>
  </si>
  <si>
    <t>0513200018</t>
  </si>
  <si>
    <t>0513200019</t>
  </si>
  <si>
    <t>0513200020</t>
  </si>
  <si>
    <t>0513200021</t>
  </si>
  <si>
    <t>0513200022</t>
  </si>
  <si>
    <t>0513200023</t>
  </si>
  <si>
    <t>0513200024</t>
  </si>
  <si>
    <t>0551219001</t>
  </si>
  <si>
    <t>0551219002</t>
  </si>
  <si>
    <t>0551219003</t>
  </si>
  <si>
    <t>0551219004</t>
  </si>
  <si>
    <t>0551219005</t>
  </si>
  <si>
    <t>0551219006</t>
  </si>
  <si>
    <t>0551219007</t>
  </si>
  <si>
    <t>0551219008</t>
  </si>
  <si>
    <t>0535200001</t>
  </si>
  <si>
    <t>0535200002</t>
  </si>
  <si>
    <t>0535200003</t>
  </si>
  <si>
    <t>0535200004</t>
  </si>
  <si>
    <t>0535200005</t>
  </si>
  <si>
    <t>0535200006</t>
  </si>
  <si>
    <t>0535200007</t>
  </si>
  <si>
    <t>0535200008</t>
  </si>
  <si>
    <t>0535200009</t>
  </si>
  <si>
    <t>0535200010</t>
  </si>
  <si>
    <t>0535200011</t>
  </si>
  <si>
    <t>0535200012</t>
  </si>
  <si>
    <t>0535200013</t>
  </si>
  <si>
    <t>0535200014</t>
  </si>
  <si>
    <t>0535200015</t>
  </si>
  <si>
    <t>0535200016</t>
  </si>
  <si>
    <t>0535200017</t>
  </si>
  <si>
    <t>0535200018</t>
  </si>
  <si>
    <t>0535200019</t>
  </si>
  <si>
    <t>0535200020</t>
  </si>
  <si>
    <t>0535200021</t>
  </si>
  <si>
    <t>0535200022</t>
  </si>
  <si>
    <t>0535200023</t>
  </si>
  <si>
    <t>0535200024</t>
  </si>
  <si>
    <t>0517200001</t>
  </si>
  <si>
    <t>0517200002</t>
  </si>
  <si>
    <t>0517200003</t>
  </si>
  <si>
    <t>0517200004</t>
  </si>
  <si>
    <t>0517200005</t>
  </si>
  <si>
    <t>0517200006</t>
  </si>
  <si>
    <t>0517200007</t>
  </si>
  <si>
    <t>0517200008</t>
  </si>
  <si>
    <t>0517200009</t>
  </si>
  <si>
    <t>0517200010</t>
  </si>
  <si>
    <t>0517200011</t>
  </si>
  <si>
    <t>0517200012</t>
  </si>
  <si>
    <t>0517200013</t>
  </si>
  <si>
    <t>0517200014</t>
  </si>
  <si>
    <t>0517200015</t>
  </si>
  <si>
    <t>0517200016</t>
  </si>
  <si>
    <t>0517200017</t>
  </si>
  <si>
    <t>0517200018</t>
  </si>
  <si>
    <t>0517200019</t>
  </si>
  <si>
    <t>0517200020</t>
  </si>
  <si>
    <t>0517200021</t>
  </si>
  <si>
    <t>0517200022</t>
  </si>
  <si>
    <t>0517200023</t>
  </si>
  <si>
    <t>0517200024</t>
  </si>
  <si>
    <t>0517200025</t>
  </si>
  <si>
    <t>0517200026</t>
  </si>
  <si>
    <t>0517200027</t>
  </si>
  <si>
    <t>0517200028</t>
  </si>
  <si>
    <t>0517200029</t>
  </si>
  <si>
    <t>0517200030</t>
  </si>
  <si>
    <t>0517200031</t>
  </si>
  <si>
    <t>0517200032</t>
  </si>
  <si>
    <t>0517200033</t>
  </si>
  <si>
    <t>0517200034</t>
  </si>
  <si>
    <t>0517200035</t>
  </si>
  <si>
    <t>0517200036</t>
  </si>
  <si>
    <t>0517200037</t>
  </si>
  <si>
    <t>0517200038</t>
  </si>
  <si>
    <t>0517200039</t>
  </si>
  <si>
    <t>0517200040</t>
  </si>
  <si>
    <t>0517200041</t>
  </si>
  <si>
    <t>0517200042</t>
  </si>
  <si>
    <t>0517200043</t>
  </si>
  <si>
    <t>0517200044</t>
  </si>
  <si>
    <t>0517200045</t>
  </si>
  <si>
    <t>0517200046</t>
  </si>
  <si>
    <t>0517200047</t>
  </si>
  <si>
    <t>0517200048</t>
  </si>
  <si>
    <t>0517200049</t>
  </si>
  <si>
    <t>0517200050</t>
  </si>
  <si>
    <t>0517200051</t>
  </si>
  <si>
    <t>0517200052</t>
  </si>
  <si>
    <t>0517200053</t>
  </si>
  <si>
    <t>0517200054</t>
  </si>
  <si>
    <t>0517200055</t>
  </si>
  <si>
    <t>0517200056</t>
  </si>
  <si>
    <t>0517200057</t>
  </si>
  <si>
    <t>0517200058</t>
  </si>
  <si>
    <t>0517200059</t>
  </si>
  <si>
    <t>0517200060</t>
  </si>
  <si>
    <t>0517200061</t>
  </si>
  <si>
    <t>0517200062</t>
  </si>
  <si>
    <t>0517200063</t>
  </si>
  <si>
    <t>0517200064</t>
  </si>
  <si>
    <t>0517200065</t>
  </si>
  <si>
    <t>0517200066</t>
  </si>
  <si>
    <t>0517200067</t>
  </si>
  <si>
    <t>0517200068</t>
  </si>
  <si>
    <t>0517200069</t>
  </si>
  <si>
    <t>0517200070</t>
  </si>
  <si>
    <t>0517200071</t>
  </si>
  <si>
    <t>0517200072</t>
  </si>
  <si>
    <t>0517200073</t>
  </si>
  <si>
    <t>0517200074</t>
  </si>
  <si>
    <t>0517200075</t>
  </si>
  <si>
    <t>0517200076</t>
  </si>
  <si>
    <t>0517200077</t>
  </si>
  <si>
    <t>0517200078</t>
  </si>
  <si>
    <t>0517200079</t>
  </si>
  <si>
    <t>0517200080</t>
  </si>
  <si>
    <t>0517200081</t>
  </si>
  <si>
    <t>0517200082</t>
  </si>
  <si>
    <t>0517200083</t>
  </si>
  <si>
    <t>0517200084</t>
  </si>
  <si>
    <t>0517200085</t>
  </si>
  <si>
    <t>0517200086</t>
  </si>
  <si>
    <t>0517200087</t>
  </si>
  <si>
    <t>0517200088</t>
  </si>
  <si>
    <t>0517200089</t>
  </si>
  <si>
    <t>0517200090</t>
  </si>
  <si>
    <t>0517200091</t>
  </si>
  <si>
    <t>0517200092</t>
  </si>
  <si>
    <t>0517200093</t>
  </si>
  <si>
    <t>0517200094</t>
  </si>
  <si>
    <t>0517200095</t>
  </si>
  <si>
    <t>0517200096</t>
  </si>
  <si>
    <t>0517200097</t>
  </si>
  <si>
    <t>0517200098</t>
  </si>
  <si>
    <t>0517200099</t>
  </si>
  <si>
    <t>0517200100</t>
  </si>
  <si>
    <t>0517200101</t>
  </si>
  <si>
    <t>0517200102</t>
  </si>
  <si>
    <t>0517200103</t>
  </si>
  <si>
    <t>0517200104</t>
  </si>
  <si>
    <t>0517200105</t>
  </si>
  <si>
    <t>0517200106</t>
  </si>
  <si>
    <t>0517200107</t>
  </si>
  <si>
    <t>0517200108</t>
  </si>
  <si>
    <t>0517200109</t>
  </si>
  <si>
    <t>0517200110</t>
  </si>
  <si>
    <t>0517200111</t>
  </si>
  <si>
    <t>0517200112</t>
  </si>
  <si>
    <t>0517200113</t>
  </si>
  <si>
    <t>0517200114</t>
  </si>
  <si>
    <t>0517200115</t>
  </si>
  <si>
    <t>0517200116</t>
  </si>
  <si>
    <t>0517200117</t>
  </si>
  <si>
    <t>0517200118</t>
  </si>
  <si>
    <t>0517200119</t>
  </si>
  <si>
    <t>0517200120</t>
  </si>
  <si>
    <t>0517200121</t>
  </si>
  <si>
    <t>0517200122</t>
  </si>
  <si>
    <t>0517200123</t>
  </si>
  <si>
    <t>0517200124</t>
  </si>
  <si>
    <t>0517200125</t>
  </si>
  <si>
    <t>0517200126</t>
  </si>
  <si>
    <t>0517200127</t>
  </si>
  <si>
    <t>0517200128</t>
  </si>
  <si>
    <t>0517200129</t>
  </si>
  <si>
    <t>0517200130</t>
  </si>
  <si>
    <t>0517200131</t>
  </si>
  <si>
    <t>0517200132</t>
  </si>
  <si>
    <t>0517200133</t>
  </si>
  <si>
    <t>0517200134</t>
  </si>
  <si>
    <t>0517200135</t>
  </si>
  <si>
    <t>0517200136</t>
  </si>
  <si>
    <t>0517200137</t>
  </si>
  <si>
    <t>0517200138</t>
  </si>
  <si>
    <t>0517200139</t>
  </si>
  <si>
    <t>0517200140</t>
  </si>
  <si>
    <t>0517200141</t>
  </si>
  <si>
    <t>0517200142</t>
  </si>
  <si>
    <t>0517200143</t>
  </si>
  <si>
    <t>0517200144</t>
  </si>
  <si>
    <t>0517200145</t>
  </si>
  <si>
    <t>0517200146</t>
  </si>
  <si>
    <t>0517200147</t>
  </si>
  <si>
    <t>0517200148</t>
  </si>
  <si>
    <t>0517200149</t>
  </si>
  <si>
    <t>0517200150</t>
  </si>
  <si>
    <t>0517200151</t>
  </si>
  <si>
    <t>0517200152</t>
  </si>
  <si>
    <t>0517200153</t>
  </si>
  <si>
    <t>0517200154</t>
  </si>
  <si>
    <t>0517200155</t>
  </si>
  <si>
    <t>0517200156</t>
  </si>
  <si>
    <t>0517200157</t>
  </si>
  <si>
    <t>0517200158</t>
  </si>
  <si>
    <t>0517200159</t>
  </si>
  <si>
    <t>0517200160</t>
  </si>
  <si>
    <t>0517200161</t>
  </si>
  <si>
    <t>0517200162</t>
  </si>
  <si>
    <t>0517200163</t>
  </si>
  <si>
    <t>0517200164</t>
  </si>
  <si>
    <t>0517200165</t>
  </si>
  <si>
    <t>0517200166</t>
  </si>
  <si>
    <t>0517200167</t>
  </si>
  <si>
    <t>0517200168</t>
  </si>
  <si>
    <t>0517200169</t>
  </si>
  <si>
    <t>0517200170</t>
  </si>
  <si>
    <t>0517200171</t>
  </si>
  <si>
    <t>0517200172</t>
  </si>
  <si>
    <t>0517200173</t>
  </si>
  <si>
    <t>0517200174</t>
  </si>
  <si>
    <t>0517200175</t>
  </si>
  <si>
    <t>0517200176</t>
  </si>
  <si>
    <t>0517200177</t>
  </si>
  <si>
    <t>0517200178</t>
  </si>
  <si>
    <t>0517200179</t>
  </si>
  <si>
    <t>0517200180</t>
  </si>
  <si>
    <t>0517200181</t>
  </si>
  <si>
    <t>0517200182</t>
  </si>
  <si>
    <t>0517200183</t>
  </si>
  <si>
    <t>0517200184</t>
  </si>
  <si>
    <t>0517200185</t>
  </si>
  <si>
    <t>0517200186</t>
  </si>
  <si>
    <t>0517200187</t>
  </si>
  <si>
    <t>0517200188</t>
  </si>
  <si>
    <t>0517200189</t>
  </si>
  <si>
    <t>0517200190</t>
  </si>
  <si>
    <t>0517200191</t>
  </si>
  <si>
    <t>0517200192</t>
  </si>
  <si>
    <t>0517200193</t>
  </si>
  <si>
    <t>0517200194</t>
  </si>
  <si>
    <t>0517200195</t>
  </si>
  <si>
    <t>0517200196</t>
  </si>
  <si>
    <t>0517200197</t>
  </si>
  <si>
    <t>0517200198</t>
  </si>
  <si>
    <t>0517200199</t>
  </si>
  <si>
    <t>0517200200</t>
  </si>
  <si>
    <t>0517200201</t>
  </si>
  <si>
    <t>0517200202</t>
  </si>
  <si>
    <t>0517200203</t>
  </si>
  <si>
    <t>0517200204</t>
  </si>
  <si>
    <t>0517200205</t>
  </si>
  <si>
    <t>0517200206</t>
  </si>
  <si>
    <t>0517200207</t>
  </si>
  <si>
    <t>0517200208</t>
  </si>
  <si>
    <t>0517200209</t>
  </si>
  <si>
    <t>0517200210</t>
  </si>
  <si>
    <t>0517200211</t>
  </si>
  <si>
    <t>0517200212</t>
  </si>
  <si>
    <t>0517200213</t>
  </si>
  <si>
    <t>0517200214</t>
  </si>
  <si>
    <t>0517200215</t>
  </si>
  <si>
    <t>0517200216</t>
  </si>
  <si>
    <t>0517200217</t>
  </si>
  <si>
    <t>0517200218</t>
  </si>
  <si>
    <t>0517200219</t>
  </si>
  <si>
    <t>0517200220</t>
  </si>
  <si>
    <t>0517200221</t>
  </si>
  <si>
    <t>0517200222</t>
  </si>
  <si>
    <t>0517200223</t>
  </si>
  <si>
    <t>0517200224</t>
  </si>
  <si>
    <t>0517200225</t>
  </si>
  <si>
    <t>0517200226</t>
  </si>
  <si>
    <t>0517200227</t>
  </si>
  <si>
    <t>0517200228</t>
  </si>
  <si>
    <t>0517200229</t>
  </si>
  <si>
    <t>0517200230</t>
  </si>
  <si>
    <t>0517200231</t>
  </si>
  <si>
    <t>0517200232</t>
  </si>
  <si>
    <t>0517200233</t>
  </si>
  <si>
    <t>0517200234</t>
  </si>
  <si>
    <t>0517200235</t>
  </si>
  <si>
    <t>0517200236</t>
  </si>
  <si>
    <t>0517200237</t>
  </si>
  <si>
    <t>0517200238</t>
  </si>
  <si>
    <t>0517200239</t>
  </si>
  <si>
    <t>0517200240</t>
  </si>
  <si>
    <t>0517200241</t>
  </si>
  <si>
    <t>0517200242</t>
  </si>
  <si>
    <t>0517200243</t>
  </si>
  <si>
    <t>0517200244</t>
  </si>
  <si>
    <t>0517200245</t>
  </si>
  <si>
    <t>0517200246</t>
  </si>
  <si>
    <t>0517200247</t>
  </si>
  <si>
    <t>0517200248</t>
  </si>
  <si>
    <t>0517200249</t>
  </si>
  <si>
    <t>0517200250</t>
  </si>
  <si>
    <t>0517200251</t>
  </si>
  <si>
    <t>0517200252</t>
  </si>
  <si>
    <t>0517200253</t>
  </si>
  <si>
    <t>0517200254</t>
  </si>
  <si>
    <t>0517200255</t>
  </si>
  <si>
    <t>0517200256</t>
  </si>
  <si>
    <t>0517200257</t>
  </si>
  <si>
    <t>0517200258</t>
  </si>
  <si>
    <t>0517200259</t>
  </si>
  <si>
    <t>0517200260</t>
  </si>
  <si>
    <t>0517200261</t>
  </si>
  <si>
    <t>0517200262</t>
  </si>
  <si>
    <t>0517200263</t>
  </si>
  <si>
    <t>0517200264</t>
  </si>
  <si>
    <t>0517200265</t>
  </si>
  <si>
    <t>0517200266</t>
  </si>
  <si>
    <t>0517200267</t>
  </si>
  <si>
    <t>0517200268</t>
  </si>
  <si>
    <t>0517200269</t>
  </si>
  <si>
    <t>0517200270</t>
  </si>
  <si>
    <t>0517200271</t>
  </si>
  <si>
    <t>0517200272</t>
  </si>
  <si>
    <t>0517200273</t>
  </si>
  <si>
    <t>0517200274</t>
  </si>
  <si>
    <t>0517200275</t>
  </si>
  <si>
    <t>0517200276</t>
  </si>
  <si>
    <t>0517200277</t>
  </si>
  <si>
    <t>0517200278</t>
  </si>
  <si>
    <t>0517200279</t>
  </si>
  <si>
    <t>0517200280</t>
  </si>
  <si>
    <t>0517200281</t>
  </si>
  <si>
    <t>0517200282</t>
  </si>
  <si>
    <t>0517200283</t>
  </si>
  <si>
    <t>0517200284</t>
  </si>
  <si>
    <t>0517200285</t>
  </si>
  <si>
    <t>0517200286</t>
  </si>
  <si>
    <t>0517200287</t>
  </si>
  <si>
    <t>0517200288</t>
  </si>
  <si>
    <t>0517200289</t>
  </si>
  <si>
    <t>0517200290</t>
  </si>
  <si>
    <t>0517200291</t>
  </si>
  <si>
    <t>0517200292</t>
  </si>
  <si>
    <t>0517200293</t>
  </si>
  <si>
    <t>0517200294</t>
  </si>
  <si>
    <t>0517200295</t>
  </si>
  <si>
    <t>0517200296</t>
  </si>
  <si>
    <t>0517200297</t>
  </si>
  <si>
    <t>0517200298</t>
  </si>
  <si>
    <t>0517200299</t>
  </si>
  <si>
    <t>0517200300</t>
  </si>
  <si>
    <t>0517200301</t>
  </si>
  <si>
    <t>0517200302</t>
  </si>
  <si>
    <t>0517200303</t>
  </si>
  <si>
    <t>0517200304</t>
  </si>
  <si>
    <t>0517200305</t>
  </si>
  <si>
    <t>0517200306</t>
  </si>
  <si>
    <t>0517200307</t>
  </si>
  <si>
    <t>0517200308</t>
  </si>
  <si>
    <t>0517200309</t>
  </si>
  <si>
    <t>0517200310</t>
  </si>
  <si>
    <t>0517200311</t>
  </si>
  <si>
    <t>0517200312</t>
  </si>
  <si>
    <t>0517200313</t>
  </si>
  <si>
    <t>0517200314</t>
  </si>
  <si>
    <t>0517200315</t>
  </si>
  <si>
    <t>0517200316</t>
  </si>
  <si>
    <t>0517200317</t>
  </si>
  <si>
    <t>0517200318</t>
  </si>
  <si>
    <t>0517200319</t>
  </si>
  <si>
    <t>0517200320</t>
  </si>
  <si>
    <t>0517200321</t>
  </si>
  <si>
    <t>0517200322</t>
  </si>
  <si>
    <t>0517200323</t>
  </si>
  <si>
    <t>0517200324</t>
  </si>
  <si>
    <t>0517200325</t>
  </si>
  <si>
    <t>0517200326</t>
  </si>
  <si>
    <t>0517200327</t>
  </si>
  <si>
    <t>0517200328</t>
  </si>
  <si>
    <t>0517200329</t>
  </si>
  <si>
    <t>0517200330</t>
  </si>
  <si>
    <t>0517200331</t>
  </si>
  <si>
    <t>0517200332</t>
  </si>
  <si>
    <t>0517200333</t>
  </si>
  <si>
    <t>0517200334</t>
  </si>
  <si>
    <t>0517200335</t>
  </si>
  <si>
    <t>0517200336</t>
  </si>
  <si>
    <t>0517200337</t>
  </si>
  <si>
    <t>0517200338</t>
  </si>
  <si>
    <t>0517200339</t>
  </si>
  <si>
    <t>0517200340</t>
  </si>
  <si>
    <t>0517200341</t>
  </si>
  <si>
    <t>0517200342</t>
  </si>
  <si>
    <t>0517200343</t>
  </si>
  <si>
    <t>0517200344</t>
  </si>
  <si>
    <t>0517200345</t>
  </si>
  <si>
    <t>0517200346</t>
  </si>
  <si>
    <t>0517200347</t>
  </si>
  <si>
    <t>0517200348</t>
  </si>
  <si>
    <t>0517200349</t>
  </si>
  <si>
    <t>0517200350</t>
  </si>
  <si>
    <t>0517200351</t>
  </si>
  <si>
    <t>0517200352</t>
  </si>
  <si>
    <t>0517200353</t>
  </si>
  <si>
    <t>0517200354</t>
  </si>
  <si>
    <t>0517200355</t>
  </si>
  <si>
    <t>0517200356</t>
  </si>
  <si>
    <t>0517200357</t>
  </si>
  <si>
    <t>0517200358</t>
  </si>
  <si>
    <t>0517200359</t>
  </si>
  <si>
    <t>0517200360</t>
  </si>
  <si>
    <t>0517200361</t>
  </si>
  <si>
    <t>0517200362</t>
  </si>
  <si>
    <t>0517200363</t>
  </si>
  <si>
    <t>0517200364</t>
  </si>
  <si>
    <t>0517200365</t>
  </si>
  <si>
    <t>0517200366</t>
  </si>
  <si>
    <t>0517200367</t>
  </si>
  <si>
    <t>0517200368</t>
  </si>
  <si>
    <t>0517200369</t>
  </si>
  <si>
    <t>0517200370</t>
  </si>
  <si>
    <t>0517200371</t>
  </si>
  <si>
    <t>0517200372</t>
  </si>
  <si>
    <t>0517200373</t>
  </si>
  <si>
    <t>0517200374</t>
  </si>
  <si>
    <t>0517200375</t>
  </si>
  <si>
    <t>0517200376</t>
  </si>
  <si>
    <t>0517200377</t>
  </si>
  <si>
    <t>0517200378</t>
  </si>
  <si>
    <t>0517200379</t>
  </si>
  <si>
    <t>0517200380</t>
  </si>
  <si>
    <t>0517200381</t>
  </si>
  <si>
    <t>0517200382</t>
  </si>
  <si>
    <t>0517200383</t>
  </si>
  <si>
    <t>0517200384</t>
  </si>
  <si>
    <t>0517200385</t>
  </si>
  <si>
    <t>0517200386</t>
  </si>
  <si>
    <t>0517200387</t>
  </si>
  <si>
    <t>0517200388</t>
  </si>
  <si>
    <t>0517200389</t>
  </si>
  <si>
    <t>0517200390</t>
  </si>
  <si>
    <t>0517200391</t>
  </si>
  <si>
    <t>0517200392</t>
  </si>
  <si>
    <t>0517200393</t>
  </si>
  <si>
    <t>0517200394</t>
  </si>
  <si>
    <t>0517200395</t>
  </si>
  <si>
    <t>0517200396</t>
  </si>
  <si>
    <t>0517200397</t>
  </si>
  <si>
    <t>0517200398</t>
  </si>
  <si>
    <t>0517200399</t>
  </si>
  <si>
    <t>0517200400</t>
  </si>
  <si>
    <t>0521200002</t>
  </si>
  <si>
    <t>0521200055</t>
  </si>
  <si>
    <t>Delta State Primary Health Care Development Agency</t>
  </si>
  <si>
    <t>Min. of Women Affairs and Social Development</t>
  </si>
  <si>
    <t>0514200001</t>
  </si>
  <si>
    <t>0514200002</t>
  </si>
  <si>
    <t>0514200003</t>
  </si>
  <si>
    <t>0514200004</t>
  </si>
  <si>
    <t>0514200005</t>
  </si>
  <si>
    <t>0514200006</t>
  </si>
  <si>
    <t>0514200007</t>
  </si>
  <si>
    <t>0514200008</t>
  </si>
  <si>
    <t>0514200009</t>
  </si>
  <si>
    <t>0514200010</t>
  </si>
  <si>
    <t>0514200011</t>
  </si>
  <si>
    <t>0514200012</t>
  </si>
  <si>
    <t>0514200013</t>
  </si>
  <si>
    <t>0514200014</t>
  </si>
  <si>
    <t>0514200015</t>
  </si>
  <si>
    <t>0514200016</t>
  </si>
  <si>
    <t>0514200017</t>
  </si>
  <si>
    <t>0514200018</t>
  </si>
  <si>
    <t>0514200019</t>
  </si>
  <si>
    <t>0514200020</t>
  </si>
  <si>
    <t>0514200021</t>
  </si>
  <si>
    <t>0514200022</t>
  </si>
  <si>
    <t>0517022034</t>
  </si>
  <si>
    <t>Cosntruction of Administrative Block in Ogwashi-Uku Polytechnic</t>
  </si>
  <si>
    <t>Cosntruction of Administrative Block in Otefe -Oghara</t>
  </si>
  <si>
    <t>Construction of Alihami/Agborota Road, Boji-Boji Agbor</t>
  </si>
  <si>
    <t>Construction of Pamol Road, Oghara</t>
  </si>
  <si>
    <t>Construction of Inneh Street, off Obi - Ikechukwu Street, Ika South</t>
  </si>
  <si>
    <t>0222200024</t>
  </si>
  <si>
    <t>Water Project at Okerenkoko, Warri South West</t>
  </si>
  <si>
    <t>Concrete Roads at Kunukuna</t>
  </si>
  <si>
    <t>1.2Km Concrete Road,Okerenkoko</t>
  </si>
  <si>
    <t>Students Enterpreneurship Programme</t>
  </si>
  <si>
    <t>FSP Projection</t>
  </si>
  <si>
    <t xml:space="preserve">  </t>
  </si>
  <si>
    <t>Ministry of Information</t>
  </si>
  <si>
    <t>Ministry of Lands, Survey &amp; Urban</t>
  </si>
  <si>
    <t>0234200325</t>
  </si>
  <si>
    <t>Construction of Osagbuno Nicholas Obi and Odogie Street, Ika South</t>
  </si>
  <si>
    <t>Administration</t>
  </si>
  <si>
    <t>Office of the Secretary to the State Government</t>
  </si>
  <si>
    <t>xvi</t>
  </si>
  <si>
    <t>Post Primary education board</t>
  </si>
  <si>
    <t>Vocational Education Board</t>
  </si>
  <si>
    <t>Tota lAllocation</t>
  </si>
  <si>
    <t>Faculty of Agriculture DELSU, Anwai</t>
  </si>
  <si>
    <t>Information</t>
  </si>
  <si>
    <t>VOC</t>
  </si>
  <si>
    <t>Savings of N100</t>
  </si>
  <si>
    <t>Remark</t>
  </si>
  <si>
    <t>Women Affairs</t>
  </si>
  <si>
    <t>Amount in Budget</t>
  </si>
  <si>
    <t>Special Projects</t>
  </si>
  <si>
    <t>Water Resources</t>
  </si>
  <si>
    <t>Treatment Plant shd be removed to urban water board</t>
  </si>
  <si>
    <t xml:space="preserve">Technical Education </t>
  </si>
  <si>
    <t>Create Overhead</t>
  </si>
  <si>
    <t>Lands and Survey</t>
  </si>
  <si>
    <t>Warri Uvwie</t>
  </si>
  <si>
    <t>Faculty of Arts, DELSU, Abraka.</t>
  </si>
  <si>
    <t>Culture &amp; Tourism</t>
  </si>
  <si>
    <t>Trade &amp; Investment</t>
  </si>
  <si>
    <t>Ogheye Floating Market,Warri North</t>
  </si>
  <si>
    <t>Remove N1.3b for Kwale Industrial Park</t>
  </si>
  <si>
    <t>Bomadi Market</t>
  </si>
  <si>
    <t>Oghara</t>
  </si>
  <si>
    <t>Okwagbe</t>
  </si>
  <si>
    <t>Out-Jeremi</t>
  </si>
  <si>
    <t>Ozoro</t>
  </si>
  <si>
    <t>Owanta Market</t>
  </si>
  <si>
    <t>Bureau for Spec Duties</t>
  </si>
  <si>
    <t>Transport</t>
  </si>
  <si>
    <t>Environment</t>
  </si>
  <si>
    <t>Trade</t>
  </si>
  <si>
    <t>bomadi</t>
  </si>
  <si>
    <t>oghra</t>
  </si>
  <si>
    <t>ozoro</t>
  </si>
  <si>
    <t>okwagbe</t>
  </si>
  <si>
    <t>Out jeremi</t>
  </si>
  <si>
    <t>Govt House</t>
  </si>
  <si>
    <t>Construction of  Oghara Market</t>
  </si>
  <si>
    <t>Construction of  Okwagbe Market</t>
  </si>
  <si>
    <t>Construction of  Ozoro Market</t>
  </si>
  <si>
    <t>Purchase of Fire Fighting Vehicles (Boats and Barges)</t>
  </si>
  <si>
    <t>0111620014</t>
  </si>
  <si>
    <t>Purchase of Computers and Computerization</t>
  </si>
  <si>
    <t>Construction of  Otu-Jeremi Market</t>
  </si>
  <si>
    <t>Community Base Projects</t>
  </si>
  <si>
    <t>To reallocate with MEP and Resubmit (N100)</t>
  </si>
  <si>
    <t>Landers Brothers Achorage in Asaba</t>
  </si>
  <si>
    <t>0229200029</t>
  </si>
  <si>
    <t>0229200030</t>
  </si>
  <si>
    <t>Constructuction of Concrete Jetty Ewho-Okoroafor Community, Ndokwa East</t>
  </si>
  <si>
    <t>Take money from General Market to Owanta</t>
  </si>
  <si>
    <t>Constructuction of Concrete Jetty Ayama Community, Ndokwa East</t>
  </si>
  <si>
    <t>Constructuction of Concrete Jetty Ovrogbo Community, Isoko South</t>
  </si>
  <si>
    <t>Construction/Rehabilitation of jetties, waiting sheds and landing stairs</t>
  </si>
  <si>
    <t>023102127</t>
  </si>
  <si>
    <t>023102128</t>
  </si>
  <si>
    <t>Extension of 33Kv line to Ogriagbene and Edegbene from Enekorogha Junction</t>
  </si>
  <si>
    <t>Installation of Solar Light at Esama</t>
  </si>
  <si>
    <t>Installation of 2 Nos of 2.5MVA/33/11KV Injection Transformaer at Mosogar</t>
  </si>
  <si>
    <t xml:space="preserve">Renovation of Women Development Centres </t>
  </si>
  <si>
    <t>Establishment of Kwale Industrial Park</t>
  </si>
  <si>
    <t xml:space="preserve"> Warri Drainage Project </t>
  </si>
  <si>
    <t xml:space="preserve"> Openning Of Nana Town Creek, Warri North </t>
  </si>
  <si>
    <t xml:space="preserve"> Implememtaion Of Climate Change Strategic Action Plan In The State </t>
  </si>
  <si>
    <t xml:space="preserve"> Forest Regeneration  </t>
  </si>
  <si>
    <t xml:space="preserve"> Forest Survey/ Research Boundaries </t>
  </si>
  <si>
    <t xml:space="preserve"> Tree Planting Campaign Scheme </t>
  </si>
  <si>
    <t xml:space="preserve"> Nursery Establishment &amp; Operations </t>
  </si>
  <si>
    <t xml:space="preserve"> Adding Machines &amp; Calculators </t>
  </si>
  <si>
    <t xml:space="preserve"> Library </t>
  </si>
  <si>
    <t xml:space="preserve"> Minor Works </t>
  </si>
  <si>
    <t xml:space="preserve"> Delta State Waste Management Board </t>
  </si>
  <si>
    <t xml:space="preserve"> Delta State Environmental Protection Agency </t>
  </si>
  <si>
    <t xml:space="preserve">Desilting of Internal Drains in The State </t>
  </si>
  <si>
    <t xml:space="preserve"> Flood Control in The State  </t>
  </si>
  <si>
    <t xml:space="preserve"> Flood/Erosion Control Measures at Oghara </t>
  </si>
  <si>
    <t xml:space="preserve"> Fumigation, Deratization and Larviciding of Public Places </t>
  </si>
  <si>
    <t xml:space="preserve"> Maintenance of Dump Sites across the State </t>
  </si>
  <si>
    <t xml:space="preserve"> Provision/Construction of Culverts in The State  </t>
  </si>
  <si>
    <t xml:space="preserve"> Maintenance of Established Plantations </t>
  </si>
  <si>
    <t xml:space="preserve"> Uniform, Umbrella and Raincoats </t>
  </si>
  <si>
    <t xml:space="preserve"> Office Equipment and Furniture </t>
  </si>
  <si>
    <t xml:space="preserve"> Fumigation of Public Places(Hospital, Govt Quarters &amp; Offices) </t>
  </si>
  <si>
    <t xml:space="preserve"> Installation Of Intercom, Telephone and Close Circuit Television </t>
  </si>
  <si>
    <t>Rehabilitation of Ailing Industries/Establishment of New ones (Agro-Industries)</t>
  </si>
  <si>
    <t>Jetty at Akpanaka-Ebodo Quarter, Akugbene, Bomadi LGA</t>
  </si>
  <si>
    <t xml:space="preserve">Renovation/rehabilitation of 1No.2 classroom block with offices and reconstruction of 1No.6 classroom block with offices and stores, at Orere Secondary School, Ewu Kingdom, Ughelli South LGA </t>
  </si>
  <si>
    <t>Conversion/Rehabilitation of Staff/Corpers lodge in public Primary and Secondary Schools across the State</t>
  </si>
  <si>
    <t xml:space="preserve">Construction of new buildings in Newly established schools across the State, i.e Junior Staff quarters Primary </t>
  </si>
  <si>
    <t xml:space="preserve">Construction of Atikome Street, </t>
  </si>
  <si>
    <t>0234200326</t>
  </si>
  <si>
    <t>0234200327</t>
  </si>
  <si>
    <t>Renovation of Youth Acquisition Centre, Kokori</t>
  </si>
  <si>
    <t>Renovation of Youth Acquisition Centre, Ewu</t>
  </si>
  <si>
    <t>Renovation of Youth Acquisition Centre, Ashaka</t>
  </si>
  <si>
    <t>Fencing of Youth Acquisition Centre, Ewu</t>
  </si>
  <si>
    <t>Equipment of Youth Acquisition Centre, Ashaka</t>
  </si>
  <si>
    <t>0111020003</t>
  </si>
  <si>
    <t>Purchase of operational vehicles for SSG's office and Adhoc Bodies</t>
  </si>
  <si>
    <t xml:space="preserve">Renovation of Commission building including partitioniing of Chairman and Member's officesHead Quarters and Zonal Offices (Minor Works)                     , Sand filling and general interlocking of the commission premises                      </t>
  </si>
  <si>
    <t>ICT Training Centre, Asaba</t>
  </si>
  <si>
    <t>Consultancy Service for Delta Towers Abuja.</t>
  </si>
  <si>
    <t>High Court, Otu-Jeremi</t>
  </si>
  <si>
    <t>0112120006</t>
  </si>
  <si>
    <t>Purchase of 150Kva Sound Proof Generator</t>
  </si>
  <si>
    <t xml:space="preserve">Renovation of Sports Commision Athletes Hostel, St.Bridgids,Oshimili South LGA </t>
  </si>
  <si>
    <t>Construction of roads in Federal Housing Estate Ugboroke-Warri</t>
  </si>
  <si>
    <r>
      <t xml:space="preserve">Construction of Obiaruku/Umuebu Road, (Phase I: The First 5 Kilometres from Obiaruku) </t>
    </r>
    <r>
      <rPr>
        <sz val="11.5"/>
        <color indexed="8"/>
        <rFont val="Century Gothic"/>
        <family val="2"/>
      </rPr>
      <t/>
    </r>
  </si>
  <si>
    <t>0111020011</t>
  </si>
  <si>
    <t>Delta State House of Assembly</t>
  </si>
  <si>
    <t>Directorate of Government House &amp; Protocol</t>
  </si>
  <si>
    <t>Office of the Deputy Governor</t>
  </si>
  <si>
    <t>Delta State State Emergency Management Agency (SEMA)</t>
  </si>
  <si>
    <t>0222200025</t>
  </si>
  <si>
    <t>0222200026</t>
  </si>
  <si>
    <t>0222200027</t>
  </si>
  <si>
    <t>0222200028</t>
  </si>
  <si>
    <t>Construction of 5 Spans of 11KV Overhead Line and Installation of 1No 300KVA, 11/0.415KV Transformer S/S at Pastor Agbaebu Street, Okpanam in Oshimili South LGA</t>
  </si>
  <si>
    <t>0517202001</t>
  </si>
  <si>
    <t>Sub-Sector Total</t>
  </si>
  <si>
    <t>Sub Sector Total</t>
  </si>
  <si>
    <t>vi</t>
  </si>
  <si>
    <t>SECTORAL SUMMARY</t>
  </si>
  <si>
    <t>ADMINISTRATION</t>
  </si>
  <si>
    <t>ECONOMIC</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</si>
  <si>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</si>
  <si>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</si>
  <si>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</si>
  <si>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</si>
  <si>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</si>
  <si>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</si>
  <si>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</si>
  <si>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</si>
  <si>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</si>
  <si>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</si>
  <si>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</si>
  <si>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</si>
  <si>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</si>
  <si>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</si>
  <si>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</si>
  <si>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</si>
  <si>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</si>
  <si>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</si>
  <si>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</si>
  <si>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</si>
  <si>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</si>
  <si>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</si>
  <si>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</si>
  <si>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</si>
  <si>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</si>
  <si>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</si>
  <si>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</si>
  <si>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</si>
  <si>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</si>
  <si>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</si>
  <si>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</si>
  <si>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</si>
  <si>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</si>
  <si>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</si>
  <si>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</si>
  <si>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</si>
  <si>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</si>
  <si>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</si>
  <si>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</si>
  <si>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</si>
  <si>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</si>
  <si>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</si>
  <si>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</si>
  <si>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127</t>
  </si>
  <si>
    <t>128</t>
  </si>
  <si>
    <t>129</t>
  </si>
  <si>
    <t>130</t>
  </si>
  <si>
    <t>131</t>
  </si>
  <si>
    <t>132</t>
  </si>
  <si>
    <t>133</t>
  </si>
  <si>
    <t>134</t>
  </si>
  <si>
    <t>135</t>
  </si>
  <si>
    <t>136</t>
  </si>
  <si>
    <t>137</t>
  </si>
  <si>
    <t>138</t>
  </si>
  <si>
    <t>139</t>
  </si>
  <si>
    <t>140</t>
  </si>
  <si>
    <t>141</t>
  </si>
  <si>
    <t>142</t>
  </si>
  <si>
    <t>143</t>
  </si>
  <si>
    <t>144</t>
  </si>
  <si>
    <t xml:space="preserve">Ministry of Agricultre &amp; Natural Resources </t>
  </si>
  <si>
    <t xml:space="preserve"> Ministry of Oil and Gas</t>
  </si>
  <si>
    <t>LAW &amp; JUSTICE</t>
  </si>
  <si>
    <t>REGIONAL</t>
  </si>
  <si>
    <t>SOCIAL</t>
  </si>
  <si>
    <t xml:space="preserve"> </t>
  </si>
  <si>
    <t>Construction of Engr. Oyuba Godspower Street to Link Ibori Road, Oghara in Ethiope West Local Government Area</t>
  </si>
  <si>
    <t>Reinforcement of 500kva, 33kv/0.415kv electricity power supply at Hon. Evance O. Ivwurie and Umono Street in Abraka, Ethiope East LGA</t>
  </si>
  <si>
    <t>0521200056</t>
  </si>
  <si>
    <t>0229120005</t>
  </si>
  <si>
    <t>0229120006</t>
  </si>
  <si>
    <t>0229120007</t>
  </si>
  <si>
    <t>Purchase of Computer Printer</t>
  </si>
  <si>
    <t>Purchase of Bus</t>
  </si>
  <si>
    <t>0112120007</t>
  </si>
  <si>
    <t>0112120008</t>
  </si>
  <si>
    <t>Construction of Solar Power Water Supply Scheme at AT&amp;P. Owey Oghara in Ethiope West Local Government</t>
  </si>
  <si>
    <t>0252200021</t>
  </si>
  <si>
    <t>Construction of DTHA Staff Multi Purpose Corporative Estate Road, Okpanam</t>
  </si>
  <si>
    <t>Construction of Obi Ajudua Road, Ibusa, Oshimili North LGA</t>
  </si>
  <si>
    <t>Construction of Akiewhe/Amiere/Idu Road, Akiewhe-Owhe, Isoko North LGA</t>
  </si>
  <si>
    <t>Construction of Rigid pavement at Osibri-Kpakiama, Bomadi LGA</t>
  </si>
  <si>
    <t>0234200328</t>
  </si>
  <si>
    <t>0234200329</t>
  </si>
  <si>
    <t>0234200330</t>
  </si>
  <si>
    <t>0234200331</t>
  </si>
  <si>
    <t>0234200332</t>
  </si>
  <si>
    <t>0234200333</t>
  </si>
  <si>
    <t>0234200334</t>
  </si>
  <si>
    <t>0234200335</t>
  </si>
  <si>
    <t>0517022031</t>
  </si>
  <si>
    <t>Concrete Landing Jetty at Isaba Community,Warri South West</t>
  </si>
  <si>
    <t>Publicity Enlightenment, Sensitisation and Advocacy</t>
  </si>
  <si>
    <t>Construction of Concrete drains along Idumu-Ebor /Augwe Road, Owa-Alero</t>
  </si>
  <si>
    <t>Construction of 2 Streets in Umutu</t>
  </si>
  <si>
    <t>Construction of 2 Streets in Obiaruku</t>
  </si>
  <si>
    <t>0234200336</t>
  </si>
  <si>
    <t>construction of Factory Road, Orerokpe</t>
  </si>
  <si>
    <t>Construction and Maintenance of Osubi Drainage</t>
  </si>
  <si>
    <t>Re-inforcement of 33 KVA line in Osubi</t>
  </si>
  <si>
    <t>0234200337</t>
  </si>
  <si>
    <t>0234200338</t>
  </si>
  <si>
    <t>Ongoing  Projects</t>
  </si>
  <si>
    <t>Constr. of 1 No 6 Classroom Blocks with Ofices and toilets, renovation of 1 No 3 Classroom blk and supply of 600 students and 44 teachers furniture in Ekade Primary School, Esanma</t>
  </si>
  <si>
    <t>Renovation of 6 classroom blks with stores , toilet blks at Temezubo Primary School, Okpokunu, 6 classroom blk with headmasters office and toilets at Ogbo Primary School, Okpokunu and 6 classroom blocks expanded to include toilet at farade Primary School.</t>
  </si>
  <si>
    <t>Construction of 1 no 6 classroom blks with stores and toilet facilities, examination hall, residence of 4 bedroom flat, Akiewhe Secondary Sch,. Akiewhe-owhe and supply of 732 students and 206 Teachers furniture</t>
  </si>
  <si>
    <t xml:space="preserve">Construction of Prototype 3 classroom blocks with store and toilets at Umuoru Sec, Sch. Umuore, Ndokwa East LGA. II Renovation of No 3 classroom blks at Ozoma Uku Pri. Sch, Ashaka, Ndokwa East LGA 2 nos classroom blocks, Construction of Prototye 3 Classroom Blocks with stores and toilet, Administrative Blks. III supply of 960 students and 180 teachers furniture at selected schools in Ndokwa East </t>
  </si>
  <si>
    <t>Renovation of 6 classroom blocks with offices at Ovwian Secondary School. II Renovation of 6 classrom blocks with offices at Owhrode Secondary School  Owhrode Udu,III construction of 1 No six classroom blks with toilets and offices at Oghior, Udu IV Provision of 280 students furniture and 30 teachers furniture  at selected Schools in Udu</t>
  </si>
  <si>
    <t xml:space="preserve">Renovation of 3 No. 4 Classroom Blocks, Administrative Block. Principal's quarter, Construction office of a blk of 6 toilets sinking of borehole, construction of 6 stanchion and supply of 40 students and twenty Teachers Furniture,gbaregolor </t>
  </si>
  <si>
    <t>Construction of perimeter fencing at ebedei Secondary School, ebedei Ukwuani II Renovation of 1 no six class room blk with two offices and provision of 282 students and 26 teachers furniture, demolition and reconstruction of administrative block, renovation of two classroom blk with 2 offices at Umutu mix secondary school, Umutu, Ukwuani III Supply of 332 students and 40 teachers furniture selected schs in ukwani</t>
  </si>
  <si>
    <t>Construction of block of six classrooms/ Renovation and provision of Chairs / Tables at Ovirianew Primary School 2, Oviri Olomu, Ughelli South LGA</t>
  </si>
  <si>
    <t>0517200401</t>
  </si>
  <si>
    <t>0517200402</t>
  </si>
  <si>
    <t>0517200403</t>
  </si>
  <si>
    <t>0517200404</t>
  </si>
  <si>
    <t>0517200405</t>
  </si>
  <si>
    <t>0517200406</t>
  </si>
  <si>
    <t>0517200407</t>
  </si>
  <si>
    <t>0517200408</t>
  </si>
  <si>
    <t>0517200409</t>
  </si>
  <si>
    <t>0517200410</t>
  </si>
  <si>
    <t>Construction  of Iyogo Road (Phase I &amp; 2)</t>
  </si>
  <si>
    <t>Baptist Mission / Rerri Street link Ajeansan, Oghara</t>
  </si>
  <si>
    <t>Renovation of 1 no 6 classroom block with office,  1 no 3 classroom laboratory block with office, 2 nos 3 classroom blocks with office at erejuwa grammer Sch, Ode-itsekiri II Supply of 479 students and 35 teachers furniture, Warri South 1</t>
  </si>
  <si>
    <t>Construction of Obi-Agbor Road, Ika South LGA</t>
  </si>
  <si>
    <t>0517200411</t>
  </si>
  <si>
    <t>Supply of Teacher's / Students Desk across the State</t>
  </si>
  <si>
    <t>Re-Inforcement/Rehabilitation of Electricity Supply Network across the State</t>
  </si>
  <si>
    <t>0231120061</t>
  </si>
  <si>
    <t>Approved 2020 Budget</t>
  </si>
  <si>
    <t xml:space="preserve">Reconstruction and Rehabilitation of Roads in Osubi </t>
  </si>
  <si>
    <t>023102129</t>
  </si>
  <si>
    <t>Re-Inforcement/Rehabilitation of Electricity Supply Network at Akhiewhe, Isoko North LGA</t>
  </si>
  <si>
    <t>European Union-Niger Delta Support Programme on Water and Sanitation (EU-NDSP-WS) / PEWASH (Partnership for Expanded Water Supply, Sanitation &amp; Hygiene)</t>
  </si>
  <si>
    <t>ADMINISTRATIVE  SECTOR</t>
  </si>
  <si>
    <t>Construction of dedicated 11kv line from 7.5MVA, 33/11KV Transformer substation at Government House Road, Asaba</t>
  </si>
  <si>
    <t>0517022035</t>
  </si>
  <si>
    <t>0517022036</t>
  </si>
  <si>
    <t>Construction, Furnishing and Equipping of Library at Okpokunu in Burutu Local Government Area.</t>
  </si>
  <si>
    <t>Construction, Furnishing and Equipping of Library at Ogbein-Ama in Burutu Local Government Area.</t>
  </si>
  <si>
    <t xml:space="preserve">70435 </t>
  </si>
  <si>
    <t>70435</t>
  </si>
  <si>
    <t xml:space="preserve">70443 </t>
  </si>
  <si>
    <t>00023030108</t>
  </si>
  <si>
    <t>040120001</t>
  </si>
  <si>
    <t>041220039</t>
  </si>
  <si>
    <t>041220040</t>
  </si>
  <si>
    <t>041220041</t>
  </si>
  <si>
    <t>041220042</t>
  </si>
  <si>
    <t>041220043</t>
  </si>
  <si>
    <t>041220044</t>
  </si>
  <si>
    <t>041220045</t>
  </si>
  <si>
    <t>041220046</t>
  </si>
  <si>
    <t>041220047</t>
  </si>
  <si>
    <t>Purchase and replacement of burnt 1No. 2.5MVA, 33/11KVA, 11/0.415KV Injection Transformer at Mosogar and 2Nos 300KVA, 33/11KV transformers</t>
  </si>
  <si>
    <t>Renovation / Rehabilitation of 1No.6 classroom block, / Furnishing and erection of standard School sign post with the name of the school and State Logo at Tuomo Grammar School, Tuomo, Burutu Constituency II.</t>
  </si>
  <si>
    <t>Renovation of Six (6) Classroom Block and supply of Students and Teacher's  furniture to Akugbene Grammar School, Akugbene</t>
  </si>
  <si>
    <t>Furnishing and Equiping of Governor's Lodge Lagos and VIP Guest House</t>
  </si>
  <si>
    <t>0141190012</t>
  </si>
  <si>
    <t>0141190013</t>
  </si>
  <si>
    <t>0141190014</t>
  </si>
  <si>
    <t>0141190015</t>
  </si>
  <si>
    <t>0141190016</t>
  </si>
  <si>
    <t>0141190017</t>
  </si>
  <si>
    <t>0141190018</t>
  </si>
  <si>
    <t>0141190019</t>
  </si>
  <si>
    <t>0141190020</t>
  </si>
  <si>
    <t>Equipment of Office Library</t>
  </si>
  <si>
    <t>Printing of Audit Certificates</t>
  </si>
  <si>
    <t>Telephones</t>
  </si>
  <si>
    <t>0140200009</t>
  </si>
  <si>
    <t>Equipment for Library</t>
  </si>
  <si>
    <t>Printing of Audit Certificate</t>
  </si>
  <si>
    <t>PROPOSED 2020 AMENDED BUDGET CAP LIMIT.</t>
  </si>
  <si>
    <t>Available CAPEX:</t>
  </si>
  <si>
    <t>Proposed CAP</t>
  </si>
  <si>
    <t>Proposal by MDA</t>
  </si>
  <si>
    <t>Proposed Revised Budget @ $30</t>
  </si>
  <si>
    <t>Proposed Revised Budget @ $20 - 1.7mbpd + 4 months actual receipt</t>
  </si>
  <si>
    <t xml:space="preserve">Proposed Revised Budget @ $20 </t>
  </si>
  <si>
    <t>B</t>
  </si>
  <si>
    <t>C</t>
  </si>
  <si>
    <t>D</t>
  </si>
  <si>
    <t>E</t>
  </si>
  <si>
    <t xml:space="preserve">Board of Internal Revenue </t>
  </si>
  <si>
    <t>61</t>
  </si>
  <si>
    <t>62</t>
  </si>
  <si>
    <t>63</t>
  </si>
  <si>
    <t>64</t>
  </si>
  <si>
    <t>65</t>
  </si>
  <si>
    <t>66</t>
  </si>
  <si>
    <t>67</t>
  </si>
  <si>
    <t>68</t>
  </si>
  <si>
    <t xml:space="preserve">Girl Child </t>
  </si>
  <si>
    <t>69</t>
  </si>
  <si>
    <t>70</t>
  </si>
  <si>
    <t>71</t>
  </si>
  <si>
    <t>Contingency: Health (COVID-19)</t>
  </si>
  <si>
    <t>72</t>
  </si>
  <si>
    <t>73</t>
  </si>
  <si>
    <t>Counterpart Funds.</t>
  </si>
  <si>
    <t xml:space="preserve">Total </t>
  </si>
  <si>
    <t>HE Intervetion</t>
  </si>
  <si>
    <t>MEP Intervention</t>
  </si>
  <si>
    <t>Total ALLOCATED</t>
  </si>
  <si>
    <t>N.B.</t>
  </si>
  <si>
    <t xml:space="preserve">The total amount for CAPEX when using $20 MBPD @ N360 Exchange Rate as projected by FSP and Jan - April, 2020 Actual Revenue Receipt after taking care of recurrent expenditure is N118.8bn of the total  N274.7bn budget size.  Out of the N118.8bn, the sum of N2bn is set aside for HE's Contingency fund, N1bn for Contingency (COVID-19), N1.5bn for State Universal Basic Education Board (SUBEB), N1bn for Social Security,  N800m for Counterpart Fund and N500m for Legacy / Old Debt. We set aside the sum of N8bn for HE's intervetion and N2bn for MEP intervetion.  What will be available to be distributed to MDAs is to cater and consider commitments and critical projects in sharing the available CAPEX to MDAs. </t>
  </si>
  <si>
    <t>MDAs Submission</t>
  </si>
  <si>
    <t>Directoate Of Establishment &amp; Pension</t>
  </si>
  <si>
    <t>HC INTERVENTION</t>
  </si>
  <si>
    <t>Completion and construction of 200 Nos. three (3) and four (4) Bedroom Bungalow at Okerenkoko New Town Dev. Project in Warri-South West LGA</t>
  </si>
  <si>
    <t>Renovation of flats at the Permanent Secretaries Quarters</t>
  </si>
  <si>
    <t>Judicial Service Commission</t>
  </si>
  <si>
    <t>-</t>
  </si>
  <si>
    <t>Development of Archives</t>
  </si>
  <si>
    <t>Removal of illegal structures</t>
  </si>
  <si>
    <t>Purchase of Office Computers/computerization</t>
  </si>
  <si>
    <t>0231120062</t>
  </si>
  <si>
    <t>Uniform/Raincoat</t>
  </si>
  <si>
    <t>Development of Learning Mnagement System</t>
  </si>
  <si>
    <t>0517202002</t>
  </si>
  <si>
    <t>0517202003</t>
  </si>
  <si>
    <t>Rehabilitation/Renovation of Vocational Education Centres in the State</t>
  </si>
  <si>
    <t>Construction/Opening of Vocational Education Centres in the State</t>
  </si>
  <si>
    <t>Supply and Provision of Technical Equipmnt, Tools and Furniture for the Vocational Education Centres in the State</t>
  </si>
  <si>
    <t>0402010000.001</t>
  </si>
  <si>
    <t>0402010000.002</t>
  </si>
  <si>
    <t>0402010000.003</t>
  </si>
  <si>
    <t>0402010000.004</t>
  </si>
  <si>
    <t>0402010000.005</t>
  </si>
  <si>
    <t>0402010000.006</t>
  </si>
  <si>
    <t>0402010000.007</t>
  </si>
  <si>
    <t>0402010000.008</t>
  </si>
  <si>
    <t>0402010000.009</t>
  </si>
  <si>
    <t>0402010000.010</t>
  </si>
  <si>
    <t>0402010000.011</t>
  </si>
  <si>
    <t>0402010000.012</t>
  </si>
  <si>
    <t>0402010000.013</t>
  </si>
  <si>
    <t>0402010000.014</t>
  </si>
  <si>
    <t>0402010000.015</t>
  </si>
  <si>
    <t>0402010000.016</t>
  </si>
  <si>
    <t>0402010000.017</t>
  </si>
  <si>
    <t>0402010000.018</t>
  </si>
  <si>
    <t>0402010000.019</t>
  </si>
  <si>
    <t>0402010000.020</t>
  </si>
  <si>
    <t>0402010000.021</t>
  </si>
  <si>
    <t>0402010000.022</t>
  </si>
  <si>
    <t>0402010000.023</t>
  </si>
  <si>
    <t>0402010000.024</t>
  </si>
  <si>
    <t>0402010000.025</t>
  </si>
  <si>
    <t>0402010000.026</t>
  </si>
  <si>
    <t>0402010000.027</t>
  </si>
  <si>
    <t>0402010000.028</t>
  </si>
  <si>
    <t>0402010000.029</t>
  </si>
  <si>
    <t>0402010000.030</t>
  </si>
  <si>
    <t>0402010000.031</t>
  </si>
  <si>
    <t>0402010000.032</t>
  </si>
  <si>
    <t>Road Development in Asaba Capital Territory</t>
  </si>
  <si>
    <t>0402010000.033</t>
  </si>
  <si>
    <t>0402010000.034</t>
  </si>
  <si>
    <t>Construction of food vendor zones and roundabouts within the Delta State Capital Territory</t>
  </si>
  <si>
    <t>0402010000.035</t>
  </si>
  <si>
    <t>0402010000.036</t>
  </si>
  <si>
    <t>0402010000.037</t>
  </si>
  <si>
    <t>Construction of Jeremaiah Eboh Street /Nwawolor Road/Franca Nkem Okolo Street/Sir Obiorah Obidigwe Street and Discharge Drain to Ngozi  Eborah Street, Okpanam in Oshimili North L.G.A.</t>
  </si>
  <si>
    <t>0402010000.038</t>
  </si>
  <si>
    <t>Reclamation and Construction of Asphalt Roads and Concrete Channels Along Gully Lines on Dada Street/ Ezechinyere Street/ Ibekachukwu Street/ Rukevwe Omamofo Street/ NNPC Road in Okpanam Oshimili North L.G.A.</t>
  </si>
  <si>
    <t>0402010000.039</t>
  </si>
  <si>
    <t>Rehabilitation of Onaje Street/Nwanze Street/Kwekeabor Street, Asaba, Oshimili South Local Government Area of the State Capital Territory.</t>
  </si>
  <si>
    <t>0402010000.040</t>
  </si>
  <si>
    <t>Construction of 2.1km Link Roads to Hospital Road and Amb. Raph Uwachue Road, Oshimili South Local Government Area Asaba.</t>
  </si>
  <si>
    <t>0402010000.041</t>
  </si>
  <si>
    <t>Construction of Roads at GRA Phase V, Asaba, Oshimili South, LGA.</t>
  </si>
  <si>
    <t>0402010000.042</t>
  </si>
  <si>
    <t>Construction of Concrete Channel Along Natural Water Course from Lawrence Ekwuabu Junction of Madonna College Road to Chuks Nwosu Junction of Amaechi Iyio Way, Asaba, Oshimili South Local Government Area.</t>
  </si>
  <si>
    <t>0402010000.043</t>
  </si>
  <si>
    <t>Construction Ugwu Nwosu Road, Ugbolu, Oshimili North L.G.A of the State Capital Territory.</t>
  </si>
  <si>
    <t>0402010000.044</t>
  </si>
  <si>
    <t>Construction of Peter Obiogo Street, Chief Teddy Okolo Street And Chris Okonkwo Street, Ibusa Road, Asaba Oshimili South Local Government Area of The State Capital Territory.</t>
  </si>
  <si>
    <t>0402010000.045</t>
  </si>
  <si>
    <t>Construction of Isoko Drive/Sir Eric Obiazi Street/Madagwa Street, Asaba, Oshimili South L.G.A .</t>
  </si>
  <si>
    <t>0402010000.046</t>
  </si>
  <si>
    <t>Construction of Prince Paul Oputa  Street/Danai Bright Drive/ Ebute Street/Hon. Daniel Yingi Street/Norka Ogoegbulem Street/Thomas Avenue/justin Ojinika Street Okpanam, Oshimili North L.G.A.</t>
  </si>
  <si>
    <t>0402010000.047</t>
  </si>
  <si>
    <t>Construction of Road Network Within the Delta Development And Property Authourity (DDPA) Housing Estate, Oshimili South Local Government Area Asaba, (Phase I).</t>
  </si>
  <si>
    <t>0402010000.048</t>
  </si>
  <si>
    <t>Construction of Chinedu Obodo  and Agada Streets, Asaba of the State Capital Territory.</t>
  </si>
  <si>
    <t>0402010000.049</t>
  </si>
  <si>
    <t>Construction of Asagba Palace        Road, Off Nnebisi Road, By UBA,        Asaba, OshimiliSouth L.G.A, (Phase II).</t>
  </si>
  <si>
    <t>0402010000.050</t>
  </si>
  <si>
    <t>Reconstruction of Marine Road, Asaba.</t>
  </si>
  <si>
    <t>0402010000.051</t>
  </si>
  <si>
    <t>Construction of Dan Ngozi Iyio Drive, Asaba, Oshimili South L.G.A.</t>
  </si>
  <si>
    <t>0402010000.052</t>
  </si>
  <si>
    <t>Construction of Bright Ndubuisi Street,Off Okpanam Road,Asaba,Oshimili South LGA.</t>
  </si>
  <si>
    <t>0402010000.053</t>
  </si>
  <si>
    <t>Const. of Access Rd to St. Luke Anglican Church, Core Area Asaba</t>
  </si>
  <si>
    <t>0402010000.054</t>
  </si>
  <si>
    <t>Construction of Bellmouths and Channelization of  Road Intersections in the State Capital Territory.</t>
  </si>
  <si>
    <t>0402010000.055</t>
  </si>
  <si>
    <t>Construction of Comrade Oyana Kennedy Crescent/Jaycee Isitua Str./Noris Ifinedo Avenue,Asaba,Oshimili South LGA.</t>
  </si>
  <si>
    <t>0402010000.056</t>
  </si>
  <si>
    <t>Construction of Odogwu Nwabuoku Drive,Okpanam, Oshimili North LGA</t>
  </si>
  <si>
    <t>0402010000.057</t>
  </si>
  <si>
    <t>Construction of Drains within Liberty Estate,Asaba,Oshimili South LGA.</t>
  </si>
  <si>
    <t>0402010000.058</t>
  </si>
  <si>
    <t>Construction of drains and Sewer at Otu-Ogwu Road,off Nnebisi Road,Asaba,Oshimili South LGA.</t>
  </si>
  <si>
    <t>0402010000.059</t>
  </si>
  <si>
    <t>Construction of Ifeanyinchukwu Nwagbo Drive,Off Infant Jesus Road,Asaba,Oshimili South LGA.</t>
  </si>
  <si>
    <t>0402010000.060</t>
  </si>
  <si>
    <t>Construction of Airport View Estate Road off Okpanam Road,Okpanam,Oshimili North LGA.</t>
  </si>
  <si>
    <t>0402010000.061</t>
  </si>
  <si>
    <t>Construction of Anthony Usenu Street,off Okpanam Road,Asaba,Oshimili South LGA.</t>
  </si>
  <si>
    <t>0402010000.062</t>
  </si>
  <si>
    <t>Rehabilitation and Installation of Solar Powered Street Lights in the Capital Territory.</t>
  </si>
  <si>
    <t>0402010000.063</t>
  </si>
  <si>
    <t>Completion of Eke/Issele-Uku Road.</t>
  </si>
  <si>
    <t>0402010000.064</t>
  </si>
  <si>
    <t>Construction of Drains along Immigration Road with spurto FRSC Premises Ibusa, Oshimili North LGA.</t>
  </si>
  <si>
    <t>0402010000.065</t>
  </si>
  <si>
    <t>Construction of Oliko  Street Andy Oliko Crescent and Adizua Onochie Street, Off Anwai Road, Oshimili South</t>
  </si>
  <si>
    <t>0402010000.066</t>
  </si>
  <si>
    <t>Reconstruction of kingsley Emu Street Oshimili South</t>
  </si>
  <si>
    <t>0402010000.067</t>
  </si>
  <si>
    <t xml:space="preserve">Construction of Professor Lawrance Eduvi Avenue </t>
  </si>
  <si>
    <t>0402010000.068</t>
  </si>
  <si>
    <t xml:space="preserve">Construction of Shekinna Love Assembly </t>
  </si>
  <si>
    <t>0402010000.069</t>
  </si>
  <si>
    <t>Construction Cletus Achi Way / Marble Hill School Road with Spur to Holy Family Catholic Church Road, Okpanam, Oshimili North L.G.A</t>
  </si>
  <si>
    <t>0402010000.070</t>
  </si>
  <si>
    <t>Asphalt Overlay of Roads In Delta State Capital Territory</t>
  </si>
  <si>
    <t>0402010000.071</t>
  </si>
  <si>
    <t>Construction of Access Road to Plots 6 and 7 in Liberty Estate Oshimili South L.G.A</t>
  </si>
  <si>
    <t>0402010000.072</t>
  </si>
  <si>
    <t>Construction Tom Adigwu Street, Off DLA Road, Oshimili South L.G.A</t>
  </si>
  <si>
    <t>0402010000.073</t>
  </si>
  <si>
    <t>Maintenance of Pot Holes in Asaba Oshimili South L.G.A</t>
  </si>
  <si>
    <t>0402010000.074</t>
  </si>
  <si>
    <t>Construction of Hon Ifeanyichukwu Egbuniwe Street Senator Stella Omu Street GRA Off Dan Okenyi Street by Cenotaph, Asaba Oshimili South L.G.A</t>
  </si>
  <si>
    <t>00023030118</t>
  </si>
  <si>
    <t>00023030105</t>
  </si>
  <si>
    <t>00023030109</t>
  </si>
  <si>
    <t>00023030110</t>
  </si>
  <si>
    <t>00023030111</t>
  </si>
  <si>
    <t>00023030112</t>
  </si>
  <si>
    <t>00023030113</t>
  </si>
  <si>
    <t>00023030115</t>
  </si>
  <si>
    <t>00023030116</t>
  </si>
  <si>
    <t>00030000010105</t>
  </si>
  <si>
    <t>0521200057</t>
  </si>
  <si>
    <t>Renovation of Female Hostel, Abraka</t>
  </si>
  <si>
    <t>science &amp;</t>
  </si>
  <si>
    <t>Corona Virus Outbreak Activities (COVID-19)</t>
  </si>
  <si>
    <t>Delta State Emergency Management Agency (SEMA)</t>
  </si>
  <si>
    <t>Directorate Of Establishment &amp; Pension</t>
  </si>
  <si>
    <t>Payment for on-going Projects</t>
  </si>
  <si>
    <t>0111020027</t>
  </si>
  <si>
    <t>Hooking of 8(No) field offices to national grid</t>
  </si>
  <si>
    <t>Procurement of furniture for field offices</t>
  </si>
  <si>
    <t>Painting &amp; Maintenance of Offices</t>
  </si>
  <si>
    <t>Printing of Letter Head Papers, Tax Assessment Forms &amp; Files</t>
  </si>
  <si>
    <t>Publicity &amp; Memorabilia</t>
  </si>
  <si>
    <t>0220220002</t>
  </si>
  <si>
    <t>0220220003</t>
  </si>
  <si>
    <t>0220220004</t>
  </si>
  <si>
    <t>0220220005</t>
  </si>
  <si>
    <t>Minor Works (Renovation of Commission Building including Partitioning of Chairman &amp; Members Offices, Sand Filling &amp; General Interlocking of the Commission's Premises).</t>
  </si>
  <si>
    <t>Provision of potable water, Ogwashi-Uku Polytechnic, Ogwashi-Uku</t>
  </si>
  <si>
    <t>Renovation / Rehabilitation / Construction Public Primary &amp; Secondary Schools Across the State (Critical/Palliative Projects).</t>
  </si>
  <si>
    <t>Furniture</t>
  </si>
  <si>
    <t>Equipment</t>
  </si>
  <si>
    <t>Uniform, Umbrella and Raincoat</t>
  </si>
  <si>
    <t xml:space="preserve">Fumigation </t>
  </si>
  <si>
    <t>Printing</t>
  </si>
  <si>
    <t>F504010600</t>
  </si>
  <si>
    <t>00022020305</t>
  </si>
  <si>
    <t>00022020202</t>
  </si>
  <si>
    <t>00220000030101</t>
  </si>
  <si>
    <t>0535120001</t>
  </si>
  <si>
    <t>0535120002</t>
  </si>
  <si>
    <t>0535120003</t>
  </si>
  <si>
    <t>0535120004</t>
  </si>
  <si>
    <t>0535120005</t>
  </si>
  <si>
    <t>0535120006</t>
  </si>
  <si>
    <t>0535120007</t>
  </si>
  <si>
    <t>0535120008</t>
  </si>
  <si>
    <t>0238200020</t>
  </si>
  <si>
    <t>623872114</t>
  </si>
  <si>
    <t>0111320017</t>
  </si>
  <si>
    <t>Palliative Measures</t>
  </si>
  <si>
    <t>CRP</t>
  </si>
  <si>
    <t>Provision for Sloar Power Facility for Data Centre</t>
  </si>
  <si>
    <t>Fertilizer Programme</t>
  </si>
  <si>
    <t>Special Agricultural Intervention (Assistance to small outgrowers)</t>
  </si>
  <si>
    <t>0215020034</t>
  </si>
  <si>
    <t>0215020035</t>
  </si>
  <si>
    <t>0222120006</t>
  </si>
  <si>
    <t>Small Scale and Medium Enterprises Support Programme</t>
  </si>
  <si>
    <t>Small Town Water Supply Agency (STOWASA)</t>
  </si>
  <si>
    <t>COVID Responsive Projects</t>
  </si>
  <si>
    <t>NCR</t>
  </si>
  <si>
    <t>Social Investment Programmes (Cash Transfer, Safety Nets, e.t.c.) (CARES).</t>
  </si>
  <si>
    <t>0521200058</t>
  </si>
  <si>
    <t>0521200059</t>
  </si>
  <si>
    <t>Provision of Personal Protective Equioments</t>
  </si>
  <si>
    <t>Medications</t>
  </si>
  <si>
    <t>Purchase of office funiture</t>
  </si>
  <si>
    <t>Proposed 2020 Revised Budget</t>
  </si>
  <si>
    <t>0517220031</t>
  </si>
  <si>
    <t>PROPOSED DELTA STATE GOVERNMENT 2020 REVISED CAPITAL BUDGET SUMMARY</t>
  </si>
  <si>
    <t>Construction of Fire Service Station at Koko, Water Hydrants/Borehole in Strategic locations in the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</si>
</sst>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 #,##0.00_-;_-* &quot;-&quot;??_-;_-@_-"/>
    <numFmt numFmtId="165" formatCode="_(* #,##0_);_(* \(#,##0\);_(* &quot;-&quot;??_);_(@_)"/>
    <numFmt numFmtId="166" formatCode="_-* #,##0_-;\-* #,##0_-;_-* &quot;-&quot;??_-;_-@_-"/>
    <numFmt numFmtId="167" formatCode="0.0%"/>
    <numFmt numFmtId="168" formatCode="00000000000000"/>
  </numFmts>
  <fonts count="52" x14ac:knownFonts="1">
    <font>
      <sz val="11"/>
      <color theme="1"/>
      <name val="Calibri"/>
      <family val="2"/>
      <scheme val="minor"/>
    </font>
    <font>
      <sz val="10"/>
      <name val="Arial"/>
      <family val="2"/>
    </font>
    <font>
      <sz val="10"/>
      <color indexed="8"/>
      <name val="Arial"/>
      <family val="2"/>
    </font>
    <font>
      <sz val="8"/>
      <name val="Calibri"/>
      <family val="2"/>
    </font>
    <font>
      <sz val="11"/>
      <color indexed="8"/>
      <name val="Calibri"/>
      <family val="2"/>
    </font>
    <font>
      <sz val="16"/>
      <color indexed="8"/>
      <name val="Tahoma"/>
      <family val="2"/>
    </font>
    <font>
      <b/>
      <sz val="9"/>
      <color indexed="81"/>
      <name val="Tahoma"/>
      <family val="2"/>
    </font>
    <font>
      <sz val="9"/>
      <color indexed="81"/>
      <name val="Tahoma"/>
      <family val="2"/>
    </font>
    <font>
      <sz val="11.5"/>
      <color indexed="8"/>
      <name val="Century Gothic"/>
      <family val="2"/>
    </font>
    <font>
      <sz val="11"/>
      <color theme="1"/>
      <name val="Calibri"/>
      <family val="2"/>
      <scheme val="minor"/>
    </font>
    <font>
      <sz val="11"/>
      <color theme="1"/>
      <name val="Calibri"/>
      <family val="2"/>
      <charset val="1"/>
      <scheme val="minor"/>
    </font>
    <font>
      <sz val="12"/>
      <color theme="1"/>
      <name val="Calibri"/>
      <family val="2"/>
      <scheme val="minor"/>
    </font>
    <font>
      <b/>
      <sz val="18"/>
      <color rgb="FF000000"/>
      <name val="Tahoma"/>
      <family val="2"/>
    </font>
    <font>
      <b/>
      <sz val="18"/>
      <color rgb="FF000000"/>
      <name val="Times New Roman"/>
      <family val="1"/>
    </font>
    <font>
      <b/>
      <sz val="18"/>
      <color rgb="FF000000"/>
      <name val="Calibri"/>
      <family val="2"/>
    </font>
    <font>
      <sz val="18"/>
      <color theme="1"/>
      <name val="Calibri"/>
      <family val="2"/>
    </font>
    <font>
      <sz val="18"/>
      <color theme="1"/>
      <name val="Times New Roman"/>
      <family val="1"/>
    </font>
    <font>
      <sz val="18"/>
      <color rgb="FF000000"/>
      <name val="Times New Roman"/>
      <family val="1"/>
    </font>
    <font>
      <b/>
      <sz val="18"/>
      <color theme="1"/>
      <name val="Times New Roman"/>
      <family val="1"/>
    </font>
    <font>
      <b/>
      <sz val="18"/>
      <color theme="1"/>
      <name val="Calibri"/>
      <family val="2"/>
    </font>
    <font>
      <sz val="16"/>
      <color theme="1"/>
      <name val="Calibri"/>
      <family val="2"/>
      <scheme val="minor"/>
    </font>
    <font>
      <sz val="18"/>
      <color theme="1"/>
      <name val="Calibri"/>
      <family val="2"/>
      <scheme val="minor"/>
    </font>
    <font>
      <b/>
      <sz val="18"/>
      <color theme="1"/>
      <name val="Calibri"/>
      <family val="2"/>
      <scheme val="minor"/>
    </font>
    <font>
      <b/>
      <sz val="16"/>
      <color rgb="FF000000"/>
      <name val="Tahoma"/>
      <family val="2"/>
    </font>
    <font>
      <b/>
      <sz val="16"/>
      <color theme="1"/>
      <name val="Calibri"/>
      <family val="2"/>
      <scheme val="minor"/>
    </font>
    <font>
      <sz val="16"/>
      <color rgb="FF000000"/>
      <name val="Tahoma"/>
      <family val="2"/>
    </font>
    <font>
      <sz val="16"/>
      <color rgb="FF000000"/>
      <name val="Calibri"/>
      <family val="2"/>
    </font>
    <font>
      <sz val="14"/>
      <color theme="1"/>
      <name val="Times New Roman"/>
      <family val="1"/>
    </font>
    <font>
      <b/>
      <u/>
      <sz val="16"/>
      <name val="Tahoma"/>
      <family val="2"/>
    </font>
    <font>
      <b/>
      <sz val="16"/>
      <name val="Tahoma"/>
      <family val="2"/>
    </font>
    <font>
      <sz val="16"/>
      <name val="Tahoma"/>
      <family val="2"/>
    </font>
    <font>
      <sz val="16"/>
      <name val="Arial"/>
      <family val="2"/>
    </font>
    <font>
      <sz val="18"/>
      <color rgb="FF000000"/>
      <name val="Tahoma"/>
      <family val="2"/>
    </font>
    <font>
      <sz val="18"/>
      <name val="Times New Roman"/>
      <family val="1"/>
    </font>
    <font>
      <b/>
      <sz val="18"/>
      <name val="Times New Roman"/>
      <family val="1"/>
    </font>
    <font>
      <sz val="18"/>
      <color rgb="FF000000"/>
      <name val="Calibri"/>
      <family val="2"/>
    </font>
    <font>
      <sz val="16"/>
      <name val="Times New Roman"/>
      <family val="1"/>
    </font>
    <font>
      <b/>
      <sz val="22"/>
      <name val="Times New Roman"/>
      <family val="1"/>
    </font>
    <font>
      <b/>
      <sz val="20"/>
      <name val="Times New Roman"/>
      <family val="1"/>
    </font>
    <font>
      <b/>
      <sz val="24"/>
      <name val="Times New Roman"/>
      <family val="1"/>
    </font>
    <font>
      <b/>
      <u/>
      <sz val="18"/>
      <color rgb="FF000000"/>
      <name val="Times New Roman"/>
      <family val="1"/>
    </font>
    <font>
      <sz val="8"/>
      <name val="Calibri"/>
      <family val="2"/>
      <scheme val="minor"/>
    </font>
    <font>
      <sz val="20"/>
      <color rgb="FF000000"/>
      <name val="Times New Roman"/>
      <family val="1"/>
    </font>
    <font>
      <sz val="20"/>
      <color theme="1"/>
      <name val="Calibri"/>
      <family val="2"/>
      <scheme val="minor"/>
    </font>
    <font>
      <b/>
      <sz val="20"/>
      <color rgb="FF000000"/>
      <name val="Times New Roman"/>
      <family val="1"/>
    </font>
    <font>
      <sz val="20"/>
      <color rgb="FFFF0000"/>
      <name val="Calibri"/>
      <family val="2"/>
      <scheme val="minor"/>
    </font>
    <font>
      <b/>
      <sz val="20"/>
      <color theme="1"/>
      <name val="Calibri"/>
      <family val="2"/>
      <scheme val="minor"/>
    </font>
    <font>
      <b/>
      <sz val="11"/>
      <color theme="1"/>
      <name val="Calibri"/>
      <family val="2"/>
      <scheme val="minor"/>
    </font>
    <font>
      <b/>
      <sz val="10"/>
      <name val="Tahoma"/>
      <family val="2"/>
    </font>
    <font>
      <b/>
      <sz val="11"/>
      <color rgb="FF000000"/>
      <name val="Calibri"/>
      <family val="2"/>
    </font>
    <font>
      <sz val="14"/>
      <color rgb="FF000000"/>
      <name val="Calibri"/>
      <family val="2"/>
    </font>
    <font>
      <sz val="20"/>
      <color rgb="FF000000"/>
      <name val="Calibri"/>
      <family val="2"/>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CCFFFF"/>
        <bgColor rgb="FF000000"/>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5">
    <xf numFmtId="0" fontId="0" fillId="0" borderId="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1" fillId="0" borderId="0"/>
    <xf numFmtId="0" fontId="2" fillId="0" borderId="0"/>
    <xf numFmtId="0" fontId="10" fillId="0" borderId="0"/>
    <xf numFmtId="0" fontId="2" fillId="0" borderId="0"/>
    <xf numFmtId="0" fontId="2" fillId="0" borderId="0"/>
    <xf numFmtId="0" fontId="2" fillId="0" borderId="0"/>
    <xf numFmtId="0" fontId="11" fillId="0" borderId="0"/>
    <xf numFmtId="0" fontId="1" fillId="0" borderId="0">
      <alignment wrapText="1"/>
    </xf>
    <xf numFmtId="0" fontId="4" fillId="0" borderId="0"/>
    <xf numFmtId="9" fontId="9" fillId="0" borderId="0" applyFont="0" applyFill="0" applyBorder="0" applyAlignment="0" applyProtection="0"/>
    <xf numFmtId="0" fontId="9" fillId="0" borderId="0"/>
    <xf numFmtId="43" fontId="9" fillId="0" borderId="0" applyFont="0" applyFill="0" applyBorder="0" applyAlignment="0" applyProtection="0"/>
  </cellStyleXfs>
  <cellXfs count="744">
    <xf numFmtId="0" fontId="0" fillId="0" borderId="0" xfId="0"/>
    <xf numFmtId="0" fontId="12" fillId="0" borderId="0" xfId="0" applyFont="1"/>
    <xf numFmtId="0" fontId="14" fillId="0" borderId="1" xfId="0" applyFont="1" applyBorder="1"/>
    <xf numFmtId="0" fontId="15" fillId="0" borderId="1" xfId="0" applyFont="1" applyBorder="1"/>
    <xf numFmtId="0" fontId="15" fillId="0" borderId="1" xfId="0" applyFont="1" applyBorder="1" applyAlignment="1">
      <alignment wrapText="1"/>
    </xf>
    <xf numFmtId="0" fontId="16" fillId="0" borderId="0" xfId="0" applyFont="1"/>
    <xf numFmtId="0" fontId="17" fillId="0" borderId="1" xfId="0" applyFont="1" applyBorder="1"/>
    <xf numFmtId="0" fontId="13" fillId="0" borderId="1" xfId="0" applyFont="1" applyBorder="1"/>
    <xf numFmtId="0" fontId="18" fillId="0" borderId="1" xfId="0" applyFont="1" applyBorder="1"/>
    <xf numFmtId="166" fontId="15" fillId="0" borderId="0" xfId="1" applyNumberFormat="1" applyFont="1"/>
    <xf numFmtId="166" fontId="14" fillId="0" borderId="1" xfId="1" applyNumberFormat="1" applyFont="1" applyBorder="1"/>
    <xf numFmtId="166" fontId="19" fillId="0" borderId="1" xfId="1" applyNumberFormat="1" applyFont="1" applyBorder="1"/>
    <xf numFmtId="166" fontId="15" fillId="0" borderId="1" xfId="1" applyNumberFormat="1" applyFont="1" applyBorder="1"/>
    <xf numFmtId="166" fontId="16" fillId="0" borderId="0" xfId="1" applyNumberFormat="1" applyFont="1"/>
    <xf numFmtId="166" fontId="17" fillId="0" borderId="1" xfId="1" applyNumberFormat="1" applyFont="1" applyBorder="1"/>
    <xf numFmtId="166" fontId="13" fillId="0" borderId="1" xfId="1" applyNumberFormat="1" applyFont="1" applyBorder="1"/>
    <xf numFmtId="166" fontId="20" fillId="0" borderId="1" xfId="1" applyNumberFormat="1" applyFont="1" applyBorder="1"/>
    <xf numFmtId="166" fontId="21" fillId="0" borderId="0" xfId="1" applyNumberFormat="1" applyFont="1"/>
    <xf numFmtId="166" fontId="21" fillId="0" borderId="1" xfId="1" applyNumberFormat="1" applyFont="1" applyBorder="1"/>
    <xf numFmtId="0" fontId="23" fillId="0" borderId="1" xfId="0" applyFont="1" applyBorder="1" applyAlignment="1">
      <alignment horizontal="center" vertical="center" wrapText="1"/>
    </xf>
    <xf numFmtId="0" fontId="24" fillId="0" borderId="1" xfId="0" applyFont="1" applyBorder="1" applyAlignment="1">
      <alignment horizontal="center"/>
    </xf>
    <xf numFmtId="166" fontId="24" fillId="0" borderId="1" xfId="1" applyNumberFormat="1" applyFont="1" applyBorder="1" applyAlignment="1">
      <alignment horizontal="center" wrapText="1"/>
    </xf>
    <xf numFmtId="166" fontId="24" fillId="0" borderId="1" xfId="1" applyNumberFormat="1" applyFont="1" applyBorder="1" applyAlignment="1">
      <alignment horizontal="center"/>
    </xf>
    <xf numFmtId="0" fontId="20" fillId="0" borderId="1" xfId="0" quotePrefix="1" applyFont="1" applyBorder="1" applyAlignment="1">
      <alignment horizontal="center"/>
    </xf>
    <xf numFmtId="0" fontId="25" fillId="0" borderId="1" xfId="0" applyFont="1" applyBorder="1" applyAlignment="1">
      <alignment vertical="center" wrapText="1"/>
    </xf>
    <xf numFmtId="164" fontId="26" fillId="0" borderId="1" xfId="1" applyFont="1" applyBorder="1"/>
    <xf numFmtId="0" fontId="25" fillId="0" borderId="1" xfId="0" applyFont="1" applyBorder="1"/>
    <xf numFmtId="3" fontId="5" fillId="0" borderId="1" xfId="21" applyNumberFormat="1" applyFont="1" applyBorder="1" applyProtection="1">
      <protection locked="0"/>
    </xf>
    <xf numFmtId="0" fontId="24" fillId="0" borderId="1" xfId="0" applyFont="1" applyBorder="1"/>
    <xf numFmtId="166" fontId="24" fillId="0" borderId="1" xfId="1" applyNumberFormat="1" applyFont="1" applyBorder="1"/>
    <xf numFmtId="0" fontId="20" fillId="0" borderId="1" xfId="0" quotePrefix="1" applyFont="1" applyFill="1" applyBorder="1" applyAlignment="1">
      <alignment horizontal="center"/>
    </xf>
    <xf numFmtId="0" fontId="25" fillId="0" borderId="1" xfId="0" applyFont="1" applyFill="1" applyBorder="1"/>
    <xf numFmtId="166" fontId="20" fillId="0" borderId="1" xfId="1" applyNumberFormat="1" applyFont="1" applyFill="1" applyBorder="1"/>
    <xf numFmtId="164" fontId="26" fillId="0" borderId="1" xfId="1" applyFont="1" applyFill="1" applyBorder="1"/>
    <xf numFmtId="0" fontId="25" fillId="0" borderId="1" xfId="0" applyFont="1" applyFill="1" applyBorder="1" applyAlignment="1">
      <alignment vertical="center" wrapText="1"/>
    </xf>
    <xf numFmtId="0" fontId="25" fillId="6" borderId="1" xfId="0" applyFont="1" applyFill="1" applyBorder="1" applyAlignment="1">
      <alignment vertical="center" wrapText="1"/>
    </xf>
    <xf numFmtId="166" fontId="20" fillId="6" borderId="1" xfId="1" applyNumberFormat="1" applyFont="1" applyFill="1" applyBorder="1"/>
    <xf numFmtId="164" fontId="26" fillId="6" borderId="1" xfId="1" applyFont="1" applyFill="1" applyBorder="1"/>
    <xf numFmtId="0" fontId="20" fillId="0" borderId="0" xfId="0" applyFont="1" applyAlignment="1">
      <alignment horizontal="center"/>
    </xf>
    <xf numFmtId="0" fontId="20" fillId="0" borderId="0" xfId="0" applyFont="1"/>
    <xf numFmtId="164" fontId="20" fillId="0" borderId="0" xfId="1" applyFont="1"/>
    <xf numFmtId="166" fontId="20" fillId="0" borderId="0" xfId="1" applyNumberFormat="1" applyFont="1"/>
    <xf numFmtId="0" fontId="24" fillId="0" borderId="0" xfId="0" applyFont="1" applyAlignment="1">
      <alignment horizontal="center"/>
    </xf>
    <xf numFmtId="164" fontId="24" fillId="0" borderId="0" xfId="1" applyFont="1"/>
    <xf numFmtId="164" fontId="24" fillId="0" borderId="0" xfId="1" applyFont="1" applyAlignment="1">
      <alignment horizontal="center"/>
    </xf>
    <xf numFmtId="166" fontId="24" fillId="0" borderId="0" xfId="1" applyNumberFormat="1" applyFont="1"/>
    <xf numFmtId="0" fontId="20" fillId="0" borderId="1" xfId="0" applyFont="1" applyBorder="1" applyAlignment="1">
      <alignment horizontal="center"/>
    </xf>
    <xf numFmtId="164" fontId="24" fillId="0" borderId="1" xfId="1" applyFont="1" applyBorder="1" applyAlignment="1">
      <alignment horizontal="center"/>
    </xf>
    <xf numFmtId="166" fontId="23" fillId="0" borderId="1" xfId="1" applyNumberFormat="1" applyFont="1" applyBorder="1" applyAlignment="1">
      <alignment horizontal="center" vertical="center" wrapText="1"/>
    </xf>
    <xf numFmtId="0" fontId="28" fillId="0" borderId="0" xfId="0" applyFont="1" applyAlignment="1">
      <alignment horizontal="center"/>
    </xf>
    <xf numFmtId="0" fontId="29" fillId="0" borderId="0" xfId="0" applyFont="1" applyAlignment="1">
      <alignment horizontal="center"/>
    </xf>
    <xf numFmtId="166" fontId="24" fillId="0" borderId="0" xfId="1" applyNumberFormat="1" applyFont="1" applyAlignment="1">
      <alignment horizontal="center"/>
    </xf>
    <xf numFmtId="164" fontId="24" fillId="0" borderId="2" xfId="1" applyFont="1" applyBorder="1" applyAlignment="1">
      <alignment horizontal="center"/>
    </xf>
    <xf numFmtId="0" fontId="28" fillId="0" borderId="0" xfId="0" applyFont="1"/>
    <xf numFmtId="0" fontId="30" fillId="0" borderId="0" xfId="0" applyFont="1"/>
    <xf numFmtId="164" fontId="20" fillId="0" borderId="1" xfId="1" applyFont="1" applyBorder="1"/>
    <xf numFmtId="164" fontId="20" fillId="0" borderId="2" xfId="1" applyFont="1" applyBorder="1"/>
    <xf numFmtId="0" fontId="29" fillId="0" borderId="1" xfId="0" applyFont="1" applyBorder="1"/>
    <xf numFmtId="3" fontId="30" fillId="0" borderId="0" xfId="0" applyNumberFormat="1" applyFont="1"/>
    <xf numFmtId="0" fontId="30" fillId="0" borderId="1" xfId="0" applyFont="1" applyBorder="1"/>
    <xf numFmtId="10" fontId="30" fillId="4" borderId="1" xfId="0" applyNumberFormat="1" applyFont="1" applyFill="1" applyBorder="1" applyProtection="1">
      <protection locked="0"/>
    </xf>
    <xf numFmtId="43" fontId="20" fillId="0" borderId="0" xfId="0" applyNumberFormat="1" applyFont="1"/>
    <xf numFmtId="3" fontId="30" fillId="4" borderId="1" xfId="0" applyNumberFormat="1" applyFont="1" applyFill="1" applyBorder="1" applyProtection="1">
      <protection locked="0"/>
    </xf>
    <xf numFmtId="3" fontId="29" fillId="0" borderId="0" xfId="0" applyNumberFormat="1" applyFont="1"/>
    <xf numFmtId="2" fontId="31" fillId="4" borderId="1" xfId="0" applyNumberFormat="1" applyFont="1" applyFill="1" applyBorder="1" applyProtection="1">
      <protection locked="0"/>
    </xf>
    <xf numFmtId="0" fontId="31" fillId="4" borderId="1" xfId="0" applyFont="1" applyFill="1" applyBorder="1" applyProtection="1">
      <protection locked="0"/>
    </xf>
    <xf numFmtId="0" fontId="30" fillId="0" borderId="1" xfId="0" applyFont="1" applyBorder="1" applyProtection="1">
      <protection locked="0"/>
    </xf>
    <xf numFmtId="167" fontId="30" fillId="4" borderId="1" xfId="22" applyNumberFormat="1" applyFont="1" applyFill="1" applyBorder="1" applyProtection="1">
      <protection locked="0"/>
    </xf>
    <xf numFmtId="10" fontId="29" fillId="0" borderId="0" xfId="0" applyNumberFormat="1" applyFont="1"/>
    <xf numFmtId="3" fontId="30" fillId="0" borderId="1" xfId="0" applyNumberFormat="1" applyFont="1" applyBorder="1"/>
    <xf numFmtId="164" fontId="20" fillId="0" borderId="1" xfId="1" applyFont="1" applyFill="1" applyBorder="1"/>
    <xf numFmtId="3" fontId="29" fillId="0" borderId="1" xfId="0" applyNumberFormat="1" applyFont="1" applyBorder="1"/>
    <xf numFmtId="0" fontId="30" fillId="0" borderId="10" xfId="0" applyFont="1" applyBorder="1"/>
    <xf numFmtId="0" fontId="29" fillId="0" borderId="0" xfId="0" applyFont="1"/>
    <xf numFmtId="164" fontId="20" fillId="0" borderId="0" xfId="1" applyFont="1" applyFill="1"/>
    <xf numFmtId="0" fontId="30" fillId="0" borderId="1" xfId="0" applyFont="1" applyFill="1" applyBorder="1"/>
    <xf numFmtId="3" fontId="30" fillId="0" borderId="1" xfId="0" applyNumberFormat="1" applyFont="1" applyFill="1" applyBorder="1"/>
    <xf numFmtId="3" fontId="30" fillId="0" borderId="0" xfId="0" applyNumberFormat="1" applyFont="1" applyFill="1"/>
    <xf numFmtId="166" fontId="20" fillId="0" borderId="0" xfId="1" applyNumberFormat="1" applyFont="1" applyFill="1"/>
    <xf numFmtId="0" fontId="20" fillId="0" borderId="0" xfId="0" applyFont="1" applyFill="1"/>
    <xf numFmtId="164" fontId="20" fillId="3" borderId="2" xfId="1" applyFont="1" applyFill="1" applyBorder="1"/>
    <xf numFmtId="164" fontId="20" fillId="0" borderId="0" xfId="0" applyNumberFormat="1" applyFont="1"/>
    <xf numFmtId="164" fontId="30" fillId="0" borderId="0" xfId="1" applyFont="1"/>
    <xf numFmtId="10" fontId="30" fillId="0" borderId="0" xfId="0" applyNumberFormat="1" applyFont="1"/>
    <xf numFmtId="3" fontId="20" fillId="0" borderId="0" xfId="0" applyNumberFormat="1" applyFont="1"/>
    <xf numFmtId="164" fontId="20" fillId="6" borderId="1" xfId="1" applyFont="1" applyFill="1" applyBorder="1"/>
    <xf numFmtId="0" fontId="24" fillId="0" borderId="0" xfId="0" applyFont="1"/>
    <xf numFmtId="0" fontId="20" fillId="0" borderId="1" xfId="0" applyFont="1" applyBorder="1"/>
    <xf numFmtId="166" fontId="20" fillId="0" borderId="0" xfId="1" applyNumberFormat="1" applyFont="1" applyAlignment="1">
      <alignment wrapText="1"/>
    </xf>
    <xf numFmtId="0" fontId="20" fillId="0" borderId="0" xfId="0" applyFont="1" applyAlignment="1">
      <alignment wrapText="1"/>
    </xf>
    <xf numFmtId="166" fontId="20" fillId="0" borderId="1" xfId="1" applyNumberFormat="1" applyFont="1" applyBorder="1" applyAlignment="1">
      <alignment horizontal="center"/>
    </xf>
    <xf numFmtId="166" fontId="20" fillId="0" borderId="0" xfId="1" applyNumberFormat="1" applyFont="1" applyAlignment="1">
      <alignment horizontal="center"/>
    </xf>
    <xf numFmtId="166" fontId="20" fillId="0" borderId="0" xfId="0" applyNumberFormat="1" applyFont="1"/>
    <xf numFmtId="10" fontId="24" fillId="0" borderId="0" xfId="1" applyNumberFormat="1" applyFont="1"/>
    <xf numFmtId="0" fontId="21" fillId="0" borderId="0" xfId="0" applyFont="1"/>
    <xf numFmtId="0" fontId="22" fillId="0" borderId="1" xfId="0" applyFont="1" applyBorder="1" applyAlignment="1">
      <alignment horizontal="center" wrapText="1"/>
    </xf>
    <xf numFmtId="165" fontId="22" fillId="0" borderId="1" xfId="1" applyNumberFormat="1" applyFont="1" applyBorder="1" applyAlignment="1">
      <alignment horizontal="center" wrapText="1"/>
    </xf>
    <xf numFmtId="166" fontId="22" fillId="0" borderId="1" xfId="1" applyNumberFormat="1" applyFont="1" applyBorder="1" applyAlignment="1">
      <alignment horizontal="center" wrapText="1"/>
    </xf>
    <xf numFmtId="0" fontId="21" fillId="0" borderId="0" xfId="0" applyFont="1" applyAlignment="1">
      <alignment wrapText="1"/>
    </xf>
    <xf numFmtId="0" fontId="21" fillId="0" borderId="1" xfId="0" applyFont="1" applyBorder="1" applyAlignment="1">
      <alignment wrapText="1"/>
    </xf>
    <xf numFmtId="0" fontId="21" fillId="0" borderId="1" xfId="0" applyFont="1" applyBorder="1"/>
    <xf numFmtId="0" fontId="21" fillId="0" borderId="1" xfId="0" quotePrefix="1" applyFont="1" applyBorder="1"/>
    <xf numFmtId="0" fontId="22" fillId="0" borderId="1" xfId="0" applyFont="1" applyBorder="1"/>
    <xf numFmtId="166" fontId="21" fillId="0" borderId="1" xfId="1" applyNumberFormat="1" applyFont="1" applyBorder="1" applyAlignment="1">
      <alignment wrapText="1"/>
    </xf>
    <xf numFmtId="0" fontId="21" fillId="0" borderId="1" xfId="0" quotePrefix="1" applyFont="1" applyBorder="1" applyAlignment="1">
      <alignment horizontal="center"/>
    </xf>
    <xf numFmtId="0" fontId="21" fillId="0" borderId="1" xfId="0" applyFont="1" applyBorder="1" applyAlignment="1">
      <alignment horizontal="center"/>
    </xf>
    <xf numFmtId="0" fontId="32" fillId="0" borderId="1" xfId="0" applyFont="1" applyFill="1" applyBorder="1"/>
    <xf numFmtId="166" fontId="22" fillId="0" borderId="1" xfId="1" applyNumberFormat="1" applyFont="1" applyBorder="1"/>
    <xf numFmtId="0" fontId="12" fillId="0" borderId="1" xfId="0" applyFont="1" applyFill="1" applyBorder="1"/>
    <xf numFmtId="0" fontId="22" fillId="0" borderId="0" xfId="0" applyFont="1"/>
    <xf numFmtId="164" fontId="22" fillId="0" borderId="0" xfId="1" applyFont="1"/>
    <xf numFmtId="166" fontId="22" fillId="0" borderId="0" xfId="1" applyNumberFormat="1" applyFont="1"/>
    <xf numFmtId="0" fontId="22" fillId="0" borderId="1" xfId="0" applyFont="1" applyBorder="1" applyAlignment="1">
      <alignment wrapText="1"/>
    </xf>
    <xf numFmtId="0" fontId="32" fillId="0" borderId="1" xfId="0" applyFont="1" applyFill="1" applyBorder="1" applyAlignment="1">
      <alignment wrapText="1"/>
    </xf>
    <xf numFmtId="0" fontId="25" fillId="5" borderId="1" xfId="0" applyFont="1" applyFill="1" applyBorder="1"/>
    <xf numFmtId="166" fontId="20" fillId="5" borderId="1" xfId="1" applyNumberFormat="1" applyFont="1" applyFill="1" applyBorder="1"/>
    <xf numFmtId="164" fontId="26" fillId="5" borderId="1" xfId="1" applyFont="1" applyFill="1" applyBorder="1"/>
    <xf numFmtId="164" fontId="20" fillId="5" borderId="1" xfId="1" applyFont="1" applyFill="1" applyBorder="1"/>
    <xf numFmtId="0" fontId="20" fillId="5" borderId="1" xfId="0" quotePrefix="1" applyFont="1" applyFill="1" applyBorder="1" applyAlignment="1">
      <alignment horizontal="center"/>
    </xf>
    <xf numFmtId="0" fontId="20" fillId="3" borderId="1" xfId="0" quotePrefix="1" applyFont="1" applyFill="1" applyBorder="1" applyAlignment="1">
      <alignment horizontal="center"/>
    </xf>
    <xf numFmtId="166" fontId="20" fillId="3" borderId="1" xfId="1" applyNumberFormat="1" applyFont="1" applyFill="1" applyBorder="1"/>
    <xf numFmtId="164" fontId="26" fillId="3" borderId="1" xfId="1" applyFont="1" applyFill="1" applyBorder="1"/>
    <xf numFmtId="164" fontId="20" fillId="3" borderId="1" xfId="1" applyFont="1" applyFill="1" applyBorder="1"/>
    <xf numFmtId="0" fontId="25" fillId="3" borderId="1" xfId="0" applyFont="1" applyFill="1" applyBorder="1" applyAlignment="1">
      <alignment vertical="center" wrapText="1"/>
    </xf>
    <xf numFmtId="166" fontId="24" fillId="0" borderId="0" xfId="1" applyNumberFormat="1" applyFont="1" applyBorder="1" applyAlignment="1">
      <alignment horizontal="center"/>
    </xf>
    <xf numFmtId="166" fontId="24" fillId="0" borderId="2" xfId="1" applyNumberFormat="1" applyFont="1" applyBorder="1" applyAlignment="1">
      <alignment horizontal="center" wrapText="1"/>
    </xf>
    <xf numFmtId="166" fontId="20" fillId="0" borderId="2" xfId="1" applyNumberFormat="1" applyFont="1" applyBorder="1"/>
    <xf numFmtId="0" fontId="21" fillId="3" borderId="1" xfId="0" applyFont="1" applyFill="1" applyBorder="1" applyAlignment="1">
      <alignment wrapText="1"/>
    </xf>
    <xf numFmtId="166" fontId="21" fillId="3" borderId="1" xfId="1" applyNumberFormat="1" applyFont="1" applyFill="1" applyBorder="1" applyAlignment="1">
      <alignment wrapText="1"/>
    </xf>
    <xf numFmtId="0" fontId="21" fillId="3" borderId="1" xfId="0" quotePrefix="1" applyFont="1" applyFill="1" applyBorder="1"/>
    <xf numFmtId="0" fontId="21" fillId="3" borderId="1" xfId="0" applyFont="1" applyFill="1" applyBorder="1"/>
    <xf numFmtId="166" fontId="21" fillId="3" borderId="1" xfId="1" applyNumberFormat="1" applyFont="1" applyFill="1" applyBorder="1"/>
    <xf numFmtId="166" fontId="22" fillId="3" borderId="1" xfId="1" applyNumberFormat="1" applyFont="1" applyFill="1" applyBorder="1"/>
    <xf numFmtId="0" fontId="21" fillId="3" borderId="0" xfId="0" applyFont="1" applyFill="1"/>
    <xf numFmtId="0" fontId="12" fillId="3" borderId="1" xfId="0" applyFont="1" applyFill="1" applyBorder="1"/>
    <xf numFmtId="0" fontId="21" fillId="3" borderId="1" xfId="0" quotePrefix="1" applyFont="1" applyFill="1" applyBorder="1" applyAlignment="1">
      <alignment horizontal="center"/>
    </xf>
    <xf numFmtId="0" fontId="21" fillId="3" borderId="1" xfId="0" applyFont="1" applyFill="1" applyBorder="1" applyAlignment="1">
      <alignment horizontal="center"/>
    </xf>
    <xf numFmtId="0" fontId="22" fillId="3" borderId="0" xfId="0" applyFont="1" applyFill="1"/>
    <xf numFmtId="166" fontId="21" fillId="0" borderId="0" xfId="0" applyNumberFormat="1" applyFont="1"/>
    <xf numFmtId="165" fontId="27" fillId="6" borderId="0" xfId="1" applyNumberFormat="1" applyFont="1" applyFill="1" applyBorder="1" applyAlignment="1">
      <alignment horizontal="left" vertical="top" wrapText="1"/>
    </xf>
    <xf numFmtId="166" fontId="0" fillId="0" borderId="0" xfId="0" applyNumberFormat="1"/>
    <xf numFmtId="1" fontId="33" fillId="0" borderId="1" xfId="0" applyNumberFormat="1" applyFont="1" applyFill="1" applyBorder="1" applyAlignment="1">
      <alignment horizontal="right" wrapText="1"/>
    </xf>
    <xf numFmtId="0" fontId="33" fillId="0" borderId="1" xfId="0" quotePrefix="1" applyFont="1" applyFill="1" applyBorder="1" applyAlignment="1">
      <alignment horizontal="right"/>
    </xf>
    <xf numFmtId="1" fontId="33" fillId="0" borderId="9" xfId="0" applyNumberFormat="1" applyFont="1" applyFill="1" applyBorder="1" applyAlignment="1">
      <alignment horizontal="right" wrapText="1"/>
    </xf>
    <xf numFmtId="166" fontId="33" fillId="0" borderId="1" xfId="1" quotePrefix="1" applyNumberFormat="1" applyFont="1" applyFill="1" applyBorder="1" applyAlignment="1">
      <alignment horizontal="right"/>
    </xf>
    <xf numFmtId="1" fontId="33" fillId="0" borderId="1" xfId="0" quotePrefix="1" applyNumberFormat="1" applyFont="1" applyFill="1" applyBorder="1" applyAlignment="1">
      <alignment horizontal="right"/>
    </xf>
    <xf numFmtId="0" fontId="33" fillId="0" borderId="1" xfId="0" quotePrefix="1" applyFont="1" applyFill="1" applyBorder="1" applyAlignment="1">
      <alignment horizontal="right" wrapText="1"/>
    </xf>
    <xf numFmtId="166" fontId="33" fillId="0" borderId="1" xfId="1" quotePrefix="1" applyNumberFormat="1" applyFont="1" applyFill="1" applyBorder="1" applyAlignment="1">
      <alignment horizontal="right" wrapText="1"/>
    </xf>
    <xf numFmtId="0" fontId="33" fillId="0" borderId="1" xfId="0" applyFont="1" applyFill="1" applyBorder="1" applyAlignment="1">
      <alignment horizontal="left" vertical="top" wrapText="1"/>
    </xf>
    <xf numFmtId="166" fontId="33" fillId="0" borderId="1" xfId="1" applyNumberFormat="1" applyFont="1" applyFill="1" applyBorder="1" applyAlignment="1">
      <alignment horizontal="right"/>
    </xf>
    <xf numFmtId="0" fontId="33" fillId="0" borderId="1" xfId="0" applyFont="1" applyFill="1" applyBorder="1" applyAlignment="1">
      <alignment vertical="top" wrapText="1"/>
    </xf>
    <xf numFmtId="0" fontId="33" fillId="0" borderId="9" xfId="0" quotePrefix="1" applyFont="1" applyFill="1" applyBorder="1" applyAlignment="1">
      <alignment horizontal="right"/>
    </xf>
    <xf numFmtId="1" fontId="33" fillId="0" borderId="10" xfId="0" applyNumberFormat="1" applyFont="1" applyFill="1" applyBorder="1" applyAlignment="1">
      <alignment horizontal="right" wrapText="1"/>
    </xf>
    <xf numFmtId="49" fontId="33" fillId="0" borderId="1" xfId="0" quotePrefix="1" applyNumberFormat="1" applyFont="1" applyFill="1" applyBorder="1" applyAlignment="1">
      <alignment horizontal="right"/>
    </xf>
    <xf numFmtId="1" fontId="33" fillId="0" borderId="0" xfId="0" applyNumberFormat="1" applyFont="1" applyFill="1" applyBorder="1" applyAlignment="1">
      <alignment horizontal="right" wrapText="1"/>
    </xf>
    <xf numFmtId="1" fontId="33" fillId="0" borderId="0" xfId="0" applyNumberFormat="1" applyFont="1" applyFill="1" applyBorder="1" applyAlignment="1">
      <alignment horizontal="center" wrapText="1"/>
    </xf>
    <xf numFmtId="0" fontId="33" fillId="0" borderId="0" xfId="0" applyFont="1" applyFill="1" applyBorder="1" applyAlignment="1">
      <alignment horizontal="right" wrapText="1"/>
    </xf>
    <xf numFmtId="166" fontId="33" fillId="0" borderId="0" xfId="1" applyNumberFormat="1" applyFont="1" applyFill="1" applyBorder="1" applyAlignment="1">
      <alignment horizontal="right" wrapText="1"/>
    </xf>
    <xf numFmtId="0" fontId="33" fillId="0" borderId="0" xfId="0" applyFont="1" applyFill="1" applyBorder="1" applyAlignment="1">
      <alignment wrapText="1"/>
    </xf>
    <xf numFmtId="1" fontId="34" fillId="0" borderId="0" xfId="0" applyNumberFormat="1" applyFont="1" applyFill="1" applyBorder="1" applyAlignment="1">
      <alignment horizontal="right" wrapText="1"/>
    </xf>
    <xf numFmtId="166" fontId="33" fillId="0" borderId="1" xfId="1" quotePrefix="1" applyNumberFormat="1" applyFont="1" applyFill="1" applyBorder="1" applyAlignment="1" applyProtection="1">
      <alignment horizontal="right"/>
      <protection locked="0"/>
    </xf>
    <xf numFmtId="166" fontId="33" fillId="0" borderId="1" xfId="1" applyNumberFormat="1" applyFont="1" applyFill="1" applyBorder="1" applyAlignment="1" applyProtection="1">
      <alignment horizontal="right" wrapText="1"/>
      <protection locked="0"/>
    </xf>
    <xf numFmtId="4" fontId="33" fillId="0" borderId="1" xfId="0" applyNumberFormat="1" applyFont="1" applyFill="1" applyBorder="1" applyAlignment="1" applyProtection="1">
      <alignment wrapText="1"/>
      <protection locked="0"/>
    </xf>
    <xf numFmtId="1" fontId="33" fillId="0" borderId="1" xfId="0" applyNumberFormat="1" applyFont="1" applyFill="1" applyBorder="1" applyAlignment="1">
      <alignment horizontal="right"/>
    </xf>
    <xf numFmtId="0" fontId="33" fillId="0" borderId="1" xfId="0" quotePrefix="1" applyFont="1" applyFill="1" applyBorder="1" applyAlignment="1" applyProtection="1">
      <alignment horizontal="right"/>
      <protection locked="0"/>
    </xf>
    <xf numFmtId="1" fontId="33" fillId="0" borderId="1" xfId="0" applyNumberFormat="1" applyFont="1" applyFill="1" applyBorder="1" applyAlignment="1">
      <alignment horizontal="center"/>
    </xf>
    <xf numFmtId="166" fontId="33" fillId="0" borderId="1" xfId="1" applyNumberFormat="1" applyFont="1" applyFill="1" applyBorder="1" applyAlignment="1" applyProtection="1">
      <alignment horizontal="right"/>
      <protection locked="0"/>
    </xf>
    <xf numFmtId="49" fontId="33" fillId="0" borderId="1" xfId="0" applyNumberFormat="1" applyFont="1" applyFill="1" applyBorder="1" applyAlignment="1">
      <alignment horizontal="right" wrapText="1"/>
    </xf>
    <xf numFmtId="165" fontId="16" fillId="0" borderId="1" xfId="1" applyNumberFormat="1" applyFont="1" applyFill="1" applyBorder="1" applyAlignment="1">
      <alignment horizontal="left" vertical="center" wrapText="1"/>
    </xf>
    <xf numFmtId="49" fontId="33" fillId="0" borderId="1" xfId="0" applyNumberFormat="1" applyFont="1" applyFill="1" applyBorder="1" applyAlignment="1">
      <alignment horizontal="right"/>
    </xf>
    <xf numFmtId="0" fontId="34" fillId="0" borderId="0" xfId="0" applyFont="1" applyFill="1" applyBorder="1" applyAlignment="1">
      <alignment vertical="center" wrapText="1"/>
    </xf>
    <xf numFmtId="1" fontId="34" fillId="0" borderId="1" xfId="0" applyNumberFormat="1" applyFont="1" applyFill="1" applyBorder="1" applyAlignment="1">
      <alignment horizontal="right" wrapText="1"/>
    </xf>
    <xf numFmtId="166" fontId="21" fillId="0" borderId="1" xfId="1" applyNumberFormat="1" applyFont="1" applyFill="1" applyBorder="1"/>
    <xf numFmtId="1" fontId="33" fillId="0" borderId="2" xfId="0" applyNumberFormat="1" applyFont="1" applyFill="1" applyBorder="1" applyAlignment="1">
      <alignment horizontal="right" wrapText="1"/>
    </xf>
    <xf numFmtId="166" fontId="16" fillId="0" borderId="1" xfId="1" applyNumberFormat="1" applyFont="1" applyFill="1" applyBorder="1"/>
    <xf numFmtId="1" fontId="34" fillId="0" borderId="1" xfId="0" applyNumberFormat="1" applyFont="1" applyFill="1" applyBorder="1" applyAlignment="1">
      <alignment horizontal="center" wrapText="1"/>
    </xf>
    <xf numFmtId="0" fontId="34" fillId="0" borderId="1" xfId="0" applyFont="1" applyFill="1" applyBorder="1" applyAlignment="1">
      <alignment horizontal="right" wrapText="1"/>
    </xf>
    <xf numFmtId="166" fontId="34" fillId="0" borderId="1" xfId="1" applyNumberFormat="1" applyFont="1" applyFill="1" applyBorder="1" applyAlignment="1">
      <alignment horizontal="right" wrapText="1"/>
    </xf>
    <xf numFmtId="0" fontId="34" fillId="0" borderId="1" xfId="0" applyFont="1" applyFill="1" applyBorder="1" applyAlignment="1">
      <alignment wrapText="1"/>
    </xf>
    <xf numFmtId="166" fontId="17" fillId="0" borderId="1" xfId="1" applyNumberFormat="1" applyFont="1" applyFill="1" applyBorder="1"/>
    <xf numFmtId="0" fontId="33" fillId="0" borderId="1" xfId="0" applyFont="1" applyFill="1" applyBorder="1" applyAlignment="1">
      <alignment wrapText="1"/>
    </xf>
    <xf numFmtId="0" fontId="33"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justify"/>
    </xf>
    <xf numFmtId="49" fontId="33" fillId="0" borderId="16" xfId="0" applyNumberFormat="1" applyFont="1" applyFill="1" applyBorder="1" applyAlignment="1">
      <alignment horizontal="left"/>
    </xf>
    <xf numFmtId="49" fontId="33" fillId="0" borderId="15" xfId="0" applyNumberFormat="1" applyFont="1" applyFill="1" applyBorder="1" applyAlignment="1">
      <alignment horizontal="left"/>
    </xf>
    <xf numFmtId="0" fontId="34" fillId="0" borderId="1" xfId="0" applyFont="1" applyFill="1" applyBorder="1" applyAlignment="1">
      <alignment vertical="center" wrapText="1"/>
    </xf>
    <xf numFmtId="0" fontId="34" fillId="0" borderId="1" xfId="0" applyFont="1" applyFill="1" applyBorder="1" applyAlignment="1">
      <alignment horizontal="center" wrapText="1"/>
    </xf>
    <xf numFmtId="1" fontId="34" fillId="0" borderId="1" xfId="0" applyNumberFormat="1" applyFont="1" applyFill="1" applyBorder="1" applyAlignment="1">
      <alignment horizontal="center"/>
    </xf>
    <xf numFmtId="166" fontId="34" fillId="0" borderId="1" xfId="1" applyNumberFormat="1" applyFont="1" applyFill="1" applyBorder="1" applyAlignment="1">
      <alignment horizontal="center" wrapText="1"/>
    </xf>
    <xf numFmtId="166" fontId="33" fillId="0" borderId="1" xfId="1" applyNumberFormat="1" applyFont="1" applyFill="1" applyBorder="1" applyAlignment="1" applyProtection="1">
      <alignment wrapText="1"/>
      <protection locked="0"/>
    </xf>
    <xf numFmtId="4" fontId="33" fillId="0" borderId="1" xfId="0" applyNumberFormat="1" applyFont="1" applyFill="1" applyBorder="1" applyAlignment="1" applyProtection="1">
      <alignment horizontal="left" vertical="center" wrapText="1"/>
      <protection locked="0"/>
    </xf>
    <xf numFmtId="0" fontId="13" fillId="7" borderId="1" xfId="0" applyFont="1" applyFill="1" applyBorder="1" applyAlignment="1">
      <alignment horizontal="center" vertical="center" wrapText="1"/>
    </xf>
    <xf numFmtId="166" fontId="13" fillId="7" borderId="1" xfId="1" applyNumberFormat="1" applyFont="1" applyFill="1" applyBorder="1" applyAlignment="1">
      <alignment horizontal="center" vertical="center" wrapText="1"/>
    </xf>
    <xf numFmtId="166" fontId="20" fillId="0" borderId="0" xfId="1" applyNumberFormat="1" applyFont="1" applyBorder="1"/>
    <xf numFmtId="166" fontId="24" fillId="0" borderId="0" xfId="1" applyNumberFormat="1" applyFont="1" applyBorder="1"/>
    <xf numFmtId="166" fontId="21" fillId="0" borderId="0" xfId="1" applyNumberFormat="1" applyFont="1" applyFill="1"/>
    <xf numFmtId="166" fontId="15" fillId="0" borderId="0" xfId="1" applyNumberFormat="1" applyFont="1" applyFill="1"/>
    <xf numFmtId="0" fontId="0" fillId="0" borderId="0" xfId="0" applyFill="1"/>
    <xf numFmtId="0" fontId="13" fillId="0" borderId="1" xfId="0" applyFont="1" applyFill="1" applyBorder="1" applyAlignment="1">
      <alignment horizontal="center" vertical="center" wrapText="1"/>
    </xf>
    <xf numFmtId="166" fontId="13" fillId="0" borderId="1" xfId="1" applyNumberFormat="1" applyFont="1" applyFill="1" applyBorder="1" applyAlignment="1">
      <alignment horizontal="center" vertical="center" wrapText="1"/>
    </xf>
    <xf numFmtId="166" fontId="14" fillId="0" borderId="1" xfId="1" applyNumberFormat="1" applyFont="1" applyFill="1" applyBorder="1"/>
    <xf numFmtId="166" fontId="19" fillId="0" borderId="1" xfId="1" applyNumberFormat="1" applyFont="1" applyFill="1" applyBorder="1"/>
    <xf numFmtId="166" fontId="15" fillId="0" borderId="1" xfId="1" applyNumberFormat="1" applyFont="1" applyFill="1" applyBorder="1"/>
    <xf numFmtId="166" fontId="22" fillId="0" borderId="1" xfId="1" applyNumberFormat="1" applyFont="1" applyFill="1" applyBorder="1"/>
    <xf numFmtId="166" fontId="0" fillId="0" borderId="0" xfId="0" applyNumberFormat="1" applyFill="1"/>
    <xf numFmtId="166" fontId="16" fillId="0" borderId="0" xfId="1" applyNumberFormat="1" applyFont="1" applyFill="1"/>
    <xf numFmtId="166" fontId="13" fillId="0" borderId="1" xfId="1" applyNumberFormat="1" applyFont="1" applyFill="1" applyBorder="1"/>
    <xf numFmtId="0" fontId="0" fillId="0" borderId="1" xfId="0" applyFill="1" applyBorder="1"/>
    <xf numFmtId="166" fontId="21" fillId="0" borderId="9" xfId="1" applyNumberFormat="1" applyFont="1" applyFill="1" applyBorder="1"/>
    <xf numFmtId="166" fontId="21" fillId="0" borderId="14" xfId="1" applyNumberFormat="1" applyFont="1" applyFill="1" applyBorder="1"/>
    <xf numFmtId="166" fontId="13" fillId="0" borderId="12" xfId="1" applyNumberFormat="1" applyFont="1" applyFill="1" applyBorder="1"/>
    <xf numFmtId="166" fontId="21" fillId="0" borderId="9" xfId="1" applyNumberFormat="1" applyFont="1" applyFill="1" applyBorder="1" applyAlignment="1">
      <alignment horizontal="center" vertical="center"/>
    </xf>
    <xf numFmtId="166" fontId="21" fillId="0" borderId="14" xfId="1" applyNumberFormat="1" applyFont="1" applyFill="1" applyBorder="1" applyAlignment="1">
      <alignment horizontal="center" vertical="center"/>
    </xf>
    <xf numFmtId="166" fontId="21" fillId="0" borderId="12" xfId="1" applyNumberFormat="1" applyFont="1" applyFill="1" applyBorder="1" applyAlignment="1">
      <alignment horizontal="center" vertical="center"/>
    </xf>
    <xf numFmtId="164" fontId="35" fillId="0" borderId="2" xfId="1" applyFont="1" applyFill="1" applyBorder="1" applyAlignment="1">
      <alignment horizontal="left"/>
    </xf>
    <xf numFmtId="164" fontId="32" fillId="0" borderId="0" xfId="1" applyFont="1" applyFill="1" applyAlignment="1"/>
    <xf numFmtId="164" fontId="17" fillId="0" borderId="2" xfId="1" applyFont="1" applyFill="1" applyBorder="1" applyAlignment="1">
      <alignment vertical="center" wrapText="1"/>
    </xf>
    <xf numFmtId="164" fontId="35" fillId="0" borderId="2" xfId="1" applyFont="1" applyFill="1" applyBorder="1" applyAlignment="1"/>
    <xf numFmtId="164" fontId="15" fillId="0" borderId="2" xfId="1" applyFont="1" applyFill="1" applyBorder="1" applyAlignment="1"/>
    <xf numFmtId="164" fontId="15" fillId="0" borderId="2" xfId="1" applyFont="1" applyFill="1" applyBorder="1" applyAlignment="1">
      <alignment wrapText="1"/>
    </xf>
    <xf numFmtId="164" fontId="16" fillId="0" borderId="0" xfId="1" applyFont="1" applyFill="1" applyAlignment="1"/>
    <xf numFmtId="164" fontId="17" fillId="0" borderId="2" xfId="1" applyFont="1" applyFill="1" applyBorder="1" applyAlignment="1"/>
    <xf numFmtId="164" fontId="16" fillId="0" borderId="2" xfId="1" applyFont="1" applyFill="1" applyBorder="1" applyAlignment="1"/>
    <xf numFmtId="164" fontId="9" fillId="0" borderId="0" xfId="1" applyFont="1" applyFill="1" applyAlignment="1"/>
    <xf numFmtId="164" fontId="19" fillId="0" borderId="2" xfId="1" applyFont="1" applyFill="1" applyBorder="1" applyAlignment="1"/>
    <xf numFmtId="164" fontId="35" fillId="3" borderId="2" xfId="1" applyFont="1" applyFill="1" applyBorder="1" applyAlignment="1">
      <alignment horizontal="left"/>
    </xf>
    <xf numFmtId="164" fontId="35" fillId="3" borderId="2" xfId="1" applyFont="1" applyFill="1" applyBorder="1" applyAlignment="1"/>
    <xf numFmtId="166" fontId="33" fillId="0" borderId="1" xfId="1" applyNumberFormat="1" applyFont="1" applyFill="1" applyBorder="1" applyAlignment="1">
      <alignment horizontal="center" wrapText="1"/>
    </xf>
    <xf numFmtId="0" fontId="33" fillId="0" borderId="0" xfId="0" applyFont="1" applyFill="1"/>
    <xf numFmtId="0" fontId="34" fillId="0" borderId="0" xfId="0" applyFont="1" applyFill="1" applyBorder="1" applyAlignment="1">
      <alignment vertical="center"/>
    </xf>
    <xf numFmtId="164" fontId="33" fillId="0" borderId="0" xfId="1" applyFont="1" applyFill="1"/>
    <xf numFmtId="0" fontId="34" fillId="0" borderId="1" xfId="0" applyFont="1" applyFill="1" applyBorder="1" applyAlignment="1">
      <alignment horizontal="center"/>
    </xf>
    <xf numFmtId="0" fontId="34" fillId="0" borderId="1" xfId="0" applyFont="1" applyFill="1" applyBorder="1" applyAlignment="1">
      <alignment horizontal="center" vertical="center" wrapText="1"/>
    </xf>
    <xf numFmtId="164" fontId="33" fillId="0" borderId="0" xfId="1" applyFont="1" applyFill="1" applyAlignment="1">
      <alignment horizontal="center"/>
    </xf>
    <xf numFmtId="0" fontId="33" fillId="0" borderId="0" xfId="0" applyFont="1" applyFill="1" applyAlignment="1">
      <alignment horizontal="center"/>
    </xf>
    <xf numFmtId="0" fontId="33" fillId="0" borderId="2" xfId="0" applyFont="1" applyFill="1" applyBorder="1" applyAlignment="1">
      <alignment horizontal="left" vertical="center" wrapText="1"/>
    </xf>
    <xf numFmtId="0" fontId="33" fillId="0" borderId="1" xfId="0" applyFont="1" applyFill="1" applyBorder="1" applyAlignment="1">
      <alignment horizontal="right"/>
    </xf>
    <xf numFmtId="0" fontId="33" fillId="0" borderId="3" xfId="0" quotePrefix="1" applyFont="1" applyFill="1" applyBorder="1" applyAlignment="1">
      <alignment horizontal="right" wrapText="1"/>
    </xf>
    <xf numFmtId="0" fontId="33" fillId="0" borderId="2" xfId="0" applyFont="1" applyFill="1" applyBorder="1" applyAlignment="1">
      <alignment vertical="top" wrapText="1"/>
    </xf>
    <xf numFmtId="0" fontId="33" fillId="0" borderId="4" xfId="0" quotePrefix="1" applyFont="1" applyFill="1" applyBorder="1" applyAlignment="1">
      <alignment horizontal="right" wrapText="1"/>
    </xf>
    <xf numFmtId="0" fontId="33" fillId="0" borderId="2" xfId="0" applyFont="1" applyFill="1" applyBorder="1" applyAlignment="1">
      <alignment wrapText="1"/>
    </xf>
    <xf numFmtId="0" fontId="33" fillId="0" borderId="2" xfId="0" applyFont="1" applyFill="1" applyBorder="1" applyAlignment="1">
      <alignment vertical="center" wrapText="1"/>
    </xf>
    <xf numFmtId="165" fontId="33" fillId="0" borderId="2" xfId="0" applyNumberFormat="1" applyFont="1" applyFill="1" applyBorder="1" applyAlignment="1">
      <alignment vertical="top" wrapText="1"/>
    </xf>
    <xf numFmtId="0" fontId="34" fillId="0" borderId="1" xfId="0" applyFont="1" applyFill="1" applyBorder="1"/>
    <xf numFmtId="0" fontId="34" fillId="0" borderId="1" xfId="0" applyFont="1" applyFill="1" applyBorder="1" applyAlignment="1"/>
    <xf numFmtId="164" fontId="34" fillId="0" borderId="0" xfId="1" applyFont="1" applyFill="1"/>
    <xf numFmtId="0" fontId="34" fillId="0" borderId="0" xfId="0" applyFont="1" applyFill="1"/>
    <xf numFmtId="0" fontId="34" fillId="0" borderId="2" xfId="0" applyFont="1" applyFill="1" applyBorder="1" applyAlignment="1"/>
    <xf numFmtId="166" fontId="33" fillId="0" borderId="4" xfId="1" applyNumberFormat="1" applyFont="1" applyFill="1" applyBorder="1" applyAlignment="1">
      <alignment horizontal="right"/>
    </xf>
    <xf numFmtId="49" fontId="33" fillId="0" borderId="2" xfId="0" applyNumberFormat="1" applyFont="1" applyFill="1" applyBorder="1" applyAlignment="1">
      <alignment horizontal="center"/>
    </xf>
    <xf numFmtId="0" fontId="34" fillId="0" borderId="12" xfId="0" applyFont="1" applyFill="1" applyBorder="1" applyAlignment="1">
      <alignment horizontal="center" wrapText="1"/>
    </xf>
    <xf numFmtId="0" fontId="33" fillId="0" borderId="1" xfId="0" applyFont="1" applyFill="1" applyBorder="1"/>
    <xf numFmtId="1" fontId="33" fillId="0" borderId="1" xfId="0" applyNumberFormat="1" applyFont="1" applyFill="1" applyBorder="1" applyAlignment="1" applyProtection="1">
      <alignment horizontal="right"/>
      <protection locked="0"/>
    </xf>
    <xf numFmtId="165" fontId="33" fillId="0" borderId="1" xfId="2" applyNumberFormat="1" applyFont="1" applyFill="1" applyBorder="1" applyAlignment="1">
      <alignment vertical="center" wrapText="1"/>
    </xf>
    <xf numFmtId="166" fontId="33" fillId="0" borderId="1" xfId="1" applyNumberFormat="1" applyFont="1" applyFill="1" applyBorder="1" applyAlignment="1" applyProtection="1">
      <alignment vertical="center"/>
      <protection locked="0"/>
    </xf>
    <xf numFmtId="49" fontId="34" fillId="0" borderId="1" xfId="0" applyNumberFormat="1" applyFont="1" applyFill="1" applyBorder="1" applyAlignment="1"/>
    <xf numFmtId="1" fontId="34" fillId="0" borderId="1" xfId="0" applyNumberFormat="1" applyFont="1" applyFill="1" applyBorder="1" applyAlignment="1">
      <alignment horizontal="right"/>
    </xf>
    <xf numFmtId="49" fontId="34" fillId="0" borderId="1" xfId="0" applyNumberFormat="1" applyFont="1" applyFill="1" applyBorder="1" applyAlignment="1">
      <alignment horizontal="right"/>
    </xf>
    <xf numFmtId="166" fontId="34" fillId="0" borderId="1" xfId="1" applyNumberFormat="1" applyFont="1" applyFill="1" applyBorder="1" applyAlignment="1">
      <alignment horizontal="right"/>
    </xf>
    <xf numFmtId="0" fontId="33" fillId="0" borderId="4" xfId="0" applyFont="1" applyFill="1" applyBorder="1" applyAlignment="1">
      <alignment horizontal="center"/>
    </xf>
    <xf numFmtId="1" fontId="33" fillId="0" borderId="4" xfId="0" applyNumberFormat="1" applyFont="1" applyFill="1" applyBorder="1" applyAlignment="1">
      <alignment horizontal="center"/>
    </xf>
    <xf numFmtId="1" fontId="33" fillId="0" borderId="4" xfId="0" applyNumberFormat="1" applyFont="1" applyFill="1" applyBorder="1" applyAlignment="1">
      <alignment horizontal="right"/>
    </xf>
    <xf numFmtId="0" fontId="33" fillId="0" borderId="4" xfId="0" applyFont="1" applyFill="1" applyBorder="1" applyAlignment="1">
      <alignment horizontal="right"/>
    </xf>
    <xf numFmtId="0" fontId="33" fillId="0" borderId="4" xfId="0" applyFont="1" applyFill="1" applyBorder="1" applyAlignment="1"/>
    <xf numFmtId="0" fontId="34" fillId="0" borderId="4" xfId="0" quotePrefix="1" applyFont="1" applyFill="1" applyBorder="1" applyAlignment="1">
      <alignment vertical="center"/>
    </xf>
    <xf numFmtId="0" fontId="34" fillId="0" borderId="2" xfId="0" quotePrefix="1" applyFont="1" applyFill="1" applyBorder="1" applyAlignment="1">
      <alignment vertical="center"/>
    </xf>
    <xf numFmtId="1" fontId="33" fillId="0" borderId="5" xfId="0" applyNumberFormat="1" applyFont="1" applyFill="1" applyBorder="1" applyAlignment="1">
      <alignment horizontal="center"/>
    </xf>
    <xf numFmtId="1" fontId="33" fillId="0" borderId="5" xfId="0" applyNumberFormat="1" applyFont="1" applyFill="1" applyBorder="1" applyAlignment="1">
      <alignment horizontal="right"/>
    </xf>
    <xf numFmtId="49" fontId="33" fillId="0" borderId="5" xfId="0" applyNumberFormat="1" applyFont="1" applyFill="1" applyBorder="1" applyAlignment="1">
      <alignment horizontal="right"/>
    </xf>
    <xf numFmtId="166" fontId="33" fillId="0" borderId="5" xfId="1" applyNumberFormat="1" applyFont="1" applyFill="1" applyBorder="1" applyAlignment="1">
      <alignment horizontal="right"/>
    </xf>
    <xf numFmtId="0" fontId="33" fillId="0" borderId="0" xfId="0" applyFont="1" applyFill="1" applyAlignment="1"/>
    <xf numFmtId="0" fontId="33" fillId="0" borderId="1" xfId="0" quotePrefix="1" applyFont="1" applyFill="1" applyBorder="1" applyAlignment="1" applyProtection="1">
      <alignment horizontal="center"/>
      <protection locked="0"/>
    </xf>
    <xf numFmtId="0" fontId="34" fillId="0" borderId="1" xfId="0" applyFont="1" applyFill="1" applyBorder="1" applyAlignment="1">
      <alignment horizontal="right"/>
    </xf>
    <xf numFmtId="0" fontId="34" fillId="0" borderId="1" xfId="0" quotePrefix="1" applyFont="1" applyFill="1" applyBorder="1" applyAlignment="1">
      <alignment horizontal="right" wrapText="1"/>
    </xf>
    <xf numFmtId="0" fontId="34" fillId="0" borderId="1" xfId="0" quotePrefix="1" applyFont="1" applyFill="1" applyBorder="1" applyAlignment="1">
      <alignment horizontal="right"/>
    </xf>
    <xf numFmtId="0" fontId="34" fillId="0" borderId="1" xfId="0" applyFont="1" applyFill="1" applyBorder="1" applyAlignment="1">
      <alignment vertical="top" wrapText="1"/>
    </xf>
    <xf numFmtId="166" fontId="33" fillId="0" borderId="1" xfId="1" applyNumberFormat="1" applyFont="1" applyFill="1" applyBorder="1" applyAlignment="1">
      <alignment horizontal="right" wrapText="1"/>
    </xf>
    <xf numFmtId="49" fontId="33" fillId="0" borderId="1" xfId="0" quotePrefix="1" applyNumberFormat="1" applyFont="1" applyFill="1" applyBorder="1" applyAlignment="1">
      <alignment horizontal="right" wrapText="1"/>
    </xf>
    <xf numFmtId="0" fontId="33" fillId="0" borderId="3" xfId="0" applyFont="1" applyFill="1" applyBorder="1" applyAlignment="1">
      <alignment horizontal="right"/>
    </xf>
    <xf numFmtId="0" fontId="33" fillId="0" borderId="2" xfId="0" quotePrefix="1" applyFont="1" applyFill="1" applyBorder="1" applyAlignment="1">
      <alignment horizontal="right" wrapText="1"/>
    </xf>
    <xf numFmtId="0" fontId="33" fillId="0" borderId="0" xfId="0" applyFont="1" applyFill="1" applyBorder="1"/>
    <xf numFmtId="1" fontId="33" fillId="0" borderId="0" xfId="0" applyNumberFormat="1" applyFont="1" applyFill="1" applyBorder="1" applyAlignment="1">
      <alignment horizontal="center"/>
    </xf>
    <xf numFmtId="1" fontId="33" fillId="0" borderId="0" xfId="0" applyNumberFormat="1" applyFont="1" applyFill="1" applyBorder="1" applyAlignment="1">
      <alignment horizontal="right"/>
    </xf>
    <xf numFmtId="49" fontId="33" fillId="0" borderId="0" xfId="0" applyNumberFormat="1" applyFont="1" applyFill="1" applyBorder="1" applyAlignment="1">
      <alignment horizontal="right"/>
    </xf>
    <xf numFmtId="166" fontId="33" fillId="0" borderId="0" xfId="1" applyNumberFormat="1" applyFont="1" applyFill="1" applyBorder="1" applyAlignment="1">
      <alignment horizontal="right"/>
    </xf>
    <xf numFmtId="0" fontId="33" fillId="0" borderId="0" xfId="0" applyFont="1" applyFill="1" applyBorder="1" applyAlignment="1"/>
    <xf numFmtId="164" fontId="33" fillId="0" borderId="0" xfId="1" applyFont="1" applyFill="1" applyAlignment="1">
      <alignment horizontal="right"/>
    </xf>
    <xf numFmtId="0" fontId="33" fillId="0" borderId="0" xfId="0" applyFont="1" applyFill="1" applyAlignment="1">
      <alignment horizontal="right"/>
    </xf>
    <xf numFmtId="164" fontId="33" fillId="0" borderId="0" xfId="1" applyFont="1" applyFill="1" applyAlignment="1"/>
    <xf numFmtId="1" fontId="33" fillId="0" borderId="1" xfId="0" applyNumberFormat="1" applyFont="1" applyFill="1" applyBorder="1" applyAlignment="1">
      <alignment horizontal="center" wrapText="1"/>
    </xf>
    <xf numFmtId="0" fontId="34" fillId="0" borderId="4" xfId="0" quotePrefix="1" applyFont="1" applyFill="1" applyBorder="1" applyAlignment="1">
      <alignment horizontal="right"/>
    </xf>
    <xf numFmtId="0" fontId="34" fillId="0" borderId="4" xfId="0" applyFont="1" applyFill="1" applyBorder="1" applyAlignment="1">
      <alignment vertical="top" wrapText="1"/>
    </xf>
    <xf numFmtId="0" fontId="33" fillId="0" borderId="8" xfId="0" quotePrefix="1" applyFont="1" applyFill="1" applyBorder="1" applyAlignment="1">
      <alignment horizontal="right" wrapText="1"/>
    </xf>
    <xf numFmtId="1" fontId="33" fillId="0" borderId="9" xfId="0" applyNumberFormat="1" applyFont="1" applyFill="1" applyBorder="1" applyAlignment="1">
      <alignment horizontal="center"/>
    </xf>
    <xf numFmtId="1" fontId="33" fillId="0" borderId="9" xfId="0" applyNumberFormat="1" applyFont="1" applyFill="1" applyBorder="1" applyAlignment="1">
      <alignment horizontal="right"/>
    </xf>
    <xf numFmtId="0" fontId="33" fillId="0" borderId="9" xfId="0" applyFont="1" applyFill="1" applyBorder="1" applyAlignment="1">
      <alignment vertical="top" wrapText="1"/>
    </xf>
    <xf numFmtId="49" fontId="33" fillId="0" borderId="0" xfId="0" applyNumberFormat="1" applyFont="1" applyFill="1" applyBorder="1" applyAlignment="1"/>
    <xf numFmtId="1" fontId="34" fillId="0" borderId="9" xfId="0" applyNumberFormat="1" applyFont="1" applyFill="1" applyBorder="1" applyAlignment="1">
      <alignment horizontal="center" wrapText="1"/>
    </xf>
    <xf numFmtId="1" fontId="34" fillId="0" borderId="9" xfId="0" applyNumberFormat="1" applyFont="1" applyFill="1" applyBorder="1" applyAlignment="1">
      <alignment horizontal="center"/>
    </xf>
    <xf numFmtId="0" fontId="34" fillId="0" borderId="9" xfId="0" applyFont="1" applyFill="1" applyBorder="1" applyAlignment="1">
      <alignment horizontal="center" wrapText="1"/>
    </xf>
    <xf numFmtId="166" fontId="34" fillId="0" borderId="9" xfId="1" applyNumberFormat="1" applyFont="1" applyFill="1" applyBorder="1" applyAlignment="1">
      <alignment horizontal="center" wrapText="1"/>
    </xf>
    <xf numFmtId="0" fontId="33" fillId="0" borderId="9" xfId="0" applyFont="1" applyFill="1" applyBorder="1" applyAlignment="1">
      <alignment horizontal="right"/>
    </xf>
    <xf numFmtId="1" fontId="33" fillId="0" borderId="9" xfId="0" applyNumberFormat="1" applyFont="1" applyFill="1" applyBorder="1" applyAlignment="1" applyProtection="1">
      <alignment horizontal="right"/>
      <protection locked="0"/>
    </xf>
    <xf numFmtId="0" fontId="33" fillId="0" borderId="9" xfId="0" quotePrefix="1" applyFont="1" applyFill="1" applyBorder="1" applyAlignment="1">
      <alignment horizontal="right" wrapText="1"/>
    </xf>
    <xf numFmtId="166" fontId="33" fillId="0" borderId="9" xfId="1" quotePrefix="1" applyNumberFormat="1" applyFont="1" applyFill="1" applyBorder="1" applyAlignment="1">
      <alignment horizontal="right" wrapText="1"/>
    </xf>
    <xf numFmtId="166" fontId="33" fillId="0" borderId="9" xfId="1" applyNumberFormat="1" applyFont="1" applyFill="1" applyBorder="1" applyAlignment="1">
      <alignment horizontal="right"/>
    </xf>
    <xf numFmtId="1" fontId="34" fillId="0" borderId="1" xfId="1" applyNumberFormat="1" applyFont="1" applyFill="1" applyBorder="1" applyAlignment="1">
      <alignment horizontal="center"/>
    </xf>
    <xf numFmtId="1" fontId="34" fillId="0" borderId="1" xfId="1" applyNumberFormat="1" applyFont="1" applyFill="1" applyBorder="1" applyAlignment="1">
      <alignment horizontal="right"/>
    </xf>
    <xf numFmtId="164" fontId="34" fillId="0" borderId="1" xfId="1" applyFont="1" applyFill="1" applyBorder="1" applyAlignment="1">
      <alignment horizontal="right"/>
    </xf>
    <xf numFmtId="164" fontId="34" fillId="0" borderId="1" xfId="1" applyFont="1" applyFill="1" applyBorder="1" applyAlignment="1"/>
    <xf numFmtId="1" fontId="33" fillId="0" borderId="10" xfId="0" applyNumberFormat="1" applyFont="1" applyFill="1" applyBorder="1" applyAlignment="1">
      <alignment horizontal="center"/>
    </xf>
    <xf numFmtId="1" fontId="33" fillId="0" borderId="10" xfId="0" applyNumberFormat="1" applyFont="1" applyFill="1" applyBorder="1" applyAlignment="1">
      <alignment horizontal="right"/>
    </xf>
    <xf numFmtId="49" fontId="33" fillId="0" borderId="10" xfId="0" applyNumberFormat="1" applyFont="1" applyFill="1" applyBorder="1" applyAlignment="1">
      <alignment horizontal="right"/>
    </xf>
    <xf numFmtId="166" fontId="33" fillId="0" borderId="10" xfId="1" applyNumberFormat="1" applyFont="1" applyFill="1" applyBorder="1" applyAlignment="1">
      <alignment horizontal="right"/>
    </xf>
    <xf numFmtId="1" fontId="34" fillId="0" borderId="9" xfId="0" applyNumberFormat="1" applyFont="1" applyFill="1" applyBorder="1" applyAlignment="1">
      <alignment horizontal="right"/>
    </xf>
    <xf numFmtId="0" fontId="34" fillId="0" borderId="9" xfId="0" applyFont="1" applyFill="1" applyBorder="1" applyAlignment="1">
      <alignment horizontal="right" wrapText="1"/>
    </xf>
    <xf numFmtId="1" fontId="34" fillId="0" borderId="9" xfId="0" applyNumberFormat="1" applyFont="1" applyFill="1" applyBorder="1" applyAlignment="1">
      <alignment horizontal="right" wrapText="1"/>
    </xf>
    <xf numFmtId="166" fontId="34" fillId="0" borderId="9" xfId="1" applyNumberFormat="1" applyFont="1" applyFill="1" applyBorder="1" applyAlignment="1">
      <alignment horizontal="right" wrapText="1"/>
    </xf>
    <xf numFmtId="0" fontId="33" fillId="0" borderId="1" xfId="0" quotePrefix="1" applyFont="1" applyFill="1" applyBorder="1" applyAlignment="1">
      <alignment horizontal="center"/>
    </xf>
    <xf numFmtId="165" fontId="33" fillId="0" borderId="1" xfId="1" applyNumberFormat="1" applyFont="1" applyFill="1" applyBorder="1" applyAlignment="1">
      <alignment horizontal="right"/>
    </xf>
    <xf numFmtId="1" fontId="34" fillId="0" borderId="1" xfId="0" applyNumberFormat="1" applyFont="1" applyFill="1" applyBorder="1" applyAlignment="1" applyProtection="1">
      <alignment horizontal="right"/>
      <protection locked="0"/>
    </xf>
    <xf numFmtId="0" fontId="33" fillId="0" borderId="10" xfId="0" applyFont="1" applyFill="1" applyBorder="1" applyAlignment="1">
      <alignment horizontal="right"/>
    </xf>
    <xf numFmtId="0" fontId="33" fillId="0" borderId="10" xfId="0" quotePrefix="1" applyFont="1" applyFill="1" applyBorder="1" applyAlignment="1">
      <alignment horizontal="right" wrapText="1"/>
    </xf>
    <xf numFmtId="1" fontId="33" fillId="0" borderId="10" xfId="0" applyNumberFormat="1" applyFont="1" applyFill="1" applyBorder="1" applyAlignment="1" applyProtection="1">
      <alignment horizontal="right"/>
      <protection locked="0"/>
    </xf>
    <xf numFmtId="0" fontId="33" fillId="0" borderId="10" xfId="0" applyFont="1" applyFill="1" applyBorder="1" applyAlignment="1">
      <alignment wrapText="1"/>
    </xf>
    <xf numFmtId="1" fontId="34" fillId="0" borderId="1" xfId="0" applyNumberFormat="1" applyFont="1" applyFill="1" applyBorder="1" applyAlignment="1">
      <alignment wrapText="1"/>
    </xf>
    <xf numFmtId="166" fontId="34" fillId="0" borderId="1" xfId="1" applyNumberFormat="1" applyFont="1" applyFill="1" applyBorder="1" applyAlignment="1">
      <alignment wrapText="1"/>
    </xf>
    <xf numFmtId="164" fontId="33" fillId="0" borderId="0" xfId="1" applyFont="1" applyFill="1" applyAlignment="1">
      <alignment horizontal="center" vertical="top"/>
    </xf>
    <xf numFmtId="0" fontId="33" fillId="0" borderId="0" xfId="0" applyFont="1" applyFill="1" applyAlignment="1">
      <alignment horizontal="center" vertical="top"/>
    </xf>
    <xf numFmtId="0" fontId="33" fillId="0" borderId="0" xfId="0" applyFont="1" applyFill="1" applyBorder="1" applyAlignment="1">
      <alignment horizontal="right"/>
    </xf>
    <xf numFmtId="0" fontId="33" fillId="0" borderId="1" xfId="0" applyFont="1" applyFill="1" applyBorder="1" applyAlignment="1">
      <alignment horizontal="center"/>
    </xf>
    <xf numFmtId="0" fontId="33" fillId="0" borderId="1" xfId="0" applyFont="1" applyFill="1" applyBorder="1" applyAlignment="1"/>
    <xf numFmtId="1" fontId="34" fillId="0" borderId="0" xfId="0" applyNumberFormat="1" applyFont="1" applyFill="1" applyBorder="1" applyAlignment="1">
      <alignment horizontal="center" wrapText="1"/>
    </xf>
    <xf numFmtId="0" fontId="34" fillId="0" borderId="0" xfId="0" applyFont="1" applyFill="1" applyBorder="1" applyAlignment="1">
      <alignment horizontal="right" wrapText="1"/>
    </xf>
    <xf numFmtId="166" fontId="34" fillId="0" borderId="0" xfId="1" applyNumberFormat="1" applyFont="1" applyFill="1" applyBorder="1" applyAlignment="1">
      <alignment horizontal="right" wrapText="1"/>
    </xf>
    <xf numFmtId="0" fontId="34" fillId="0" borderId="0" xfId="0" applyFont="1" applyFill="1" applyBorder="1" applyAlignment="1">
      <alignment wrapText="1"/>
    </xf>
    <xf numFmtId="0" fontId="34" fillId="0" borderId="0" xfId="0" applyFont="1" applyFill="1" applyBorder="1"/>
    <xf numFmtId="1" fontId="34" fillId="0" borderId="0" xfId="0" applyNumberFormat="1" applyFont="1" applyFill="1" applyBorder="1" applyAlignment="1">
      <alignment horizontal="center"/>
    </xf>
    <xf numFmtId="1" fontId="34" fillId="0" borderId="0" xfId="0" applyNumberFormat="1" applyFont="1" applyFill="1" applyBorder="1" applyAlignment="1">
      <alignment horizontal="right"/>
    </xf>
    <xf numFmtId="0" fontId="34" fillId="0" borderId="0" xfId="0" applyFont="1" applyFill="1" applyBorder="1" applyAlignment="1">
      <alignment horizontal="right"/>
    </xf>
    <xf numFmtId="166" fontId="34" fillId="0" borderId="0" xfId="1" applyNumberFormat="1" applyFont="1" applyFill="1" applyBorder="1" applyAlignment="1">
      <alignment horizontal="right"/>
    </xf>
    <xf numFmtId="0" fontId="34" fillId="0" borderId="0" xfId="0" applyFont="1" applyFill="1" applyBorder="1" applyAlignment="1"/>
    <xf numFmtId="164" fontId="33" fillId="0" borderId="1" xfId="1" applyFont="1" applyFill="1" applyBorder="1" applyAlignment="1">
      <alignment horizontal="center"/>
    </xf>
    <xf numFmtId="164" fontId="33" fillId="0" borderId="0" xfId="1" applyFont="1" applyFill="1" applyAlignment="1">
      <alignment horizontal="center" vertical="center"/>
    </xf>
    <xf numFmtId="0" fontId="33" fillId="0" borderId="0" xfId="0" applyFont="1" applyFill="1" applyAlignment="1">
      <alignment horizontal="center" vertical="center"/>
    </xf>
    <xf numFmtId="166" fontId="33" fillId="0" borderId="0" xfId="1" applyNumberFormat="1" applyFont="1" applyFill="1" applyAlignment="1">
      <alignment horizontal="right"/>
    </xf>
    <xf numFmtId="165" fontId="33" fillId="0" borderId="1" xfId="1" applyNumberFormat="1" applyFont="1" applyFill="1" applyBorder="1" applyAlignment="1">
      <alignment wrapText="1"/>
    </xf>
    <xf numFmtId="165" fontId="33" fillId="0" borderId="1" xfId="1" applyNumberFormat="1" applyFont="1" applyFill="1" applyBorder="1" applyAlignment="1">
      <alignment horizontal="left" wrapText="1"/>
    </xf>
    <xf numFmtId="0" fontId="33" fillId="0" borderId="0" xfId="0" quotePrefix="1" applyFont="1" applyFill="1" applyBorder="1" applyAlignment="1">
      <alignment horizontal="right" wrapText="1"/>
    </xf>
    <xf numFmtId="0" fontId="33" fillId="0" borderId="0" xfId="0" quotePrefix="1" applyFont="1" applyFill="1" applyBorder="1" applyAlignment="1">
      <alignment horizontal="right"/>
    </xf>
    <xf numFmtId="166" fontId="33" fillId="0" borderId="0" xfId="1" quotePrefix="1" applyNumberFormat="1" applyFont="1" applyFill="1" applyBorder="1" applyAlignment="1">
      <alignment horizontal="right"/>
    </xf>
    <xf numFmtId="164" fontId="33" fillId="0" borderId="0" xfId="1" applyFont="1" applyFill="1" applyAlignment="1">
      <alignment horizontal="center" wrapText="1"/>
    </xf>
    <xf numFmtId="0" fontId="33" fillId="0" borderId="0" xfId="0" applyFont="1" applyFill="1" applyAlignment="1">
      <alignment horizontal="center" wrapText="1"/>
    </xf>
    <xf numFmtId="1" fontId="34" fillId="0" borderId="1" xfId="1" applyNumberFormat="1" applyFont="1" applyFill="1" applyBorder="1" applyAlignment="1">
      <alignment horizontal="center" wrapText="1"/>
    </xf>
    <xf numFmtId="1" fontId="34" fillId="0" borderId="1" xfId="1" applyNumberFormat="1" applyFont="1" applyFill="1" applyBorder="1" applyAlignment="1">
      <alignment horizontal="right" wrapText="1"/>
    </xf>
    <xf numFmtId="166" fontId="33" fillId="0" borderId="0" xfId="0" applyNumberFormat="1" applyFont="1" applyFill="1" applyBorder="1" applyAlignment="1">
      <alignment wrapText="1"/>
    </xf>
    <xf numFmtId="0" fontId="34" fillId="0" borderId="5" xfId="0" quotePrefix="1" applyFont="1" applyFill="1" applyBorder="1" applyAlignment="1">
      <alignment vertical="center"/>
    </xf>
    <xf numFmtId="49" fontId="33" fillId="0" borderId="9" xfId="0" applyNumberFormat="1" applyFont="1" applyFill="1" applyBorder="1" applyAlignment="1">
      <alignment horizontal="right" wrapText="1"/>
    </xf>
    <xf numFmtId="0" fontId="33" fillId="0" borderId="9" xfId="0" applyFont="1" applyFill="1" applyBorder="1" applyAlignment="1">
      <alignment wrapText="1"/>
    </xf>
    <xf numFmtId="0" fontId="34" fillId="0" borderId="1" xfId="0" applyFont="1" applyFill="1" applyBorder="1" applyAlignment="1">
      <alignment horizontal="left" wrapText="1"/>
    </xf>
    <xf numFmtId="0" fontId="34" fillId="0" borderId="0" xfId="0" applyFont="1" applyFill="1" applyBorder="1" applyAlignment="1">
      <alignment horizontal="left" wrapText="1"/>
    </xf>
    <xf numFmtId="1" fontId="33" fillId="0" borderId="1" xfId="0" applyNumberFormat="1" applyFont="1" applyFill="1" applyBorder="1" applyAlignment="1">
      <alignment horizontal="left"/>
    </xf>
    <xf numFmtId="1" fontId="33" fillId="0" borderId="1" xfId="0" applyNumberFormat="1" applyFont="1" applyFill="1" applyBorder="1" applyAlignment="1" applyProtection="1">
      <alignment horizontal="center"/>
      <protection locked="0"/>
    </xf>
    <xf numFmtId="0" fontId="33" fillId="0" borderId="1" xfId="0" applyFont="1" applyFill="1" applyBorder="1" applyAlignment="1" applyProtection="1">
      <alignment horizontal="right"/>
      <protection locked="0"/>
    </xf>
    <xf numFmtId="0" fontId="33" fillId="0" borderId="3" xfId="0" quotePrefix="1" applyFont="1" applyFill="1" applyBorder="1" applyAlignment="1" applyProtection="1">
      <alignment horizontal="right"/>
      <protection locked="0"/>
    </xf>
    <xf numFmtId="1" fontId="33" fillId="0" borderId="0" xfId="0" applyNumberFormat="1" applyFont="1" applyFill="1" applyBorder="1" applyAlignment="1" applyProtection="1">
      <alignment horizontal="center"/>
      <protection locked="0"/>
    </xf>
    <xf numFmtId="0" fontId="33" fillId="0" borderId="0" xfId="0" quotePrefix="1" applyFont="1" applyFill="1" applyBorder="1" applyAlignment="1" applyProtection="1">
      <alignment horizontal="right"/>
      <protection locked="0"/>
    </xf>
    <xf numFmtId="4" fontId="33" fillId="0" borderId="0" xfId="0" applyNumberFormat="1" applyFont="1" applyFill="1" applyBorder="1" applyAlignment="1" applyProtection="1">
      <alignment wrapText="1"/>
      <protection locked="0"/>
    </xf>
    <xf numFmtId="164" fontId="34" fillId="0" borderId="0" xfId="1" applyFont="1" applyFill="1" applyBorder="1" applyAlignment="1" applyProtection="1">
      <alignment wrapText="1"/>
      <protection locked="0"/>
    </xf>
    <xf numFmtId="4" fontId="34" fillId="0" borderId="0" xfId="0" applyNumberFormat="1" applyFont="1" applyFill="1" applyBorder="1" applyAlignment="1" applyProtection="1">
      <alignment wrapText="1"/>
      <protection locked="0"/>
    </xf>
    <xf numFmtId="1" fontId="33" fillId="0" borderId="1" xfId="0" quotePrefix="1" applyNumberFormat="1" applyFont="1" applyFill="1" applyBorder="1" applyAlignment="1" applyProtection="1">
      <alignment horizontal="center"/>
      <protection locked="0"/>
    </xf>
    <xf numFmtId="1" fontId="33" fillId="0" borderId="1" xfId="0" quotePrefix="1" applyNumberFormat="1" applyFont="1" applyFill="1" applyBorder="1" applyAlignment="1">
      <alignment horizontal="right" wrapText="1"/>
    </xf>
    <xf numFmtId="1" fontId="34" fillId="0" borderId="1" xfId="0" applyNumberFormat="1" applyFont="1" applyFill="1" applyBorder="1" applyAlignment="1"/>
    <xf numFmtId="166" fontId="34" fillId="0" borderId="1" xfId="1" applyNumberFormat="1" applyFont="1" applyFill="1" applyBorder="1" applyAlignment="1"/>
    <xf numFmtId="1" fontId="33" fillId="0" borderId="1" xfId="0" quotePrefix="1" applyNumberFormat="1" applyFont="1" applyFill="1" applyBorder="1" applyAlignment="1">
      <alignment horizontal="center"/>
    </xf>
    <xf numFmtId="49" fontId="33" fillId="0" borderId="1" xfId="0" quotePrefix="1" applyNumberFormat="1" applyFont="1" applyFill="1" applyBorder="1" applyAlignment="1" applyProtection="1">
      <alignment horizontal="right"/>
      <protection locked="0"/>
    </xf>
    <xf numFmtId="1" fontId="33" fillId="0" borderId="0" xfId="0" quotePrefix="1" applyNumberFormat="1" applyFont="1" applyFill="1" applyAlignment="1">
      <alignment horizontal="center"/>
    </xf>
    <xf numFmtId="1" fontId="33" fillId="0" borderId="15" xfId="0" quotePrefix="1" applyNumberFormat="1" applyFont="1" applyFill="1" applyBorder="1" applyAlignment="1">
      <alignment horizontal="center"/>
    </xf>
    <xf numFmtId="0" fontId="33" fillId="0" borderId="1" xfId="0" quotePrefix="1" applyFont="1" applyFill="1" applyBorder="1" applyAlignment="1" applyProtection="1">
      <alignment wrapText="1"/>
      <protection locked="0"/>
    </xf>
    <xf numFmtId="49" fontId="33" fillId="0" borderId="1" xfId="0" applyNumberFormat="1" applyFont="1" applyFill="1" applyBorder="1" applyAlignment="1">
      <alignment horizontal="left"/>
    </xf>
    <xf numFmtId="49" fontId="33" fillId="0" borderId="1" xfId="0" applyNumberFormat="1" applyFont="1" applyFill="1" applyBorder="1" applyAlignment="1"/>
    <xf numFmtId="0" fontId="33" fillId="0" borderId="10" xfId="0" applyFont="1" applyFill="1" applyBorder="1" applyAlignment="1"/>
    <xf numFmtId="0" fontId="34" fillId="0" borderId="10" xfId="0" quotePrefix="1" applyFont="1" applyFill="1" applyBorder="1" applyAlignment="1">
      <alignment vertical="center"/>
    </xf>
    <xf numFmtId="164" fontId="33" fillId="0" borderId="1" xfId="1" quotePrefix="1" applyFont="1" applyFill="1" applyBorder="1" applyAlignment="1">
      <alignment horizontal="right"/>
    </xf>
    <xf numFmtId="166" fontId="34" fillId="0" borderId="1" xfId="1" quotePrefix="1" applyNumberFormat="1" applyFont="1" applyFill="1" applyBorder="1" applyAlignment="1" applyProtection="1">
      <alignment horizontal="right"/>
      <protection locked="0"/>
    </xf>
    <xf numFmtId="0" fontId="34" fillId="0" borderId="0" xfId="0" quotePrefix="1" applyFont="1" applyFill="1" applyAlignment="1">
      <alignment vertical="center"/>
    </xf>
    <xf numFmtId="164" fontId="34" fillId="0" borderId="1" xfId="1" applyFont="1" applyFill="1" applyBorder="1" applyAlignment="1">
      <alignment horizontal="center" wrapText="1"/>
    </xf>
    <xf numFmtId="166" fontId="33" fillId="0" borderId="0" xfId="1" applyNumberFormat="1" applyFont="1" applyFill="1" applyBorder="1" applyAlignment="1" applyProtection="1">
      <alignment horizontal="right"/>
      <protection locked="0"/>
    </xf>
    <xf numFmtId="1" fontId="33" fillId="0" borderId="0" xfId="1" applyNumberFormat="1" applyFont="1" applyFill="1" applyBorder="1" applyAlignment="1" applyProtection="1">
      <alignment horizontal="center"/>
      <protection locked="0"/>
    </xf>
    <xf numFmtId="1" fontId="33" fillId="0" borderId="0" xfId="1" applyNumberFormat="1" applyFont="1" applyFill="1" applyBorder="1" applyAlignment="1" applyProtection="1">
      <alignment horizontal="right"/>
      <protection locked="0"/>
    </xf>
    <xf numFmtId="166" fontId="33" fillId="0" borderId="0" xfId="1" applyNumberFormat="1" applyFont="1" applyFill="1" applyBorder="1" applyAlignment="1" applyProtection="1">
      <protection locked="0"/>
    </xf>
    <xf numFmtId="1" fontId="33" fillId="0" borderId="1" xfId="0" applyNumberFormat="1" applyFont="1" applyFill="1" applyBorder="1" applyAlignment="1">
      <alignment wrapText="1"/>
    </xf>
    <xf numFmtId="166" fontId="33" fillId="0" borderId="1" xfId="1" applyNumberFormat="1" applyFont="1" applyFill="1" applyBorder="1" applyAlignment="1">
      <alignment wrapText="1"/>
    </xf>
    <xf numFmtId="166" fontId="33" fillId="0" borderId="1" xfId="1" applyNumberFormat="1" applyFont="1" applyFill="1" applyBorder="1" applyAlignment="1">
      <alignment horizontal="center"/>
    </xf>
    <xf numFmtId="1" fontId="34" fillId="0" borderId="10" xfId="0" applyNumberFormat="1" applyFont="1" applyFill="1" applyBorder="1" applyAlignment="1">
      <alignment horizontal="center"/>
    </xf>
    <xf numFmtId="1" fontId="34" fillId="0" borderId="10" xfId="0" applyNumberFormat="1" applyFont="1" applyFill="1" applyBorder="1" applyAlignment="1">
      <alignment horizontal="right"/>
    </xf>
    <xf numFmtId="0" fontId="34" fillId="0" borderId="10" xfId="0" applyFont="1" applyFill="1" applyBorder="1" applyAlignment="1">
      <alignment horizontal="right"/>
    </xf>
    <xf numFmtId="166" fontId="34" fillId="0" borderId="10" xfId="1" applyNumberFormat="1" applyFont="1" applyFill="1" applyBorder="1" applyAlignment="1">
      <alignment horizontal="right"/>
    </xf>
    <xf numFmtId="0" fontId="34" fillId="0" borderId="10" xfId="0" applyFont="1" applyFill="1" applyBorder="1" applyAlignment="1"/>
    <xf numFmtId="164" fontId="34" fillId="0" borderId="0" xfId="1" applyFont="1" applyFill="1" applyBorder="1"/>
    <xf numFmtId="0" fontId="34" fillId="0" borderId="0" xfId="0" quotePrefix="1" applyFont="1" applyFill="1" applyBorder="1" applyAlignment="1"/>
    <xf numFmtId="1" fontId="34" fillId="0" borderId="0" xfId="0" quotePrefix="1" applyNumberFormat="1" applyFont="1" applyFill="1" applyBorder="1" applyAlignment="1">
      <alignment horizontal="center"/>
    </xf>
    <xf numFmtId="1" fontId="34" fillId="0" borderId="0" xfId="0" quotePrefix="1" applyNumberFormat="1" applyFont="1" applyFill="1" applyBorder="1" applyAlignment="1">
      <alignment horizontal="right"/>
    </xf>
    <xf numFmtId="0" fontId="34" fillId="0" borderId="0" xfId="0" quotePrefix="1" applyFont="1" applyFill="1" applyBorder="1" applyAlignment="1">
      <alignment horizontal="right"/>
    </xf>
    <xf numFmtId="166" fontId="34" fillId="0" borderId="0" xfId="1" quotePrefix="1" applyNumberFormat="1" applyFont="1" applyFill="1" applyBorder="1" applyAlignment="1">
      <alignment horizontal="right"/>
    </xf>
    <xf numFmtId="166" fontId="34" fillId="0" borderId="1" xfId="1" quotePrefix="1" applyNumberFormat="1" applyFont="1" applyFill="1" applyBorder="1" applyAlignment="1">
      <alignment horizontal="right"/>
    </xf>
    <xf numFmtId="0" fontId="34" fillId="0" borderId="0" xfId="0" quotePrefix="1" applyFont="1" applyFill="1" applyBorder="1" applyAlignment="1">
      <alignment horizontal="right" wrapText="1"/>
    </xf>
    <xf numFmtId="0" fontId="34" fillId="0" borderId="6" xfId="0" applyFont="1" applyFill="1" applyBorder="1" applyAlignment="1">
      <alignment wrapText="1"/>
    </xf>
    <xf numFmtId="0" fontId="33" fillId="0" borderId="6" xfId="0" applyFont="1" applyFill="1" applyBorder="1" applyAlignment="1">
      <alignment wrapText="1"/>
    </xf>
    <xf numFmtId="4" fontId="33" fillId="0" borderId="2" xfId="0" applyNumberFormat="1" applyFont="1" applyFill="1" applyBorder="1" applyAlignment="1" applyProtection="1">
      <alignment wrapText="1"/>
      <protection locked="0"/>
    </xf>
    <xf numFmtId="0" fontId="33" fillId="0" borderId="2" xfId="0" applyFont="1" applyFill="1" applyBorder="1" applyAlignment="1"/>
    <xf numFmtId="0" fontId="34" fillId="0" borderId="2" xfId="0" applyFont="1" applyFill="1" applyBorder="1" applyAlignment="1">
      <alignment horizontal="center" wrapText="1"/>
    </xf>
    <xf numFmtId="166" fontId="33" fillId="0" borderId="1" xfId="1" quotePrefix="1" applyNumberFormat="1" applyFont="1" applyFill="1" applyBorder="1" applyAlignment="1" applyProtection="1">
      <alignment wrapText="1"/>
      <protection locked="0"/>
    </xf>
    <xf numFmtId="0" fontId="34" fillId="0" borderId="1" xfId="0" quotePrefix="1" applyFont="1" applyFill="1" applyBorder="1" applyAlignment="1" applyProtection="1">
      <alignment horizontal="right"/>
      <protection locked="0"/>
    </xf>
    <xf numFmtId="4" fontId="34" fillId="0" borderId="1" xfId="0" applyNumberFormat="1" applyFont="1" applyFill="1" applyBorder="1" applyAlignment="1" applyProtection="1">
      <alignment wrapText="1"/>
      <protection locked="0"/>
    </xf>
    <xf numFmtId="0" fontId="34" fillId="0" borderId="0" xfId="0" quotePrefix="1" applyFont="1" applyFill="1" applyBorder="1" applyAlignment="1" applyProtection="1">
      <alignment horizontal="right"/>
      <protection locked="0"/>
    </xf>
    <xf numFmtId="0" fontId="34" fillId="0" borderId="0" xfId="0" applyFont="1" applyFill="1" applyBorder="1" applyAlignment="1" applyProtection="1">
      <alignment horizontal="right"/>
      <protection locked="0"/>
    </xf>
    <xf numFmtId="166" fontId="34" fillId="0" borderId="0" xfId="1" quotePrefix="1" applyNumberFormat="1" applyFont="1" applyFill="1" applyBorder="1" applyAlignment="1" applyProtection="1">
      <alignment horizontal="right"/>
      <protection locked="0"/>
    </xf>
    <xf numFmtId="4" fontId="33" fillId="0" borderId="1" xfId="0" quotePrefix="1" applyNumberFormat="1" applyFont="1" applyFill="1" applyBorder="1" applyAlignment="1" applyProtection="1">
      <alignment wrapText="1"/>
      <protection locked="0"/>
    </xf>
    <xf numFmtId="4" fontId="33" fillId="0" borderId="1" xfId="0" applyNumberFormat="1" applyFont="1" applyFill="1" applyBorder="1" applyAlignment="1">
      <alignment horizontal="center" wrapText="1"/>
    </xf>
    <xf numFmtId="4" fontId="34" fillId="0" borderId="1" xfId="0" applyNumberFormat="1" applyFont="1" applyFill="1" applyBorder="1" applyAlignment="1">
      <alignment horizontal="right" wrapText="1"/>
    </xf>
    <xf numFmtId="4" fontId="33" fillId="0" borderId="0" xfId="0" applyNumberFormat="1" applyFont="1" applyFill="1" applyBorder="1" applyAlignment="1">
      <alignment horizontal="right" wrapText="1"/>
    </xf>
    <xf numFmtId="166" fontId="33" fillId="0" borderId="0" xfId="1" applyNumberFormat="1" applyFont="1" applyFill="1" applyBorder="1" applyAlignment="1">
      <alignment horizontal="left"/>
    </xf>
    <xf numFmtId="4" fontId="33" fillId="0" borderId="1" xfId="0" applyNumberFormat="1" applyFont="1" applyFill="1" applyBorder="1" applyProtection="1">
      <protection locked="0"/>
    </xf>
    <xf numFmtId="0" fontId="34" fillId="0" borderId="1" xfId="0" applyFont="1" applyFill="1" applyBorder="1" applyAlignment="1">
      <alignment vertical="center"/>
    </xf>
    <xf numFmtId="166" fontId="33" fillId="0" borderId="1" xfId="1" quotePrefix="1" applyNumberFormat="1" applyFont="1" applyFill="1" applyBorder="1" applyAlignment="1" applyProtection="1">
      <alignment horizontal="center"/>
      <protection locked="0"/>
    </xf>
    <xf numFmtId="0" fontId="33" fillId="0" borderId="1" xfId="0" quotePrefix="1" applyFont="1" applyFill="1" applyBorder="1" applyAlignment="1" applyProtection="1">
      <alignment horizontal="center" wrapText="1"/>
      <protection locked="0"/>
    </xf>
    <xf numFmtId="0" fontId="34" fillId="0" borderId="5" xfId="0" quotePrefix="1" applyFont="1" applyFill="1" applyBorder="1" applyAlignment="1"/>
    <xf numFmtId="1" fontId="34" fillId="0" borderId="5" xfId="0" quotePrefix="1" applyNumberFormat="1" applyFont="1" applyFill="1" applyBorder="1" applyAlignment="1">
      <alignment horizontal="center"/>
    </xf>
    <xf numFmtId="1" fontId="34" fillId="0" borderId="5" xfId="0" quotePrefix="1" applyNumberFormat="1" applyFont="1" applyFill="1" applyBorder="1" applyAlignment="1">
      <alignment horizontal="right"/>
    </xf>
    <xf numFmtId="164" fontId="33" fillId="0" borderId="0" xfId="1" applyFont="1" applyFill="1" applyBorder="1" applyAlignment="1">
      <alignment horizontal="right" wrapText="1"/>
    </xf>
    <xf numFmtId="4" fontId="33" fillId="0" borderId="1" xfId="0" quotePrefix="1" applyNumberFormat="1" applyFont="1" applyFill="1" applyBorder="1" applyAlignment="1" applyProtection="1">
      <alignment horizontal="center"/>
      <protection locked="0"/>
    </xf>
    <xf numFmtId="165" fontId="33" fillId="0" borderId="1" xfId="1" applyNumberFormat="1" applyFont="1" applyFill="1" applyBorder="1" applyAlignment="1">
      <alignment vertical="center" wrapText="1"/>
    </xf>
    <xf numFmtId="4" fontId="33" fillId="0" borderId="0" xfId="0" applyNumberFormat="1" applyFont="1" applyFill="1" applyBorder="1" applyAlignment="1" applyProtection="1">
      <alignment vertical="center" wrapText="1"/>
      <protection locked="0"/>
    </xf>
    <xf numFmtId="49" fontId="33" fillId="0" borderId="1" xfId="0" applyNumberFormat="1" applyFont="1" applyFill="1" applyBorder="1" applyAlignment="1">
      <alignment horizontal="center"/>
    </xf>
    <xf numFmtId="3" fontId="33" fillId="0" borderId="0" xfId="0" applyNumberFormat="1" applyFont="1" applyFill="1" applyBorder="1" applyAlignment="1">
      <alignment horizontal="right"/>
    </xf>
    <xf numFmtId="164" fontId="33" fillId="0" borderId="0" xfId="1" applyFont="1" applyFill="1" applyAlignment="1">
      <alignment wrapText="1"/>
    </xf>
    <xf numFmtId="164" fontId="33" fillId="0" borderId="1" xfId="1" applyFont="1" applyFill="1" applyBorder="1" applyAlignment="1">
      <alignment vertical="center" wrapText="1"/>
    </xf>
    <xf numFmtId="165" fontId="34" fillId="0" borderId="1" xfId="1" applyNumberFormat="1" applyFont="1" applyFill="1" applyBorder="1" applyAlignment="1">
      <alignment wrapText="1"/>
    </xf>
    <xf numFmtId="49" fontId="34" fillId="0" borderId="5" xfId="0" quotePrefix="1" applyNumberFormat="1" applyFont="1" applyFill="1" applyBorder="1" applyAlignment="1">
      <alignment vertical="center"/>
    </xf>
    <xf numFmtId="1" fontId="33" fillId="0" borderId="1" xfId="1" applyNumberFormat="1" applyFont="1" applyFill="1" applyBorder="1" applyAlignment="1">
      <alignment horizontal="center" wrapText="1"/>
    </xf>
    <xf numFmtId="1" fontId="33" fillId="0" borderId="1" xfId="1" applyNumberFormat="1" applyFont="1" applyFill="1" applyBorder="1" applyAlignment="1">
      <alignment horizontal="right" wrapText="1"/>
    </xf>
    <xf numFmtId="165" fontId="33" fillId="0" borderId="1" xfId="1" applyNumberFormat="1" applyFont="1" applyFill="1" applyBorder="1" applyAlignment="1">
      <alignment horizontal="right" wrapText="1"/>
    </xf>
    <xf numFmtId="1" fontId="33" fillId="0" borderId="1" xfId="1" quotePrefix="1" applyNumberFormat="1" applyFont="1" applyFill="1" applyBorder="1" applyAlignment="1">
      <alignment horizontal="right" wrapText="1"/>
    </xf>
    <xf numFmtId="4" fontId="33" fillId="0" borderId="1" xfId="0" applyNumberFormat="1" applyFont="1" applyFill="1" applyBorder="1" applyAlignment="1">
      <alignment horizontal="right"/>
    </xf>
    <xf numFmtId="3" fontId="33" fillId="0" borderId="1" xfId="0" applyNumberFormat="1" applyFont="1" applyFill="1" applyBorder="1" applyAlignment="1">
      <alignment horizontal="right"/>
    </xf>
    <xf numFmtId="164" fontId="33" fillId="0" borderId="0" xfId="1" applyFont="1" applyFill="1" applyBorder="1"/>
    <xf numFmtId="0" fontId="33" fillId="0" borderId="2" xfId="0" applyFont="1" applyFill="1" applyBorder="1"/>
    <xf numFmtId="165" fontId="33" fillId="0" borderId="1" xfId="1" applyNumberFormat="1" applyFont="1" applyFill="1" applyBorder="1" applyAlignment="1">
      <alignment horizontal="left" vertical="top" wrapText="1"/>
    </xf>
    <xf numFmtId="4" fontId="36" fillId="0" borderId="1" xfId="0" quotePrefix="1" applyNumberFormat="1" applyFont="1" applyFill="1" applyBorder="1" applyAlignment="1" applyProtection="1">
      <alignment horizontal="center"/>
      <protection locked="0"/>
    </xf>
    <xf numFmtId="49" fontId="34" fillId="0" borderId="1" xfId="0" applyNumberFormat="1" applyFont="1" applyFill="1" applyBorder="1" applyAlignment="1">
      <alignment horizontal="center"/>
    </xf>
    <xf numFmtId="0" fontId="33" fillId="0" borderId="1" xfId="0" applyFont="1" applyFill="1" applyBorder="1" applyAlignment="1">
      <alignment horizontal="left"/>
    </xf>
    <xf numFmtId="165" fontId="34" fillId="0" borderId="1" xfId="2" applyNumberFormat="1" applyFont="1" applyFill="1" applyBorder="1" applyAlignment="1">
      <alignment vertical="center" wrapText="1"/>
    </xf>
    <xf numFmtId="1" fontId="33" fillId="0" borderId="0" xfId="0" applyNumberFormat="1" applyFont="1" applyFill="1" applyAlignment="1">
      <alignment horizontal="center"/>
    </xf>
    <xf numFmtId="1" fontId="33" fillId="0" borderId="0" xfId="0" applyNumberFormat="1" applyFont="1" applyFill="1" applyAlignment="1">
      <alignment horizontal="right"/>
    </xf>
    <xf numFmtId="49" fontId="34" fillId="0" borderId="0" xfId="0" applyNumberFormat="1" applyFont="1" applyFill="1" applyBorder="1" applyAlignment="1">
      <alignment horizontal="right"/>
    </xf>
    <xf numFmtId="0" fontId="33" fillId="0" borderId="1" xfId="0" applyFont="1" applyFill="1" applyBorder="1" applyAlignment="1">
      <alignment horizontal="center" wrapText="1"/>
    </xf>
    <xf numFmtId="166" fontId="33" fillId="0" borderId="0" xfId="1" applyNumberFormat="1" applyFont="1" applyFill="1"/>
    <xf numFmtId="0" fontId="33" fillId="0" borderId="1" xfId="14" applyFont="1" applyFill="1" applyBorder="1" applyAlignment="1">
      <alignment vertical="top" wrapText="1"/>
    </xf>
    <xf numFmtId="0" fontId="33" fillId="0" borderId="2" xfId="0" applyFont="1" applyFill="1" applyBorder="1" applyAlignment="1">
      <alignment horizontal="left" vertical="top" wrapText="1"/>
    </xf>
    <xf numFmtId="0" fontId="33" fillId="0" borderId="11" xfId="0" applyFont="1" applyFill="1" applyBorder="1" applyAlignment="1">
      <alignment wrapText="1"/>
    </xf>
    <xf numFmtId="49" fontId="33" fillId="0" borderId="1" xfId="0" applyNumberFormat="1" applyFont="1" applyFill="1" applyBorder="1" applyAlignment="1">
      <alignment horizontal="center" wrapText="1"/>
    </xf>
    <xf numFmtId="0" fontId="33" fillId="0" borderId="1" xfId="0" applyFont="1" applyFill="1" applyBorder="1" applyAlignment="1">
      <alignment horizontal="left" wrapText="1"/>
    </xf>
    <xf numFmtId="49" fontId="33" fillId="0" borderId="15" xfId="0" applyNumberFormat="1" applyFont="1" applyFill="1" applyBorder="1" applyAlignment="1">
      <alignment horizontal="left" wrapText="1"/>
    </xf>
    <xf numFmtId="49" fontId="33" fillId="0" borderId="15" xfId="0" quotePrefix="1" applyNumberFormat="1" applyFont="1" applyFill="1" applyBorder="1" applyAlignment="1">
      <alignment horizontal="left" wrapText="1"/>
    </xf>
    <xf numFmtId="49" fontId="33" fillId="0" borderId="15" xfId="0" applyNumberFormat="1" applyFont="1" applyFill="1" applyBorder="1" applyAlignment="1">
      <alignment wrapText="1"/>
    </xf>
    <xf numFmtId="49" fontId="33" fillId="0" borderId="1" xfId="0" applyNumberFormat="1" applyFont="1" applyFill="1" applyBorder="1" applyAlignment="1">
      <alignment wrapText="1"/>
    </xf>
    <xf numFmtId="49" fontId="33" fillId="0" borderId="1" xfId="0" applyNumberFormat="1" applyFont="1" applyFill="1" applyBorder="1" applyAlignment="1">
      <alignment horizontal="left" wrapText="1"/>
    </xf>
    <xf numFmtId="49" fontId="33" fillId="0" borderId="3" xfId="0" quotePrefix="1" applyNumberFormat="1" applyFont="1" applyFill="1" applyBorder="1" applyAlignment="1">
      <alignment horizontal="left"/>
    </xf>
    <xf numFmtId="4" fontId="33" fillId="0" borderId="1" xfId="0" applyNumberFormat="1" applyFont="1" applyFill="1" applyBorder="1" applyAlignment="1" applyProtection="1">
      <alignment vertical="top" wrapText="1"/>
      <protection locked="0"/>
    </xf>
    <xf numFmtId="4" fontId="33" fillId="0" borderId="14" xfId="0" applyNumberFormat="1" applyFont="1" applyFill="1" applyBorder="1" applyAlignment="1" applyProtection="1">
      <alignment wrapText="1"/>
      <protection locked="0"/>
    </xf>
    <xf numFmtId="0" fontId="33" fillId="0" borderId="9" xfId="0" quotePrefix="1" applyFont="1" applyFill="1" applyBorder="1" applyAlignment="1">
      <alignment horizontal="center"/>
    </xf>
    <xf numFmtId="49" fontId="34" fillId="0" borderId="1" xfId="0" applyNumberFormat="1" applyFont="1" applyFill="1" applyBorder="1" applyAlignment="1">
      <alignment horizontal="left"/>
    </xf>
    <xf numFmtId="2" fontId="34" fillId="0" borderId="1" xfId="0" applyNumberFormat="1" applyFont="1" applyFill="1" applyBorder="1" applyAlignment="1">
      <alignment horizontal="left"/>
    </xf>
    <xf numFmtId="4" fontId="34" fillId="0" borderId="1" xfId="0" applyNumberFormat="1" applyFont="1" applyFill="1" applyBorder="1" applyAlignment="1">
      <alignment horizontal="left"/>
    </xf>
    <xf numFmtId="3" fontId="34" fillId="0" borderId="1" xfId="0" applyNumberFormat="1" applyFont="1" applyFill="1" applyBorder="1" applyAlignment="1">
      <alignment horizontal="left"/>
    </xf>
    <xf numFmtId="4" fontId="34" fillId="0" borderId="9" xfId="0" applyNumberFormat="1" applyFont="1" applyFill="1" applyBorder="1" applyAlignment="1">
      <alignment horizontal="left"/>
    </xf>
    <xf numFmtId="165" fontId="33" fillId="0" borderId="1" xfId="1" applyNumberFormat="1" applyFont="1" applyFill="1" applyBorder="1" applyAlignment="1" applyProtection="1">
      <alignment horizontal="left" vertical="center" wrapText="1"/>
      <protection locked="0"/>
    </xf>
    <xf numFmtId="0" fontId="33" fillId="0" borderId="1" xfId="0" quotePrefix="1" applyFont="1" applyFill="1" applyBorder="1" applyAlignment="1"/>
    <xf numFmtId="0" fontId="33" fillId="0" borderId="2" xfId="0" applyFont="1" applyFill="1" applyBorder="1" applyAlignment="1">
      <alignment horizontal="left" wrapText="1"/>
    </xf>
    <xf numFmtId="1" fontId="33" fillId="0" borderId="2" xfId="0" applyNumberFormat="1" applyFont="1" applyFill="1" applyBorder="1" applyAlignment="1">
      <alignment horizontal="center" wrapText="1"/>
    </xf>
    <xf numFmtId="1" fontId="33" fillId="0" borderId="2" xfId="0" applyNumberFormat="1" applyFont="1" applyFill="1" applyBorder="1" applyAlignment="1">
      <alignment wrapText="1"/>
    </xf>
    <xf numFmtId="165" fontId="33" fillId="0" borderId="2" xfId="0" applyNumberFormat="1" applyFont="1" applyFill="1" applyBorder="1" applyAlignment="1">
      <alignment horizontal="left" wrapText="1"/>
    </xf>
    <xf numFmtId="166" fontId="33" fillId="0" borderId="2" xfId="1" applyNumberFormat="1" applyFont="1" applyFill="1" applyBorder="1" applyAlignment="1">
      <alignment wrapText="1"/>
    </xf>
    <xf numFmtId="165" fontId="33" fillId="0" borderId="1" xfId="2" applyNumberFormat="1" applyFont="1" applyFill="1" applyBorder="1" applyAlignment="1">
      <alignment horizontal="left" wrapText="1"/>
    </xf>
    <xf numFmtId="166" fontId="34" fillId="0" borderId="4" xfId="1" quotePrefix="1" applyNumberFormat="1" applyFont="1" applyFill="1" applyBorder="1" applyAlignment="1">
      <alignment horizontal="right"/>
    </xf>
    <xf numFmtId="0" fontId="33" fillId="0" borderId="0" xfId="0" applyFont="1" applyFill="1" applyBorder="1" applyAlignment="1">
      <alignment horizontal="left"/>
    </xf>
    <xf numFmtId="166" fontId="33" fillId="0" borderId="1" xfId="1" applyNumberFormat="1" applyFont="1" applyFill="1" applyBorder="1" applyAlignment="1"/>
    <xf numFmtId="165" fontId="36" fillId="0" borderId="1" xfId="1" applyNumberFormat="1" applyFont="1" applyFill="1" applyBorder="1" applyAlignment="1">
      <alignment wrapText="1"/>
    </xf>
    <xf numFmtId="0" fontId="33" fillId="0" borderId="9" xfId="0" applyFont="1" applyFill="1" applyBorder="1" applyAlignment="1">
      <alignment horizontal="left" wrapText="1"/>
    </xf>
    <xf numFmtId="0" fontId="33" fillId="0" borderId="10" xfId="0" applyFont="1" applyFill="1" applyBorder="1" applyAlignment="1">
      <alignment horizontal="left" wrapText="1"/>
    </xf>
    <xf numFmtId="0" fontId="33" fillId="0" borderId="0" xfId="0" applyFont="1" applyFill="1" applyBorder="1" applyAlignment="1">
      <alignment horizontal="left" wrapText="1"/>
    </xf>
    <xf numFmtId="166" fontId="34" fillId="0" borderId="1" xfId="1" applyNumberFormat="1" applyFont="1" applyFill="1" applyBorder="1" applyAlignment="1">
      <alignment horizontal="left" wrapText="1"/>
    </xf>
    <xf numFmtId="0" fontId="34" fillId="0" borderId="5" xfId="0" quotePrefix="1" applyFont="1" applyFill="1" applyBorder="1" applyAlignment="1">
      <alignment horizontal="right"/>
    </xf>
    <xf numFmtId="166" fontId="34" fillId="0" borderId="5" xfId="1" quotePrefix="1" applyNumberFormat="1" applyFont="1" applyFill="1" applyBorder="1" applyAlignment="1">
      <alignment horizontal="right"/>
    </xf>
    <xf numFmtId="0" fontId="34" fillId="0" borderId="9" xfId="0" applyFont="1" applyFill="1" applyBorder="1" applyAlignment="1">
      <alignment horizontal="left" wrapText="1"/>
    </xf>
    <xf numFmtId="4" fontId="33" fillId="0" borderId="1" xfId="0" applyNumberFormat="1" applyFont="1" applyFill="1" applyBorder="1" applyAlignment="1" applyProtection="1">
      <alignment horizontal="left" wrapText="1"/>
      <protection locked="0"/>
    </xf>
    <xf numFmtId="0" fontId="33" fillId="0" borderId="13" xfId="0" applyFont="1" applyFill="1" applyBorder="1" applyAlignment="1"/>
    <xf numFmtId="4" fontId="33" fillId="0" borderId="0" xfId="0" applyNumberFormat="1" applyFont="1" applyFill="1" applyBorder="1" applyAlignment="1" applyProtection="1">
      <alignment horizontal="left" wrapText="1"/>
      <protection locked="0"/>
    </xf>
    <xf numFmtId="0" fontId="33" fillId="0" borderId="1" xfId="0" quotePrefix="1" applyFont="1" applyFill="1" applyBorder="1" applyAlignment="1" applyProtection="1">
      <alignment horizontal="left" wrapText="1"/>
      <protection locked="0"/>
    </xf>
    <xf numFmtId="0" fontId="34" fillId="0" borderId="10" xfId="0" quotePrefix="1" applyFont="1" applyFill="1" applyBorder="1" applyAlignment="1"/>
    <xf numFmtId="1" fontId="34" fillId="0" borderId="10" xfId="0" quotePrefix="1" applyNumberFormat="1" applyFont="1" applyFill="1" applyBorder="1" applyAlignment="1">
      <alignment horizontal="center"/>
    </xf>
    <xf numFmtId="1" fontId="34" fillId="0" borderId="10" xfId="0" quotePrefix="1" applyNumberFormat="1" applyFont="1" applyFill="1" applyBorder="1" applyAlignment="1">
      <alignment horizontal="right"/>
    </xf>
    <xf numFmtId="0" fontId="34" fillId="0" borderId="10" xfId="0" quotePrefix="1" applyFont="1" applyFill="1" applyBorder="1" applyAlignment="1">
      <alignment horizontal="right"/>
    </xf>
    <xf numFmtId="166" fontId="34" fillId="0" borderId="10" xfId="1" quotePrefix="1" applyNumberFormat="1" applyFont="1" applyFill="1" applyBorder="1" applyAlignment="1">
      <alignment horizontal="right"/>
    </xf>
    <xf numFmtId="1" fontId="34" fillId="0" borderId="0" xfId="0" quotePrefix="1" applyNumberFormat="1" applyFont="1" applyFill="1" applyAlignment="1">
      <alignment horizontal="center"/>
    </xf>
    <xf numFmtId="1" fontId="34" fillId="0" borderId="0" xfId="0" quotePrefix="1" applyNumberFormat="1" applyFont="1" applyFill="1" applyAlignment="1">
      <alignment horizontal="right"/>
    </xf>
    <xf numFmtId="0" fontId="34" fillId="0" borderId="0" xfId="0" quotePrefix="1" applyFont="1" applyFill="1" applyAlignment="1">
      <alignment horizontal="right"/>
    </xf>
    <xf numFmtId="166" fontId="34" fillId="0" borderId="0" xfId="1" quotePrefix="1" applyNumberFormat="1" applyFont="1" applyFill="1" applyAlignment="1">
      <alignment horizontal="right"/>
    </xf>
    <xf numFmtId="0" fontId="34" fillId="0" borderId="0" xfId="0" quotePrefix="1" applyFont="1" applyFill="1" applyAlignment="1"/>
    <xf numFmtId="165" fontId="33" fillId="0" borderId="1" xfId="1" applyNumberFormat="1" applyFont="1" applyFill="1" applyBorder="1" applyAlignment="1">
      <alignment horizontal="center" wrapText="1"/>
    </xf>
    <xf numFmtId="4" fontId="33" fillId="0" borderId="2" xfId="0" applyNumberFormat="1" applyFont="1" applyFill="1" applyBorder="1" applyAlignment="1" applyProtection="1">
      <alignment horizontal="left" wrapText="1"/>
      <protection locked="0"/>
    </xf>
    <xf numFmtId="0" fontId="34" fillId="0" borderId="2" xfId="0" applyFont="1" applyFill="1" applyBorder="1" applyAlignment="1">
      <alignment horizontal="left" wrapText="1"/>
    </xf>
    <xf numFmtId="0" fontId="34" fillId="0" borderId="12" xfId="0" quotePrefix="1" applyFont="1" applyFill="1" applyBorder="1" applyAlignment="1"/>
    <xf numFmtId="0" fontId="34" fillId="0" borderId="1" xfId="0" quotePrefix="1" applyFont="1" applyFill="1" applyBorder="1" applyAlignment="1"/>
    <xf numFmtId="0" fontId="33" fillId="0" borderId="1" xfId="14" applyFont="1" applyFill="1" applyBorder="1" applyAlignment="1">
      <alignment horizontal="left" wrapText="1"/>
    </xf>
    <xf numFmtId="0" fontId="33" fillId="0" borderId="11" xfId="0" applyFont="1" applyFill="1" applyBorder="1" applyAlignment="1">
      <alignment horizontal="left" wrapText="1"/>
    </xf>
    <xf numFmtId="166" fontId="33" fillId="0" borderId="9" xfId="1" applyNumberFormat="1" applyFont="1" applyFill="1" applyBorder="1" applyAlignment="1"/>
    <xf numFmtId="0" fontId="33" fillId="0" borderId="6" xfId="0" applyFont="1" applyFill="1" applyBorder="1" applyAlignment="1">
      <alignment horizontal="left" wrapText="1"/>
    </xf>
    <xf numFmtId="166" fontId="33" fillId="0" borderId="12" xfId="1" applyNumberFormat="1" applyFont="1" applyFill="1" applyBorder="1" applyAlignment="1"/>
    <xf numFmtId="166" fontId="33" fillId="0" borderId="1" xfId="1" applyNumberFormat="1" applyFont="1" applyFill="1" applyBorder="1" applyAlignment="1">
      <alignment horizontal="left"/>
    </xf>
    <xf numFmtId="166" fontId="33" fillId="0" borderId="9" xfId="1" applyNumberFormat="1" applyFont="1" applyFill="1" applyBorder="1" applyAlignment="1">
      <alignment horizontal="left" wrapText="1"/>
    </xf>
    <xf numFmtId="4" fontId="33" fillId="0" borderId="1" xfId="0" quotePrefix="1" applyNumberFormat="1" applyFont="1" applyFill="1" applyBorder="1" applyAlignment="1" applyProtection="1">
      <alignment horizontal="left" wrapText="1"/>
      <protection locked="0"/>
    </xf>
    <xf numFmtId="166" fontId="33" fillId="0" borderId="14" xfId="1" applyNumberFormat="1" applyFont="1" applyFill="1" applyBorder="1" applyAlignment="1"/>
    <xf numFmtId="0" fontId="33" fillId="0" borderId="9" xfId="0" applyFont="1" applyFill="1" applyBorder="1" applyAlignment="1"/>
    <xf numFmtId="1" fontId="33" fillId="0" borderId="1" xfId="0" applyNumberFormat="1" applyFont="1" applyFill="1" applyBorder="1" applyAlignment="1"/>
    <xf numFmtId="0" fontId="34" fillId="0" borderId="0" xfId="0" applyFont="1" applyFill="1" applyAlignment="1"/>
    <xf numFmtId="166" fontId="34" fillId="0" borderId="0" xfId="1" applyNumberFormat="1" applyFont="1" applyFill="1" applyAlignment="1"/>
    <xf numFmtId="1" fontId="33" fillId="0" borderId="2" xfId="0" applyNumberFormat="1" applyFont="1" applyFill="1" applyBorder="1" applyAlignment="1">
      <alignment horizontal="center"/>
    </xf>
    <xf numFmtId="0" fontId="34" fillId="0" borderId="12" xfId="0" applyFont="1" applyFill="1" applyBorder="1" applyAlignment="1"/>
    <xf numFmtId="168" fontId="33" fillId="0" borderId="1" xfId="0" applyNumberFormat="1" applyFont="1" applyFill="1" applyBorder="1" applyAlignment="1"/>
    <xf numFmtId="1" fontId="33" fillId="0" borderId="3" xfId="1" applyNumberFormat="1" applyFont="1" applyFill="1" applyBorder="1" applyAlignment="1">
      <alignment horizontal="right" wrapText="1"/>
    </xf>
    <xf numFmtId="166" fontId="34" fillId="0" borderId="1" xfId="1" applyNumberFormat="1" applyFont="1" applyFill="1" applyBorder="1" applyAlignment="1" applyProtection="1">
      <alignment horizontal="right" wrapText="1"/>
      <protection locked="0"/>
    </xf>
    <xf numFmtId="165" fontId="34" fillId="0" borderId="1" xfId="1" applyNumberFormat="1" applyFont="1" applyFill="1" applyBorder="1" applyAlignment="1">
      <alignment horizontal="left" wrapText="1"/>
    </xf>
    <xf numFmtId="49" fontId="34" fillId="0" borderId="5" xfId="0" quotePrefix="1" applyNumberFormat="1" applyFont="1" applyFill="1" applyBorder="1" applyAlignment="1"/>
    <xf numFmtId="49" fontId="34" fillId="0" borderId="5" xfId="0" quotePrefix="1" applyNumberFormat="1" applyFont="1" applyFill="1" applyBorder="1" applyAlignment="1">
      <alignment horizontal="right"/>
    </xf>
    <xf numFmtId="165" fontId="36" fillId="0" borderId="1" xfId="1" applyNumberFormat="1" applyFont="1" applyFill="1" applyBorder="1" applyAlignment="1">
      <alignment horizontal="right"/>
    </xf>
    <xf numFmtId="1" fontId="33" fillId="0" borderId="1" xfId="0" applyNumberFormat="1" applyFont="1" applyFill="1" applyBorder="1" applyAlignment="1">
      <alignment horizontal="left" wrapText="1"/>
    </xf>
    <xf numFmtId="0" fontId="33" fillId="0" borderId="1" xfId="0" quotePrefix="1" applyFont="1" applyFill="1" applyBorder="1" applyAlignment="1">
      <alignment horizontal="left" wrapText="1"/>
    </xf>
    <xf numFmtId="166" fontId="33" fillId="0" borderId="1" xfId="1" applyNumberFormat="1" applyFont="1" applyFill="1" applyBorder="1" applyAlignment="1">
      <alignment horizontal="left" wrapText="1"/>
    </xf>
    <xf numFmtId="0" fontId="33" fillId="0" borderId="1" xfId="1" applyNumberFormat="1" applyFont="1" applyFill="1" applyBorder="1" applyAlignment="1">
      <alignment horizontal="left" wrapText="1"/>
    </xf>
    <xf numFmtId="165" fontId="34" fillId="0" borderId="1" xfId="2" applyNumberFormat="1" applyFont="1" applyFill="1" applyBorder="1" applyAlignment="1">
      <alignment horizontal="left" wrapText="1"/>
    </xf>
    <xf numFmtId="166" fontId="34" fillId="0" borderId="1" xfId="1" applyNumberFormat="1" applyFont="1" applyFill="1" applyBorder="1" applyAlignment="1" applyProtection="1">
      <alignment horizontal="right"/>
      <protection locked="0"/>
    </xf>
    <xf numFmtId="1" fontId="34" fillId="0" borderId="0" xfId="0" applyNumberFormat="1" applyFont="1" applyFill="1" applyBorder="1" applyAlignment="1"/>
    <xf numFmtId="166" fontId="34" fillId="0" borderId="0" xfId="1" applyNumberFormat="1" applyFont="1" applyFill="1" applyBorder="1" applyAlignment="1"/>
    <xf numFmtId="0" fontId="34" fillId="0" borderId="1" xfId="0" applyFont="1" applyFill="1" applyBorder="1" applyAlignment="1" applyProtection="1">
      <alignment horizontal="right"/>
      <protection locked="0"/>
    </xf>
    <xf numFmtId="0" fontId="0" fillId="0" borderId="1" xfId="0" applyBorder="1"/>
    <xf numFmtId="166" fontId="13" fillId="0" borderId="9" xfId="1" applyNumberFormat="1" applyFont="1" applyFill="1" applyBorder="1" applyAlignment="1">
      <alignment horizontal="center" vertical="center" wrapText="1"/>
    </xf>
    <xf numFmtId="0" fontId="13" fillId="0" borderId="0" xfId="0" applyFont="1" applyFill="1" applyBorder="1"/>
    <xf numFmtId="0" fontId="40" fillId="0" borderId="0" xfId="0" applyFont="1" applyFill="1" applyBorder="1"/>
    <xf numFmtId="0" fontId="33" fillId="0" borderId="0" xfId="0" quotePrefix="1" applyFont="1" applyFill="1" applyBorder="1" applyAlignment="1"/>
    <xf numFmtId="166" fontId="33" fillId="0" borderId="0" xfId="1" quotePrefix="1" applyNumberFormat="1" applyFont="1" applyFill="1" applyBorder="1" applyAlignment="1"/>
    <xf numFmtId="0" fontId="33" fillId="0" borderId="0" xfId="0" quotePrefix="1" applyFont="1" applyFill="1" applyBorder="1" applyAlignment="1">
      <alignment wrapText="1"/>
    </xf>
    <xf numFmtId="0" fontId="21" fillId="0" borderId="0" xfId="0" quotePrefix="1" applyFont="1"/>
    <xf numFmtId="166" fontId="13" fillId="0" borderId="9" xfId="1" applyNumberFormat="1" applyFont="1" applyBorder="1"/>
    <xf numFmtId="166" fontId="13" fillId="0" borderId="0" xfId="1" applyNumberFormat="1" applyFont="1" applyBorder="1"/>
    <xf numFmtId="0" fontId="18" fillId="0" borderId="0" xfId="0" applyFont="1" applyBorder="1"/>
    <xf numFmtId="166" fontId="14" fillId="0" borderId="0" xfId="1" applyNumberFormat="1" applyFont="1" applyBorder="1"/>
    <xf numFmtId="0" fontId="42" fillId="0" borderId="1" xfId="0" applyFont="1" applyBorder="1"/>
    <xf numFmtId="166" fontId="43" fillId="0" borderId="1" xfId="1" applyNumberFormat="1" applyFont="1" applyBorder="1"/>
    <xf numFmtId="166" fontId="42" fillId="0" borderId="1" xfId="1" applyNumberFormat="1" applyFont="1" applyBorder="1"/>
    <xf numFmtId="166" fontId="43" fillId="0" borderId="0" xfId="1" applyNumberFormat="1" applyFont="1"/>
    <xf numFmtId="0" fontId="43" fillId="0" borderId="0" xfId="0" applyFont="1"/>
    <xf numFmtId="0" fontId="43" fillId="0" borderId="1" xfId="0" applyFont="1" applyBorder="1"/>
    <xf numFmtId="0" fontId="44" fillId="0" borderId="1" xfId="0" applyFont="1" applyBorder="1"/>
    <xf numFmtId="166" fontId="45" fillId="0" borderId="0" xfId="1" applyNumberFormat="1" applyFont="1"/>
    <xf numFmtId="166" fontId="43" fillId="0" borderId="0" xfId="0" applyNumberFormat="1" applyFont="1"/>
    <xf numFmtId="166" fontId="46" fillId="0" borderId="0" xfId="1" applyNumberFormat="1" applyFont="1"/>
    <xf numFmtId="166" fontId="38" fillId="2" borderId="0" xfId="1" applyNumberFormat="1" applyFont="1" applyFill="1" applyBorder="1" applyAlignment="1">
      <alignment horizontal="left"/>
    </xf>
    <xf numFmtId="166" fontId="44" fillId="0" borderId="1" xfId="1" applyNumberFormat="1" applyFont="1" applyBorder="1"/>
    <xf numFmtId="1" fontId="33" fillId="0" borderId="0" xfId="0" applyNumberFormat="1" applyFont="1" applyFill="1" applyBorder="1" applyAlignment="1" applyProtection="1">
      <alignment horizontal="right"/>
      <protection locked="0"/>
    </xf>
    <xf numFmtId="0" fontId="33" fillId="0" borderId="0" xfId="0" applyFont="1" applyFill="1" applyBorder="1" applyAlignment="1" applyProtection="1">
      <alignment horizontal="right"/>
      <protection locked="0"/>
    </xf>
    <xf numFmtId="166" fontId="33" fillId="0" borderId="0" xfId="1" quotePrefix="1" applyNumberFormat="1" applyFont="1" applyFill="1" applyBorder="1" applyAlignment="1" applyProtection="1">
      <alignment horizontal="right"/>
      <protection locked="0"/>
    </xf>
    <xf numFmtId="166" fontId="35" fillId="0" borderId="0" xfId="1" applyNumberFormat="1" applyFont="1" applyFill="1" applyBorder="1"/>
    <xf numFmtId="166" fontId="34" fillId="0" borderId="0" xfId="1" applyNumberFormat="1" applyFont="1" applyFill="1" applyBorder="1" applyAlignment="1">
      <alignment horizontal="left"/>
    </xf>
    <xf numFmtId="166" fontId="22" fillId="0" borderId="0" xfId="1" applyNumberFormat="1" applyFont="1" applyFill="1"/>
    <xf numFmtId="166" fontId="33" fillId="0" borderId="1" xfId="1" applyNumberFormat="1" applyFont="1" applyFill="1" applyBorder="1" applyAlignment="1" applyProtection="1">
      <alignment horizontal="left" wrapText="1"/>
      <protection locked="0"/>
    </xf>
    <xf numFmtId="49" fontId="34" fillId="0" borderId="1" xfId="0" applyNumberFormat="1" applyFont="1" applyFill="1" applyBorder="1" applyAlignment="1">
      <alignment horizontal="left" wrapText="1"/>
    </xf>
    <xf numFmtId="0" fontId="33" fillId="0" borderId="4" xfId="0" applyFont="1" applyFill="1" applyBorder="1" applyAlignment="1">
      <alignment horizontal="left" wrapText="1"/>
    </xf>
    <xf numFmtId="0" fontId="33" fillId="0" borderId="0" xfId="0" applyFont="1" applyFill="1" applyAlignment="1">
      <alignment horizontal="left" wrapText="1"/>
    </xf>
    <xf numFmtId="49" fontId="33" fillId="0" borderId="0" xfId="0" applyNumberFormat="1" applyFont="1" applyFill="1" applyBorder="1" applyAlignment="1">
      <alignment horizontal="left" wrapText="1"/>
    </xf>
    <xf numFmtId="164" fontId="34" fillId="0" borderId="1" xfId="1" applyFont="1" applyFill="1" applyBorder="1" applyAlignment="1">
      <alignment horizontal="left" wrapText="1"/>
    </xf>
    <xf numFmtId="0" fontId="34" fillId="0" borderId="5" xfId="0" quotePrefix="1" applyFont="1" applyFill="1" applyBorder="1" applyAlignment="1">
      <alignment horizontal="left" wrapText="1"/>
    </xf>
    <xf numFmtId="0" fontId="34" fillId="0" borderId="10" xfId="0" quotePrefix="1" applyFont="1" applyFill="1" applyBorder="1" applyAlignment="1">
      <alignment horizontal="left" wrapText="1"/>
    </xf>
    <xf numFmtId="0" fontId="34" fillId="0" borderId="0" xfId="0" quotePrefix="1" applyFont="1" applyFill="1" applyAlignment="1">
      <alignment horizontal="left" wrapText="1"/>
    </xf>
    <xf numFmtId="166" fontId="33" fillId="0" borderId="0" xfId="1" applyNumberFormat="1" applyFont="1" applyFill="1" applyBorder="1" applyAlignment="1" applyProtection="1">
      <alignment horizontal="left" wrapText="1"/>
      <protection locked="0"/>
    </xf>
    <xf numFmtId="0" fontId="34" fillId="0" borderId="10" xfId="0" applyFont="1" applyFill="1" applyBorder="1" applyAlignment="1">
      <alignment horizontal="left" wrapText="1"/>
    </xf>
    <xf numFmtId="4" fontId="33" fillId="0" borderId="0" xfId="0" applyNumberFormat="1" applyFont="1" applyFill="1" applyAlignment="1" applyProtection="1">
      <alignment horizontal="left" wrapText="1"/>
      <protection locked="0"/>
    </xf>
    <xf numFmtId="166" fontId="34" fillId="0" borderId="0" xfId="1" applyNumberFormat="1" applyFont="1" applyFill="1" applyBorder="1" applyAlignment="1">
      <alignment horizontal="left" wrapText="1"/>
    </xf>
    <xf numFmtId="4" fontId="16" fillId="0" borderId="1" xfId="0" applyNumberFormat="1" applyFont="1" applyFill="1" applyBorder="1" applyAlignment="1" applyProtection="1">
      <alignment horizontal="left" vertical="center" wrapText="1"/>
      <protection locked="0"/>
    </xf>
    <xf numFmtId="0" fontId="34" fillId="0" borderId="0" xfId="0" applyFont="1" applyFill="1" applyAlignment="1">
      <alignment wrapText="1"/>
    </xf>
    <xf numFmtId="49" fontId="34" fillId="0" borderId="5" xfId="0" quotePrefix="1" applyNumberFormat="1" applyFont="1" applyFill="1" applyBorder="1" applyAlignment="1">
      <alignment horizontal="left" wrapText="1"/>
    </xf>
    <xf numFmtId="0" fontId="33" fillId="0" borderId="1" xfId="0" quotePrefix="1" applyFont="1" applyFill="1" applyBorder="1" applyAlignment="1" applyProtection="1">
      <alignment horizontal="right" wrapText="1"/>
      <protection locked="0"/>
    </xf>
    <xf numFmtId="0" fontId="33" fillId="0" borderId="1" xfId="1" quotePrefix="1" applyNumberFormat="1" applyFont="1" applyFill="1" applyBorder="1" applyAlignment="1">
      <alignment horizontal="right" wrapText="1"/>
    </xf>
    <xf numFmtId="49" fontId="34" fillId="0" borderId="0" xfId="0" applyNumberFormat="1" applyFont="1" applyFill="1" applyBorder="1" applyAlignment="1"/>
    <xf numFmtId="49" fontId="34" fillId="0" borderId="0" xfId="0" applyNumberFormat="1" applyFont="1" applyFill="1" applyBorder="1" applyAlignment="1">
      <alignment horizontal="left" wrapText="1"/>
    </xf>
    <xf numFmtId="0" fontId="34" fillId="0" borderId="4" xfId="0" applyFont="1" applyFill="1" applyBorder="1" applyAlignment="1">
      <alignment wrapText="1"/>
    </xf>
    <xf numFmtId="0" fontId="34" fillId="0" borderId="2" xfId="0" applyFont="1" applyFill="1" applyBorder="1" applyAlignment="1">
      <alignment wrapText="1"/>
    </xf>
    <xf numFmtId="0" fontId="34" fillId="0" borderId="1" xfId="0" applyFont="1" applyFill="1" applyBorder="1" applyAlignment="1">
      <alignment horizontal="left"/>
    </xf>
    <xf numFmtId="0" fontId="34" fillId="0" borderId="0" xfId="0" quotePrefix="1" applyFont="1" applyFill="1" applyBorder="1" applyAlignment="1">
      <alignment vertical="center"/>
    </xf>
    <xf numFmtId="0" fontId="34" fillId="0" borderId="7" xfId="0" quotePrefix="1" applyFont="1" applyFill="1" applyBorder="1" applyAlignment="1">
      <alignment vertical="center"/>
    </xf>
    <xf numFmtId="166" fontId="33" fillId="0" borderId="9" xfId="1" applyNumberFormat="1" applyFont="1" applyFill="1" applyBorder="1" applyAlignment="1">
      <alignment horizontal="center" wrapText="1"/>
    </xf>
    <xf numFmtId="4" fontId="34" fillId="0" borderId="0" xfId="0" applyNumberFormat="1" applyFont="1" applyFill="1" applyBorder="1" applyAlignment="1" applyProtection="1">
      <alignment horizontal="left" wrapText="1"/>
      <protection locked="0"/>
    </xf>
    <xf numFmtId="4" fontId="34" fillId="0" borderId="1" xfId="0" applyNumberFormat="1" applyFont="1" applyFill="1" applyBorder="1" applyAlignment="1" applyProtection="1">
      <alignment horizontal="left" wrapText="1"/>
      <protection locked="0"/>
    </xf>
    <xf numFmtId="0" fontId="34" fillId="0" borderId="6" xfId="0" quotePrefix="1" applyFont="1" applyFill="1" applyBorder="1" applyAlignment="1">
      <alignment vertical="center"/>
    </xf>
    <xf numFmtId="166" fontId="34" fillId="0" borderId="1" xfId="0" applyNumberFormat="1" applyFont="1" applyFill="1" applyBorder="1" applyAlignment="1"/>
    <xf numFmtId="0" fontId="34" fillId="0" borderId="7" xfId="0" applyFont="1" applyFill="1" applyBorder="1" applyAlignment="1">
      <alignment vertical="center"/>
    </xf>
    <xf numFmtId="0" fontId="39" fillId="0" borderId="0" xfId="0" applyFont="1" applyFill="1" applyBorder="1" applyAlignment="1">
      <alignment vertical="center"/>
    </xf>
    <xf numFmtId="0" fontId="39" fillId="0" borderId="7" xfId="0" applyFont="1" applyFill="1" applyBorder="1" applyAlignment="1">
      <alignment vertical="center"/>
    </xf>
    <xf numFmtId="166" fontId="33" fillId="0" borderId="9" xfId="1" quotePrefix="1" applyNumberFormat="1" applyFont="1" applyFill="1" applyBorder="1" applyAlignment="1" applyProtection="1">
      <protection locked="0"/>
    </xf>
    <xf numFmtId="166" fontId="33" fillId="0" borderId="14" xfId="1" quotePrefix="1" applyNumberFormat="1" applyFont="1" applyFill="1" applyBorder="1" applyAlignment="1" applyProtection="1">
      <protection locked="0"/>
    </xf>
    <xf numFmtId="166" fontId="33" fillId="0" borderId="12" xfId="1" quotePrefix="1" applyNumberFormat="1" applyFont="1" applyFill="1" applyBorder="1" applyAlignment="1" applyProtection="1">
      <protection locked="0"/>
    </xf>
    <xf numFmtId="0" fontId="37" fillId="0" borderId="0" xfId="0" applyFont="1" applyFill="1" applyBorder="1" applyAlignment="1">
      <alignment vertical="center"/>
    </xf>
    <xf numFmtId="0" fontId="37" fillId="0" borderId="7" xfId="0" applyFont="1" applyFill="1" applyBorder="1" applyAlignment="1">
      <alignment vertical="center"/>
    </xf>
    <xf numFmtId="49" fontId="33" fillId="0" borderId="7" xfId="0" applyNumberFormat="1" applyFont="1" applyFill="1" applyBorder="1" applyAlignment="1"/>
    <xf numFmtId="166" fontId="33" fillId="0" borderId="9" xfId="1" applyNumberFormat="1" applyFont="1" applyFill="1" applyBorder="1" applyAlignment="1">
      <alignment wrapText="1"/>
    </xf>
    <xf numFmtId="166" fontId="33" fillId="0" borderId="14" xfId="1" applyNumberFormat="1" applyFont="1" applyFill="1" applyBorder="1" applyAlignment="1">
      <alignment wrapText="1"/>
    </xf>
    <xf numFmtId="166" fontId="33" fillId="0" borderId="12" xfId="1" applyNumberFormat="1" applyFont="1" applyFill="1" applyBorder="1" applyAlignment="1">
      <alignment wrapText="1"/>
    </xf>
    <xf numFmtId="4" fontId="34" fillId="0" borderId="13" xfId="0" applyNumberFormat="1" applyFont="1" applyFill="1" applyBorder="1" applyAlignment="1" applyProtection="1">
      <alignment wrapText="1"/>
      <protection locked="0"/>
    </xf>
    <xf numFmtId="0" fontId="34" fillId="0" borderId="3" xfId="0" quotePrefix="1" applyFont="1" applyFill="1" applyBorder="1" applyAlignment="1">
      <alignment vertical="center"/>
    </xf>
    <xf numFmtId="0" fontId="34" fillId="0" borderId="3" xfId="0" quotePrefix="1" applyFont="1" applyFill="1" applyBorder="1" applyAlignment="1"/>
    <xf numFmtId="0" fontId="34" fillId="0" borderId="4" xfId="0" quotePrefix="1" applyFont="1" applyFill="1" applyBorder="1" applyAlignment="1"/>
    <xf numFmtId="166" fontId="34" fillId="0" borderId="2" xfId="1" applyNumberFormat="1" applyFont="1" applyFill="1" applyBorder="1" applyAlignment="1">
      <alignment horizontal="center" wrapText="1"/>
    </xf>
    <xf numFmtId="166" fontId="33" fillId="0" borderId="2" xfId="1" applyNumberFormat="1" applyFont="1" applyFill="1" applyBorder="1" applyAlignment="1">
      <alignment horizontal="right"/>
    </xf>
    <xf numFmtId="166" fontId="33" fillId="0" borderId="2" xfId="1" applyNumberFormat="1" applyFont="1" applyFill="1" applyBorder="1" applyAlignment="1" applyProtection="1">
      <alignment horizontal="right"/>
      <protection locked="0"/>
    </xf>
    <xf numFmtId="166" fontId="34" fillId="0" borderId="2" xfId="1" applyNumberFormat="1" applyFont="1" applyFill="1" applyBorder="1" applyAlignment="1">
      <alignment horizontal="right"/>
    </xf>
    <xf numFmtId="166" fontId="33" fillId="0" borderId="1" xfId="1" applyNumberFormat="1" applyFont="1" applyFill="1" applyBorder="1"/>
    <xf numFmtId="166" fontId="34" fillId="0" borderId="0" xfId="1" applyNumberFormat="1" applyFont="1" applyFill="1"/>
    <xf numFmtId="166" fontId="34" fillId="0" borderId="1" xfId="1" applyNumberFormat="1" applyFont="1" applyFill="1" applyBorder="1"/>
    <xf numFmtId="166" fontId="34" fillId="0" borderId="0" xfId="1" applyNumberFormat="1" applyFont="1" applyFill="1" applyBorder="1" applyAlignment="1" applyProtection="1">
      <alignment wrapText="1"/>
      <protection locked="0"/>
    </xf>
    <xf numFmtId="166" fontId="33" fillId="0" borderId="1" xfId="1" applyNumberFormat="1" applyFont="1" applyFill="1" applyBorder="1" applyAlignment="1">
      <alignment vertical="center" wrapText="1"/>
    </xf>
    <xf numFmtId="166" fontId="0" fillId="0" borderId="0" xfId="1" applyNumberFormat="1" applyFont="1"/>
    <xf numFmtId="166" fontId="34" fillId="0" borderId="3" xfId="1" applyNumberFormat="1" applyFont="1" applyFill="1" applyBorder="1" applyAlignment="1">
      <alignment horizontal="right" wrapText="1"/>
    </xf>
    <xf numFmtId="166" fontId="33" fillId="0" borderId="3" xfId="1" quotePrefix="1" applyNumberFormat="1" applyFont="1" applyFill="1" applyBorder="1" applyAlignment="1">
      <alignment horizontal="right"/>
    </xf>
    <xf numFmtId="166" fontId="33" fillId="0" borderId="3" xfId="1" quotePrefix="1" applyNumberFormat="1" applyFont="1" applyFill="1" applyBorder="1" applyAlignment="1">
      <alignment horizontal="right" wrapText="1"/>
    </xf>
    <xf numFmtId="166" fontId="34" fillId="0" borderId="3" xfId="1" applyNumberFormat="1" applyFont="1" applyFill="1" applyBorder="1" applyAlignment="1">
      <alignment horizontal="right"/>
    </xf>
    <xf numFmtId="166" fontId="34" fillId="0" borderId="2" xfId="1" applyNumberFormat="1" applyFont="1" applyFill="1" applyBorder="1" applyAlignment="1">
      <alignment horizontal="right" wrapText="1"/>
    </xf>
    <xf numFmtId="166" fontId="12" fillId="0" borderId="0" xfId="1" applyNumberFormat="1" applyFont="1"/>
    <xf numFmtId="166" fontId="18" fillId="0" borderId="9" xfId="1" applyNumberFormat="1" applyFont="1" applyBorder="1"/>
    <xf numFmtId="166" fontId="18" fillId="0" borderId="0" xfId="1" applyNumberFormat="1" applyFont="1" applyBorder="1"/>
    <xf numFmtId="166" fontId="40" fillId="0" borderId="0" xfId="1" applyNumberFormat="1" applyFont="1" applyFill="1" applyBorder="1"/>
    <xf numFmtId="166" fontId="13" fillId="0" borderId="0" xfId="1" applyNumberFormat="1" applyFont="1" applyFill="1" applyBorder="1"/>
    <xf numFmtId="166" fontId="33" fillId="0" borderId="0" xfId="1" quotePrefix="1" applyNumberFormat="1" applyFont="1" applyFill="1" applyBorder="1" applyAlignment="1">
      <alignment wrapText="1"/>
    </xf>
    <xf numFmtId="0" fontId="34" fillId="0" borderId="0" xfId="0" quotePrefix="1" applyFont="1" applyAlignment="1">
      <alignment horizontal="center" wrapText="1"/>
    </xf>
    <xf numFmtId="164" fontId="0" fillId="0" borderId="0" xfId="1" applyFont="1" applyFill="1"/>
    <xf numFmtId="0" fontId="0" fillId="0" borderId="0" xfId="0" applyAlignment="1">
      <alignment wrapText="1"/>
    </xf>
    <xf numFmtId="165" fontId="34" fillId="0" borderId="0" xfId="1" quotePrefix="1" applyNumberFormat="1" applyFont="1" applyFill="1" applyBorder="1" applyAlignment="1">
      <alignment horizontal="right"/>
    </xf>
    <xf numFmtId="165" fontId="34" fillId="0" borderId="0" xfId="1" quotePrefix="1" applyNumberFormat="1" applyFont="1" applyFill="1" applyBorder="1" applyAlignment="1">
      <alignment wrapText="1"/>
    </xf>
    <xf numFmtId="165" fontId="34" fillId="0" borderId="0" xfId="1" quotePrefix="1" applyNumberFormat="1" applyFont="1" applyFill="1" applyBorder="1" applyAlignment="1">
      <alignment horizontal="center" wrapText="1"/>
    </xf>
    <xf numFmtId="166" fontId="14" fillId="0" borderId="0" xfId="1" applyNumberFormat="1" applyFont="1" applyFill="1" applyBorder="1"/>
    <xf numFmtId="0" fontId="13" fillId="0" borderId="1" xfId="0" applyFont="1" applyBorder="1" applyAlignment="1">
      <alignment horizontal="center" vertical="center" wrapText="1"/>
    </xf>
    <xf numFmtId="166" fontId="13" fillId="0" borderId="0" xfId="1" applyNumberFormat="1" applyFont="1" applyFill="1" applyBorder="1" applyAlignment="1">
      <alignment horizontal="center" vertical="center" wrapText="1"/>
    </xf>
    <xf numFmtId="0" fontId="33" fillId="0" borderId="1" xfId="0" quotePrefix="1" applyFont="1" applyBorder="1" applyAlignment="1">
      <alignment wrapText="1"/>
    </xf>
    <xf numFmtId="164" fontId="35" fillId="0" borderId="1" xfId="1" applyFont="1" applyFill="1" applyBorder="1"/>
    <xf numFmtId="166" fontId="35" fillId="0" borderId="1" xfId="1" applyNumberFormat="1" applyFont="1" applyFill="1" applyBorder="1"/>
    <xf numFmtId="164" fontId="35" fillId="0" borderId="0" xfId="1" applyFont="1" applyFill="1" applyBorder="1"/>
    <xf numFmtId="166" fontId="33" fillId="0" borderId="1" xfId="1" quotePrefix="1" applyNumberFormat="1" applyFont="1" applyFill="1" applyBorder="1" applyAlignment="1"/>
    <xf numFmtId="164" fontId="47" fillId="0" borderId="0" xfId="1" applyFont="1" applyFill="1"/>
    <xf numFmtId="165" fontId="35" fillId="0" borderId="1" xfId="1" applyNumberFormat="1" applyFont="1" applyFill="1" applyBorder="1"/>
    <xf numFmtId="0" fontId="33" fillId="0" borderId="9" xfId="0" quotePrefix="1" applyFont="1" applyBorder="1" applyAlignment="1">
      <alignment wrapText="1"/>
    </xf>
    <xf numFmtId="0" fontId="34" fillId="0" borderId="1" xfId="0" quotePrefix="1" applyFont="1" applyBorder="1" applyAlignment="1">
      <alignment wrapText="1"/>
    </xf>
    <xf numFmtId="0" fontId="47" fillId="0" borderId="0" xfId="0" applyFont="1"/>
    <xf numFmtId="166" fontId="22" fillId="0" borderId="0" xfId="1" applyNumberFormat="1" applyFont="1" applyFill="1" applyBorder="1"/>
    <xf numFmtId="0" fontId="33" fillId="0" borderId="0" xfId="0" applyFont="1" applyAlignment="1">
      <alignment wrapText="1"/>
    </xf>
    <xf numFmtId="0" fontId="34" fillId="0" borderId="0" xfId="0" applyFont="1" applyAlignment="1">
      <alignment wrapText="1"/>
    </xf>
    <xf numFmtId="3" fontId="48" fillId="0" borderId="1" xfId="0" applyNumberFormat="1" applyFont="1" applyBorder="1"/>
    <xf numFmtId="165" fontId="0" fillId="0" borderId="0" xfId="0" applyNumberFormat="1"/>
    <xf numFmtId="43" fontId="0" fillId="0" borderId="0" xfId="0" applyNumberFormat="1"/>
    <xf numFmtId="0" fontId="0" fillId="0" borderId="0" xfId="0" applyAlignment="1">
      <alignment horizontal="left" indent="1"/>
    </xf>
    <xf numFmtId="165" fontId="34" fillId="0" borderId="5" xfId="1" quotePrefix="1" applyNumberFormat="1" applyFont="1" applyFill="1" applyBorder="1" applyAlignment="1">
      <alignment horizontal="right"/>
    </xf>
    <xf numFmtId="0" fontId="21" fillId="0" borderId="0" xfId="0" applyFont="1" applyAlignment="1">
      <alignment horizontal="left" wrapText="1"/>
    </xf>
    <xf numFmtId="3" fontId="38" fillId="0" borderId="9" xfId="0" applyNumberFormat="1" applyFont="1" applyBorder="1" applyAlignment="1">
      <alignment horizontal="center" vertical="center" wrapText="1"/>
    </xf>
    <xf numFmtId="3" fontId="38" fillId="0" borderId="14" xfId="0" applyNumberFormat="1" applyFont="1" applyBorder="1" applyAlignment="1">
      <alignment horizontal="center" vertical="center" wrapText="1"/>
    </xf>
    <xf numFmtId="3" fontId="38" fillId="0" borderId="12" xfId="0" applyNumberFormat="1" applyFont="1" applyBorder="1" applyAlignment="1">
      <alignment horizontal="center" vertical="center" wrapText="1"/>
    </xf>
    <xf numFmtId="166" fontId="35" fillId="3" borderId="1" xfId="1" applyNumberFormat="1" applyFont="1" applyFill="1" applyBorder="1"/>
    <xf numFmtId="166" fontId="33" fillId="0" borderId="9" xfId="1" quotePrefix="1" applyNumberFormat="1" applyFont="1" applyFill="1" applyBorder="1" applyAlignment="1">
      <alignment horizontal="right"/>
    </xf>
    <xf numFmtId="166" fontId="33" fillId="0" borderId="9" xfId="1" applyNumberFormat="1" applyFont="1" applyFill="1" applyBorder="1" applyAlignment="1">
      <alignment horizontal="right" wrapText="1"/>
    </xf>
    <xf numFmtId="166" fontId="21" fillId="0" borderId="0" xfId="1" applyNumberFormat="1" applyFont="1" applyFill="1" applyBorder="1"/>
    <xf numFmtId="165" fontId="35" fillId="0" borderId="0" xfId="1" applyNumberFormat="1" applyFont="1" applyFill="1" applyBorder="1"/>
    <xf numFmtId="166" fontId="34" fillId="0" borderId="2" xfId="1" quotePrefix="1" applyNumberFormat="1" applyFont="1" applyFill="1" applyBorder="1" applyAlignment="1" applyProtection="1">
      <alignment horizontal="right"/>
      <protection locked="0"/>
    </xf>
    <xf numFmtId="166" fontId="33" fillId="0" borderId="0" xfId="1" applyNumberFormat="1" applyFont="1" applyFill="1" applyBorder="1"/>
    <xf numFmtId="166" fontId="33" fillId="0" borderId="2" xfId="1" quotePrefix="1" applyNumberFormat="1" applyFont="1" applyFill="1" applyBorder="1" applyAlignment="1" applyProtection="1">
      <alignment horizontal="right"/>
      <protection locked="0"/>
    </xf>
    <xf numFmtId="166" fontId="33" fillId="0" borderId="2" xfId="1" applyNumberFormat="1" applyFont="1" applyFill="1" applyBorder="1" applyAlignment="1" applyProtection="1">
      <alignment horizontal="right" wrapText="1"/>
      <protection locked="0"/>
    </xf>
    <xf numFmtId="166" fontId="33" fillId="0" borderId="11" xfId="1" quotePrefix="1" applyNumberFormat="1" applyFont="1" applyFill="1" applyBorder="1" applyAlignment="1" applyProtection="1">
      <alignment horizontal="right"/>
      <protection locked="0"/>
    </xf>
    <xf numFmtId="165" fontId="49" fillId="0" borderId="1" xfId="1" applyNumberFormat="1" applyFont="1" applyFill="1" applyBorder="1"/>
    <xf numFmtId="166" fontId="44" fillId="0" borderId="0" xfId="1" applyNumberFormat="1" applyFont="1" applyBorder="1"/>
    <xf numFmtId="1" fontId="34" fillId="0" borderId="10" xfId="0" applyNumberFormat="1" applyFont="1" applyFill="1" applyBorder="1" applyAlignment="1">
      <alignment horizontal="right" wrapText="1"/>
    </xf>
    <xf numFmtId="0" fontId="34" fillId="0" borderId="10" xfId="0" quotePrefix="1" applyFont="1" applyFill="1" applyBorder="1" applyAlignment="1">
      <alignment horizontal="right" wrapText="1"/>
    </xf>
    <xf numFmtId="0" fontId="34" fillId="0" borderId="0" xfId="0" quotePrefix="1" applyFont="1" applyFill="1" applyBorder="1" applyAlignment="1">
      <alignment wrapText="1"/>
    </xf>
    <xf numFmtId="0" fontId="34" fillId="0" borderId="11" xfId="0" quotePrefix="1" applyFont="1" applyFill="1" applyBorder="1" applyAlignment="1">
      <alignment wrapText="1"/>
    </xf>
    <xf numFmtId="165" fontId="50" fillId="0" borderId="0" xfId="1" applyNumberFormat="1" applyFont="1" applyFill="1" applyBorder="1"/>
    <xf numFmtId="0" fontId="33" fillId="0" borderId="1" xfId="0" quotePrefix="1" applyFont="1" applyFill="1" applyBorder="1" applyAlignment="1" applyProtection="1">
      <protection locked="0"/>
    </xf>
    <xf numFmtId="1" fontId="33" fillId="0" borderId="1" xfId="0" applyNumberFormat="1" applyFont="1" applyFill="1" applyBorder="1" applyAlignment="1" applyProtection="1">
      <protection locked="0"/>
    </xf>
    <xf numFmtId="0" fontId="33" fillId="0" borderId="1" xfId="0" quotePrefix="1" applyFont="1" applyFill="1" applyBorder="1" applyAlignment="1">
      <alignment wrapText="1"/>
    </xf>
    <xf numFmtId="166" fontId="39" fillId="0" borderId="0" xfId="0" applyNumberFormat="1" applyFont="1" applyFill="1" applyBorder="1" applyAlignment="1">
      <alignment vertical="center"/>
    </xf>
    <xf numFmtId="164" fontId="34" fillId="0" borderId="1" xfId="1" applyFont="1" applyFill="1" applyBorder="1" applyAlignment="1">
      <alignment wrapText="1"/>
    </xf>
    <xf numFmtId="164" fontId="33" fillId="0" borderId="1" xfId="1" applyFont="1" applyFill="1" applyBorder="1"/>
    <xf numFmtId="166" fontId="33" fillId="0" borderId="0" xfId="1" applyNumberFormat="1" applyFont="1" applyFill="1" applyBorder="1" applyAlignment="1">
      <alignment horizontal="center" wrapText="1"/>
    </xf>
    <xf numFmtId="166" fontId="34" fillId="0" borderId="0" xfId="1" applyNumberFormat="1" applyFont="1" applyFill="1" applyBorder="1" applyAlignment="1">
      <alignment horizontal="center" wrapText="1"/>
    </xf>
    <xf numFmtId="0" fontId="34" fillId="0" borderId="0" xfId="0" applyFont="1" applyFill="1" applyBorder="1" applyAlignment="1">
      <alignment horizontal="left"/>
    </xf>
    <xf numFmtId="4" fontId="34" fillId="0" borderId="0" xfId="0" applyNumberFormat="1" applyFont="1" applyFill="1" applyBorder="1" applyAlignment="1" applyProtection="1">
      <alignment horizontal="left"/>
      <protection locked="0"/>
    </xf>
    <xf numFmtId="166" fontId="33" fillId="0" borderId="2" xfId="1" applyNumberFormat="1" applyFont="1" applyFill="1" applyBorder="1" applyAlignment="1">
      <alignment horizontal="center"/>
    </xf>
    <xf numFmtId="166" fontId="35" fillId="0" borderId="1" xfId="1" applyNumberFormat="1" applyFont="1" applyFill="1" applyBorder="1" applyAlignment="1">
      <alignment horizontal="center"/>
    </xf>
    <xf numFmtId="166" fontId="33" fillId="0" borderId="0" xfId="1" applyNumberFormat="1" applyFont="1" applyFill="1" applyAlignment="1">
      <alignment horizontal="center"/>
    </xf>
    <xf numFmtId="166" fontId="34" fillId="0" borderId="2" xfId="1" applyNumberFormat="1" applyFont="1" applyFill="1" applyBorder="1" applyAlignment="1">
      <alignment horizontal="center"/>
    </xf>
    <xf numFmtId="166" fontId="34" fillId="0" borderId="0" xfId="1" applyNumberFormat="1" applyFont="1" applyFill="1" applyAlignment="1">
      <alignment horizontal="center"/>
    </xf>
    <xf numFmtId="166" fontId="34" fillId="0" borderId="1" xfId="1" applyNumberFormat="1" applyFont="1" applyFill="1" applyBorder="1" applyAlignment="1">
      <alignment horizontal="center"/>
    </xf>
    <xf numFmtId="166" fontId="33" fillId="0" borderId="0" xfId="1" applyNumberFormat="1" applyFont="1" applyFill="1" applyBorder="1" applyAlignment="1">
      <alignment horizontal="center"/>
    </xf>
    <xf numFmtId="166" fontId="34" fillId="0" borderId="0" xfId="1" applyNumberFormat="1" applyFont="1" applyFill="1" applyBorder="1" applyAlignment="1">
      <alignment horizontal="center"/>
    </xf>
    <xf numFmtId="166" fontId="34" fillId="0" borderId="0" xfId="1" applyNumberFormat="1" applyFont="1" applyFill="1" applyBorder="1" applyAlignment="1" applyProtection="1">
      <alignment horizontal="center" wrapText="1"/>
      <protection locked="0"/>
    </xf>
    <xf numFmtId="166" fontId="34" fillId="0" borderId="2" xfId="1" quotePrefix="1" applyNumberFormat="1" applyFont="1" applyFill="1" applyBorder="1" applyAlignment="1" applyProtection="1">
      <alignment horizontal="center"/>
      <protection locked="0"/>
    </xf>
    <xf numFmtId="166" fontId="34" fillId="0" borderId="1" xfId="1" quotePrefix="1" applyNumberFormat="1" applyFont="1" applyFill="1" applyBorder="1" applyAlignment="1">
      <alignment horizontal="center"/>
    </xf>
    <xf numFmtId="166" fontId="34" fillId="0" borderId="1" xfId="1" applyNumberFormat="1" applyFont="1" applyFill="1" applyBorder="1" applyAlignment="1" applyProtection="1">
      <alignment horizontal="center" wrapText="1"/>
      <protection locked="0"/>
    </xf>
    <xf numFmtId="166" fontId="34" fillId="0" borderId="1" xfId="1" applyNumberFormat="1" applyFont="1" applyFill="1" applyBorder="1" applyAlignment="1" applyProtection="1">
      <alignment horizontal="center"/>
      <protection locked="0"/>
    </xf>
    <xf numFmtId="166" fontId="34" fillId="0" borderId="0" xfId="1" applyNumberFormat="1" applyFont="1" applyFill="1" applyBorder="1"/>
    <xf numFmtId="0" fontId="34" fillId="0" borderId="0" xfId="0" quotePrefix="1" applyFont="1" applyFill="1" applyBorder="1" applyAlignment="1">
      <alignment horizontal="left" wrapText="1"/>
    </xf>
    <xf numFmtId="166" fontId="33" fillId="0" borderId="2" xfId="1" quotePrefix="1" applyNumberFormat="1" applyFont="1" applyFill="1" applyBorder="1" applyAlignment="1">
      <alignment horizontal="center"/>
    </xf>
    <xf numFmtId="166" fontId="33" fillId="0" borderId="1" xfId="1" quotePrefix="1" applyNumberFormat="1" applyFont="1" applyFill="1" applyBorder="1" applyAlignment="1">
      <alignment horizontal="center"/>
    </xf>
    <xf numFmtId="166" fontId="0" fillId="0" borderId="1" xfId="1" applyNumberFormat="1" applyFont="1" applyFill="1" applyBorder="1"/>
    <xf numFmtId="166" fontId="33" fillId="0" borderId="0" xfId="1" quotePrefix="1" applyNumberFormat="1" applyFont="1" applyFill="1" applyBorder="1" applyAlignment="1">
      <alignment horizontal="center"/>
    </xf>
    <xf numFmtId="0" fontId="43" fillId="0" borderId="1" xfId="0" applyFont="1" applyFill="1" applyBorder="1" applyAlignment="1">
      <alignment wrapText="1"/>
    </xf>
    <xf numFmtId="4" fontId="51" fillId="0" borderId="1" xfId="0" applyNumberFormat="1" applyFont="1" applyFill="1" applyBorder="1"/>
    <xf numFmtId="0" fontId="43" fillId="0" borderId="1" xfId="0" applyFont="1" applyFill="1" applyBorder="1"/>
    <xf numFmtId="4" fontId="51" fillId="0" borderId="0" xfId="0" applyNumberFormat="1" applyFont="1" applyFill="1"/>
    <xf numFmtId="166" fontId="0" fillId="0" borderId="0" xfId="1" applyNumberFormat="1" applyFont="1" applyFill="1"/>
    <xf numFmtId="166" fontId="0" fillId="0" borderId="0" xfId="1" applyNumberFormat="1" applyFont="1" applyFill="1" applyAlignment="1">
      <alignment horizontal="center"/>
    </xf>
    <xf numFmtId="166" fontId="33" fillId="0" borderId="1" xfId="24" applyNumberFormat="1" applyFont="1" applyFill="1" applyBorder="1"/>
    <xf numFmtId="0" fontId="24" fillId="0" borderId="5" xfId="0" applyFont="1" applyBorder="1" applyAlignment="1">
      <alignment horizontal="center"/>
    </xf>
    <xf numFmtId="0" fontId="21" fillId="0" borderId="1" xfId="0" applyFont="1" applyBorder="1" applyAlignment="1">
      <alignment horizontal="center" vertical="center"/>
    </xf>
    <xf numFmtId="0" fontId="22" fillId="0" borderId="5" xfId="0" applyFont="1" applyBorder="1" applyAlignment="1">
      <alignment horizontal="center"/>
    </xf>
    <xf numFmtId="0" fontId="34" fillId="0" borderId="0" xfId="0" quotePrefix="1" applyFont="1" applyFill="1" applyBorder="1" applyAlignment="1">
      <alignment horizontal="left" wrapText="1"/>
    </xf>
    <xf numFmtId="0" fontId="34" fillId="0" borderId="3" xfId="0" applyFont="1" applyFill="1" applyBorder="1" applyAlignment="1">
      <alignment horizontal="left" wrapText="1"/>
    </xf>
    <xf numFmtId="0" fontId="34" fillId="0" borderId="4" xfId="0" applyFont="1" applyFill="1" applyBorder="1" applyAlignment="1">
      <alignment horizontal="left" wrapText="1"/>
    </xf>
    <xf numFmtId="4" fontId="33" fillId="0" borderId="5" xfId="0" applyNumberFormat="1" applyFont="1" applyFill="1" applyBorder="1" applyAlignment="1" applyProtection="1">
      <alignment horizontal="left" wrapText="1"/>
      <protection locked="0"/>
    </xf>
    <xf numFmtId="166" fontId="21" fillId="0" borderId="9" xfId="1" applyNumberFormat="1" applyFont="1" applyBorder="1" applyAlignment="1">
      <alignment horizontal="center" vertical="center"/>
    </xf>
    <xf numFmtId="166" fontId="21" fillId="0" borderId="14" xfId="1" applyNumberFormat="1" applyFont="1" applyBorder="1" applyAlignment="1">
      <alignment horizontal="center" vertical="center"/>
    </xf>
    <xf numFmtId="166" fontId="21" fillId="0" borderId="12" xfId="1" applyNumberFormat="1" applyFont="1" applyBorder="1" applyAlignment="1">
      <alignment horizontal="center" vertical="center"/>
    </xf>
    <xf numFmtId="166" fontId="21" fillId="0" borderId="9" xfId="1" applyNumberFormat="1" applyFont="1" applyFill="1" applyBorder="1" applyAlignment="1">
      <alignment horizontal="center" vertical="center"/>
    </xf>
    <xf numFmtId="166" fontId="21" fillId="0" borderId="14" xfId="1" applyNumberFormat="1" applyFont="1" applyFill="1" applyBorder="1" applyAlignment="1">
      <alignment horizontal="center" vertical="center"/>
    </xf>
    <xf numFmtId="166" fontId="21" fillId="0" borderId="12" xfId="1" applyNumberFormat="1" applyFont="1" applyFill="1" applyBorder="1" applyAlignment="1">
      <alignment horizontal="center" vertical="center"/>
    </xf>
    <xf numFmtId="0" fontId="21" fillId="0" borderId="0" xfId="0" quotePrefix="1" applyFont="1" applyAlignment="1">
      <alignment horizontal="center"/>
    </xf>
    <xf numFmtId="0" fontId="21" fillId="0" borderId="0" xfId="0" applyFont="1" applyAlignment="1">
      <alignment horizontal="center" wrapText="1"/>
    </xf>
    <xf numFmtId="0" fontId="40" fillId="0" borderId="0" xfId="0" applyFont="1" applyFill="1" applyBorder="1" applyAlignment="1">
      <alignment horizontal="center"/>
    </xf>
  </cellXfs>
  <cellStyles count="25">
    <cellStyle name="Comma" xfId="1" builtinId="3"/>
    <cellStyle name="Comma 14" xfId="24"/>
    <cellStyle name="Comma 2" xfId="2"/>
    <cellStyle name="Comma 2 2" xfId="3"/>
    <cellStyle name="Comma 2 3" xfId="4"/>
    <cellStyle name="Comma 3" xfId="5"/>
    <cellStyle name="Comma 4" xfId="6"/>
    <cellStyle name="Comma 8 2" xfId="7"/>
    <cellStyle name="Comma 9 2" xfId="8"/>
    <cellStyle name="Comma 9 2 2" xfId="9"/>
    <cellStyle name="Normal" xfId="0" builtinId="0"/>
    <cellStyle name="Normal 11" xfId="10"/>
    <cellStyle name="Normal 11 2" xfId="11"/>
    <cellStyle name="Normal 12" xfId="12"/>
    <cellStyle name="Normal 12 2" xfId="13"/>
    <cellStyle name="Normal 13" xfId="14"/>
    <cellStyle name="Normal 2" xfId="15"/>
    <cellStyle name="Normal 2 16" xfId="16"/>
    <cellStyle name="Normal 2 2" xfId="17"/>
    <cellStyle name="Normal 2 3" xfId="18"/>
    <cellStyle name="Normal 2 4" xfId="19"/>
    <cellStyle name="Normal 3" xfId="23"/>
    <cellStyle name="Normal 4" xfId="20"/>
    <cellStyle name="Normal_EFU-FSP Data YOBE" xfId="21"/>
    <cellStyle name="Percent" xfId="22" builtinId="5"/>
  </cellStyles>
  <dxfs count="503">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i/>
        <strike val="0"/>
        <u/>
      </font>
    </dxf>
    <dxf>
      <font>
        <b/>
        <i val="0"/>
      </font>
    </dxf>
    <dxf>
      <font>
        <b/>
        <i/>
        <strike val="0"/>
        <u/>
      </font>
    </dxf>
    <dxf>
      <font>
        <b/>
        <i val="0"/>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i/>
        <strike val="0"/>
        <u/>
      </font>
    </dxf>
    <dxf>
      <font>
        <b/>
        <i val="0"/>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i/>
        <strike val="0"/>
        <u/>
      </font>
    </dxf>
    <dxf>
      <font>
        <b/>
        <i val="0"/>
      </font>
    </dxf>
    <dxf>
      <font>
        <b/>
        <i/>
        <strike val="0"/>
        <u/>
      </font>
    </dxf>
    <dxf>
      <font>
        <b/>
        <i val="0"/>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i/>
        <strike val="0"/>
        <u/>
      </font>
    </dxf>
    <dxf>
      <font>
        <b/>
        <i val="0"/>
      </font>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20Efe/2018%20Approved%20Bgt%20-%20DTHA/IPSAS%20CAPEX/Personnel%20and%20Overhead%20Delta%202018/1.%20Directorate%20of%20Government%20Hou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r%20Efe/Desktop/2019%20supplementary/2019%20Proposed%20Supplement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VD%20RW%20Drive\Chart%20of%20Accounts%20and%20proforma\Copy%20of%20proforma%20for%202020%20budget%2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elta%20State%20EFU%20$55-2.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r%20Efe/Desktop/FSP%202020-2022%20(Efe)%20-%20Copy/Delta%20State%20EFU%20$55-2.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r%20Efe/Desktop/FSP%202020-2022%20(Efe)%20-%20Copy/2020%20Budget%20Projections%20-%20Basis%20latest%200%20-%20Cop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r%20Efe/Desktop/EFE%20-%202020%20CAPEX%20DTHA/Proposed%202020%20CAPEX%20-%20Cont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ummary"/>
      <sheetName val="1. Revenue"/>
      <sheetName val="2. Personnel"/>
      <sheetName val="3. Overhead"/>
      <sheetName val="4. Capital"/>
      <sheetName val="A. Summary Rev"/>
      <sheetName val="B. Summary Exp"/>
      <sheetName val="Location Codes"/>
      <sheetName val="Administrative Codes"/>
      <sheetName val="Admin Codes BOs"/>
      <sheetName val="Function Codes"/>
      <sheetName val="Revenue Codes"/>
      <sheetName val="Expenditure Codes"/>
      <sheetName val="Fund Codes"/>
    </sheetNames>
    <sheetDataSet>
      <sheetData sheetId="0"/>
      <sheetData sheetId="1"/>
      <sheetData sheetId="2"/>
      <sheetData sheetId="3"/>
      <sheetData sheetId="4"/>
      <sheetData sheetId="5"/>
      <sheetData sheetId="6"/>
      <sheetData sheetId="7">
        <row r="2">
          <cell r="C2" t="str">
            <v>51010000 - Central Senatorial Zone</v>
          </cell>
        </row>
      </sheetData>
      <sheetData sheetId="8"/>
      <sheetData sheetId="9"/>
      <sheetData sheetId="10">
        <row r="2">
          <cell r="C2" t="str">
            <v>701 - General Public Service</v>
          </cell>
        </row>
      </sheetData>
      <sheetData sheetId="11"/>
      <sheetData sheetId="12">
        <row r="2">
          <cell r="C2" t="str">
            <v>21010101 - Salary</v>
          </cell>
        </row>
        <row r="3">
          <cell r="C3" t="str">
            <v>21010102 - Overtime Payments</v>
          </cell>
        </row>
        <row r="4">
          <cell r="C4" t="str">
            <v>21010103 - Consolidated Revenue Charges</v>
          </cell>
        </row>
        <row r="5">
          <cell r="C5" t="str">
            <v>21020101 - NON REGULAR ALLOWANCES</v>
          </cell>
        </row>
        <row r="6">
          <cell r="C6" t="str">
            <v>21020201 - PENSION (10% GOVT CONTRIBUTION)</v>
          </cell>
        </row>
        <row r="7">
          <cell r="C7" t="str">
            <v>21020202 - PENSION (5% RETIREMENT BENEFIT BOND)</v>
          </cell>
        </row>
        <row r="8">
          <cell r="C8" t="str">
            <v>21020203 - PENSION (1% INSURANCE)</v>
          </cell>
        </row>
        <row r="9">
          <cell r="C9" t="str">
            <v>21020204 - NHIS Contribution</v>
          </cell>
        </row>
        <row r="10">
          <cell r="C10" t="str">
            <v>21020205 - Employee Compensation Fund</v>
          </cell>
        </row>
        <row r="11">
          <cell r="C11" t="str">
            <v>21020206 - Housing Fund Contribution</v>
          </cell>
        </row>
        <row r="12">
          <cell r="C12" t="str">
            <v>22010101 - Gratuity</v>
          </cell>
        </row>
        <row r="13">
          <cell r="C13" t="str">
            <v>22010102 - Pension</v>
          </cell>
        </row>
        <row r="14">
          <cell r="C14" t="str">
            <v>22010103 - Death Benefit</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sheetName val="Sheet1"/>
      <sheetName val="PERSONNEL"/>
      <sheetName val="REVENUE"/>
      <sheetName val="OVERHEAD"/>
      <sheetName val="Global Summary"/>
      <sheetName val="HE INTERVENTION"/>
    </sheetNames>
    <sheetDataSet>
      <sheetData sheetId="0">
        <row r="6">
          <cell r="K6">
            <v>5000000</v>
          </cell>
        </row>
        <row r="9">
          <cell r="K9">
            <v>86000000</v>
          </cell>
        </row>
        <row r="11">
          <cell r="K11">
            <v>800000000</v>
          </cell>
        </row>
        <row r="12">
          <cell r="K12">
            <v>15000000</v>
          </cell>
        </row>
        <row r="15">
          <cell r="K15">
            <v>10000000</v>
          </cell>
        </row>
        <row r="21">
          <cell r="K21">
            <v>250000000</v>
          </cell>
        </row>
        <row r="23">
          <cell r="K23">
            <v>728000000</v>
          </cell>
        </row>
        <row r="59">
          <cell r="K59">
            <v>2000000</v>
          </cell>
        </row>
        <row r="73">
          <cell r="K73">
            <v>171802700</v>
          </cell>
        </row>
        <row r="78">
          <cell r="K78">
            <v>8427372</v>
          </cell>
        </row>
        <row r="79">
          <cell r="K79">
            <v>6500000</v>
          </cell>
        </row>
        <row r="80">
          <cell r="K80">
            <v>10000000</v>
          </cell>
        </row>
        <row r="87">
          <cell r="K87">
            <v>2000000</v>
          </cell>
        </row>
        <row r="88">
          <cell r="K88">
            <v>406544344</v>
          </cell>
        </row>
        <row r="92">
          <cell r="K92">
            <v>40000000</v>
          </cell>
        </row>
        <row r="432">
          <cell r="K432">
            <v>500000000</v>
          </cell>
        </row>
        <row r="446">
          <cell r="K446">
            <v>313376527.43000001</v>
          </cell>
        </row>
        <row r="448">
          <cell r="K448">
            <v>160772741.61000001</v>
          </cell>
        </row>
        <row r="476">
          <cell r="K476">
            <v>93000000</v>
          </cell>
        </row>
        <row r="478">
          <cell r="K478">
            <v>20000000</v>
          </cell>
        </row>
        <row r="479">
          <cell r="K479">
            <v>2000000</v>
          </cell>
        </row>
        <row r="480">
          <cell r="K480">
            <v>14000000</v>
          </cell>
        </row>
        <row r="481">
          <cell r="K481">
            <v>60000000</v>
          </cell>
        </row>
        <row r="483">
          <cell r="K483">
            <v>7000000</v>
          </cell>
        </row>
        <row r="484">
          <cell r="K484">
            <v>7000000</v>
          </cell>
        </row>
        <row r="485">
          <cell r="K485">
            <v>5000000</v>
          </cell>
        </row>
        <row r="486">
          <cell r="K486">
            <v>300000</v>
          </cell>
        </row>
        <row r="487">
          <cell r="K487">
            <v>500000</v>
          </cell>
        </row>
        <row r="488">
          <cell r="K488">
            <v>2000000</v>
          </cell>
        </row>
        <row r="489">
          <cell r="K489">
            <v>5000000</v>
          </cell>
        </row>
        <row r="732">
          <cell r="K732">
            <v>250000000</v>
          </cell>
        </row>
        <row r="735">
          <cell r="K735">
            <v>237698804.78</v>
          </cell>
        </row>
        <row r="736">
          <cell r="K736">
            <v>219192691.02000001</v>
          </cell>
        </row>
        <row r="749">
          <cell r="K749">
            <v>5000000000</v>
          </cell>
        </row>
        <row r="1393">
          <cell r="K1393">
            <v>24341603</v>
          </cell>
        </row>
        <row r="1394">
          <cell r="K1394">
            <v>40000000</v>
          </cell>
        </row>
        <row r="1395">
          <cell r="K1395">
            <v>15000000</v>
          </cell>
        </row>
        <row r="1398">
          <cell r="K1398">
            <v>5000000</v>
          </cell>
        </row>
        <row r="1399">
          <cell r="K1399">
            <v>5400000</v>
          </cell>
        </row>
        <row r="1400">
          <cell r="K1400">
            <v>180000000</v>
          </cell>
        </row>
        <row r="1401">
          <cell r="K1401">
            <v>50000000</v>
          </cell>
        </row>
        <row r="1402">
          <cell r="K1402">
            <v>5000000</v>
          </cell>
        </row>
        <row r="1403">
          <cell r="K1403">
            <v>35000000</v>
          </cell>
        </row>
        <row r="1404">
          <cell r="K1404">
            <v>5000000</v>
          </cell>
        </row>
        <row r="1405">
          <cell r="K1405">
            <v>600000</v>
          </cell>
        </row>
        <row r="1406">
          <cell r="K1406">
            <v>50000000</v>
          </cell>
        </row>
        <row r="1409">
          <cell r="K1409">
            <v>355000000</v>
          </cell>
        </row>
        <row r="1410">
          <cell r="K1410">
            <v>80000000</v>
          </cell>
        </row>
        <row r="1411">
          <cell r="K1411">
            <v>39000000</v>
          </cell>
        </row>
        <row r="1412">
          <cell r="K1412">
            <v>90000000</v>
          </cell>
        </row>
        <row r="1462">
          <cell r="K1462">
            <v>9000000</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head"/>
      <sheetName val="Capital"/>
      <sheetName val="Project systems"/>
      <sheetName val="Personnel"/>
      <sheetName val="Revenue"/>
    </sheetNames>
    <sheetDataSet>
      <sheetData sheetId="0" refreshError="1"/>
      <sheetData sheetId="1" refreshError="1">
        <row r="27">
          <cell r="J27">
            <v>8000000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amp; Calibraton"/>
      <sheetName val="O.1 Historical Data Entry"/>
      <sheetName val="O.2 Data EFU-FSP-BPS"/>
      <sheetName val="A. Macro-Fiscal Framework"/>
      <sheetName val="B.1 Recurrent Fiscal Forecasts"/>
      <sheetName val="B.2 Capital Receipts"/>
      <sheetName val="C.1 Sector Allocation PERSONNEL"/>
      <sheetName val="C.2 Sector Allocation OVERHEAD"/>
      <sheetName val="C.3 Sector Allocation CAPEX"/>
      <sheetName val="D.1 Fiscal Performance Graphs"/>
      <sheetName val="D.2 Fiscal Trend Graph"/>
      <sheetName val="E. Debt"/>
      <sheetName val="F. LGC FAAC Allocations"/>
    </sheetNames>
    <sheetDataSet>
      <sheetData sheetId="0" refreshError="1"/>
      <sheetData sheetId="1" refreshError="1"/>
      <sheetData sheetId="2" refreshError="1"/>
      <sheetData sheetId="3">
        <row r="16">
          <cell r="C16">
            <v>46429109763.300179</v>
          </cell>
        </row>
        <row r="17">
          <cell r="C17">
            <v>186512295893.2699</v>
          </cell>
        </row>
        <row r="34">
          <cell r="C34">
            <v>6550000000</v>
          </cell>
        </row>
        <row r="45">
          <cell r="C45">
            <v>40264017703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amp; Calibraton"/>
      <sheetName val="O.1 Historical Data Entry"/>
      <sheetName val="O.2 Data EFU-FSP-BPS"/>
      <sheetName val="A. Macro-Fiscal Framework"/>
      <sheetName val="B.1 Recurrent Fiscal Forecasts"/>
      <sheetName val="B.2 Capital Receipts"/>
      <sheetName val="C.1 Sector Allocation PERSONNEL"/>
      <sheetName val="C.2 Sector Allocation OVERHEAD"/>
      <sheetName val="C.3 Sector Allocation CAPEX"/>
      <sheetName val="D.1 Fiscal Performance Graphs"/>
      <sheetName val="D.2 Fiscal Trend Graph"/>
      <sheetName val="E. Debt"/>
      <sheetName val="F. LGC FAAC Allocations"/>
    </sheetNames>
    <sheetDataSet>
      <sheetData sheetId="0"/>
      <sheetData sheetId="1"/>
      <sheetData sheetId="2"/>
      <sheetData sheetId="3">
        <row r="16">
          <cell r="C16">
            <v>46429109763.300179</v>
          </cell>
        </row>
        <row r="17">
          <cell r="C17">
            <v>186512295893.2699</v>
          </cell>
        </row>
        <row r="18">
          <cell r="C18">
            <v>22958761951</v>
          </cell>
        </row>
        <row r="19">
          <cell r="C19">
            <v>71012876591</v>
          </cell>
        </row>
        <row r="20">
          <cell r="C20">
            <v>10000000000</v>
          </cell>
        </row>
        <row r="24">
          <cell r="C24">
            <v>21556597397.879669</v>
          </cell>
        </row>
        <row r="25">
          <cell r="C25">
            <v>82205978037.522461</v>
          </cell>
        </row>
        <row r="26">
          <cell r="C26">
            <v>60768308775</v>
          </cell>
        </row>
        <row r="34">
          <cell r="C34">
            <v>6550000000</v>
          </cell>
        </row>
        <row r="38">
          <cell r="C38">
            <v>16845652209.928505</v>
          </cell>
        </row>
        <row r="41">
          <cell r="C41">
            <v>199350525481.23944</v>
          </cell>
        </row>
        <row r="45">
          <cell r="C45">
            <v>37264017703</v>
          </cell>
        </row>
      </sheetData>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 $55"/>
      <sheetName val="At $60"/>
      <sheetName val="2019 Perf"/>
      <sheetName val="Macro-Econ Framework"/>
      <sheetName val="Smmary - All Scenerios"/>
      <sheetName val="$55-2.18"/>
    </sheetNames>
    <sheetDataSet>
      <sheetData sheetId="0"/>
      <sheetData sheetId="1"/>
      <sheetData sheetId="2"/>
      <sheetData sheetId="3">
        <row r="19">
          <cell r="B19">
            <v>71012876590.123367</v>
          </cell>
        </row>
        <row r="20">
          <cell r="B20">
            <v>10000000000</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LIMIT"/>
      <sheetName val="ISSUES "/>
      <sheetName val="CAPEX"/>
      <sheetName val="Summary"/>
      <sheetName val="Summary (2)"/>
      <sheetName val="Summary (3)"/>
    </sheetNames>
    <sheetDataSet>
      <sheetData sheetId="0"/>
      <sheetData sheetId="1"/>
      <sheetData sheetId="2"/>
      <sheetData sheetId="3"/>
      <sheetData sheetId="4"/>
      <sheetData sheetId="5">
        <row r="77">
          <cell r="E77">
            <v>19983414038</v>
          </cell>
        </row>
        <row r="101">
          <cell r="E101">
            <v>131064846284.1891</v>
          </cell>
        </row>
        <row r="110">
          <cell r="E110">
            <v>3445848935</v>
          </cell>
        </row>
        <row r="116">
          <cell r="E116">
            <v>31000000000</v>
          </cell>
        </row>
        <row r="133">
          <cell r="E133">
            <v>44788532668.871506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4"/>
  <sheetViews>
    <sheetView view="pageBreakPreview" topLeftCell="A7" zoomScale="55" zoomScaleNormal="100" zoomScaleSheetLayoutView="55" workbookViewId="0">
      <selection activeCell="J19" sqref="J19"/>
    </sheetView>
  </sheetViews>
  <sheetFormatPr defaultRowHeight="21" x14ac:dyDescent="0.35"/>
  <cols>
    <col min="1" max="1" width="5.140625" style="38" customWidth="1"/>
    <col min="2" max="2" width="70.42578125" style="39" customWidth="1"/>
    <col min="3" max="3" width="25.140625" style="40" customWidth="1"/>
    <col min="4" max="4" width="25.7109375" style="41" customWidth="1"/>
    <col min="5" max="5" width="16.42578125" style="40" hidden="1" customWidth="1"/>
    <col min="6" max="6" width="22.28515625" style="41" hidden="1" customWidth="1"/>
    <col min="7" max="7" width="24.7109375" style="41" hidden="1" customWidth="1"/>
    <col min="8" max="8" width="25.7109375" style="40" hidden="1" customWidth="1"/>
    <col min="9" max="9" width="24.7109375" style="41" bestFit="1" customWidth="1"/>
    <col min="10" max="10" width="24.7109375" style="41" customWidth="1"/>
    <col min="11" max="11" width="35.28515625" style="40" customWidth="1"/>
    <col min="12" max="12" width="37.7109375" style="40" customWidth="1"/>
    <col min="13" max="13" width="40.42578125" style="39" customWidth="1"/>
    <col min="14" max="14" width="25.28515625" style="39" customWidth="1"/>
    <col min="15" max="15" width="25.7109375" style="39" customWidth="1"/>
    <col min="16" max="17" width="30.28515625" style="39" customWidth="1"/>
    <col min="18" max="18" width="30.140625" style="41" customWidth="1"/>
    <col min="19" max="19" width="28.7109375" style="39" customWidth="1"/>
    <col min="20" max="20" width="27.7109375" style="39" customWidth="1"/>
    <col min="21" max="25" width="9.140625" style="39"/>
    <col min="26" max="27" width="26.5703125" style="39" customWidth="1"/>
    <col min="28" max="16384" width="9.140625" style="39"/>
  </cols>
  <sheetData>
    <row r="1" spans="1:20" ht="10.5" customHeight="1" x14ac:dyDescent="0.35"/>
    <row r="2" spans="1:20" x14ac:dyDescent="0.35">
      <c r="B2" s="728" t="s">
        <v>1367</v>
      </c>
      <c r="C2" s="728"/>
      <c r="D2" s="728"/>
      <c r="E2" s="44"/>
      <c r="G2" s="45"/>
      <c r="H2" s="43">
        <f>D92</f>
        <v>72060662633.215759</v>
      </c>
      <c r="K2" s="43"/>
      <c r="L2" s="43"/>
    </row>
    <row r="3" spans="1:20" s="42" customFormat="1" x14ac:dyDescent="0.35">
      <c r="A3" s="46" t="s">
        <v>1053</v>
      </c>
      <c r="B3" s="19" t="s">
        <v>1081</v>
      </c>
      <c r="C3" s="47"/>
      <c r="D3" s="48"/>
      <c r="E3" s="20"/>
      <c r="F3" s="22"/>
      <c r="G3" s="22"/>
      <c r="H3" s="47"/>
      <c r="I3" s="22"/>
      <c r="J3" s="124"/>
      <c r="K3" s="44"/>
      <c r="L3" s="44"/>
      <c r="M3" s="49"/>
      <c r="N3" s="50"/>
      <c r="O3" s="50"/>
      <c r="P3" s="50"/>
      <c r="Q3" s="50"/>
      <c r="R3" s="51"/>
    </row>
    <row r="4" spans="1:20" s="42" customFormat="1" ht="47.25" customHeight="1" x14ac:dyDescent="0.35">
      <c r="A4" s="20"/>
      <c r="B4" s="19" t="s">
        <v>1082</v>
      </c>
      <c r="C4" s="47" t="s">
        <v>1083</v>
      </c>
      <c r="D4" s="21" t="s">
        <v>1084</v>
      </c>
      <c r="E4" s="22" t="s">
        <v>1085</v>
      </c>
      <c r="F4" s="22" t="s">
        <v>1086</v>
      </c>
      <c r="G4" s="22" t="s">
        <v>1087</v>
      </c>
      <c r="H4" s="47"/>
      <c r="I4" s="21" t="s">
        <v>2981</v>
      </c>
      <c r="J4" s="125"/>
      <c r="K4" s="52"/>
      <c r="L4" s="47"/>
      <c r="M4" s="53" t="s">
        <v>1088</v>
      </c>
      <c r="N4" s="54"/>
      <c r="O4" s="54"/>
      <c r="P4" s="54"/>
      <c r="Q4" s="50"/>
      <c r="R4" s="51"/>
    </row>
    <row r="5" spans="1:20" ht="25.5" customHeight="1" x14ac:dyDescent="0.35">
      <c r="A5" s="23" t="s">
        <v>1057</v>
      </c>
      <c r="B5" s="24" t="s">
        <v>1089</v>
      </c>
      <c r="C5" s="16">
        <v>3092448606.7384686</v>
      </c>
      <c r="D5" s="16">
        <v>2522123192.16255</v>
      </c>
      <c r="E5" s="25">
        <f t="shared" ref="E5:E34" si="0">D5/$D$65*100</f>
        <v>3.5144944528004665</v>
      </c>
      <c r="F5" s="16"/>
      <c r="G5" s="16" t="e">
        <f>#REF!+F5</f>
        <v>#REF!</v>
      </c>
      <c r="H5" s="55"/>
      <c r="I5" s="16">
        <f>CAPEX!J31</f>
        <v>4683574631.29</v>
      </c>
      <c r="J5" s="126">
        <f>I5-D5</f>
        <v>2161451439.12745</v>
      </c>
      <c r="K5" s="56"/>
      <c r="L5" s="55"/>
      <c r="M5" s="57" t="s">
        <v>1010</v>
      </c>
      <c r="N5" s="57">
        <v>2020</v>
      </c>
      <c r="O5" s="57">
        <v>2021</v>
      </c>
      <c r="P5" s="57">
        <v>2022</v>
      </c>
      <c r="Q5" s="58"/>
      <c r="R5" s="41" t="e">
        <f>#REF!*#REF!/100</f>
        <v>#REF!</v>
      </c>
    </row>
    <row r="6" spans="1:20" ht="25.5" customHeight="1" x14ac:dyDescent="0.35">
      <c r="A6" s="23" t="s">
        <v>1058</v>
      </c>
      <c r="B6" s="24" t="s">
        <v>1090</v>
      </c>
      <c r="C6" s="16">
        <v>171802700.37435937</v>
      </c>
      <c r="D6" s="16">
        <v>271414868.74946201</v>
      </c>
      <c r="E6" s="25">
        <f t="shared" si="0"/>
        <v>0.37820755686785396</v>
      </c>
      <c r="F6" s="16"/>
      <c r="G6" s="16" t="e">
        <f>#REF!+F6</f>
        <v>#REF!</v>
      </c>
      <c r="H6" s="55"/>
      <c r="I6" s="16">
        <f>CAPEX!J71</f>
        <v>281414868</v>
      </c>
      <c r="J6" s="126"/>
      <c r="K6" s="56"/>
      <c r="L6" s="55"/>
      <c r="M6" s="59" t="s">
        <v>1091</v>
      </c>
      <c r="N6" s="60">
        <v>0.1036</v>
      </c>
      <c r="O6" s="60">
        <v>0.113</v>
      </c>
      <c r="P6" s="60">
        <v>0.114</v>
      </c>
      <c r="Q6" s="58"/>
      <c r="R6" s="41" t="e">
        <f>#REF!*#REF!/100</f>
        <v>#REF!</v>
      </c>
    </row>
    <row r="7" spans="1:20" ht="25.5" customHeight="1" x14ac:dyDescent="0.35">
      <c r="A7" s="23" t="s">
        <v>1059</v>
      </c>
      <c r="B7" s="24" t="s">
        <v>1092</v>
      </c>
      <c r="C7" s="16">
        <v>4284798317.3450003</v>
      </c>
      <c r="D7" s="16">
        <v>2161819878.99647</v>
      </c>
      <c r="E7" s="25">
        <f t="shared" si="0"/>
        <v>3.0124238166861121</v>
      </c>
      <c r="F7" s="16"/>
      <c r="G7" s="16">
        <f t="shared" ref="G7:G60" si="1">D6+F7</f>
        <v>271414868.74946201</v>
      </c>
      <c r="H7" s="55"/>
      <c r="I7" s="16">
        <f>CAPEX!J1606</f>
        <v>3454320016.0699997</v>
      </c>
      <c r="J7" s="126"/>
      <c r="K7" s="56"/>
      <c r="L7" s="55"/>
      <c r="M7" s="59" t="s">
        <v>1093</v>
      </c>
      <c r="N7" s="60">
        <v>3.5999999999999997E-2</v>
      </c>
      <c r="O7" s="60">
        <v>2.4E-2</v>
      </c>
      <c r="P7" s="60">
        <v>2.7E-2</v>
      </c>
      <c r="Q7" s="58"/>
      <c r="R7" s="41" t="e">
        <f>#REF!*#REF!/100</f>
        <v>#REF!</v>
      </c>
      <c r="S7" s="61" t="e">
        <f>#REF!-R7</f>
        <v>#REF!</v>
      </c>
      <c r="T7" s="61">
        <v>-579161798.1723361</v>
      </c>
    </row>
    <row r="8" spans="1:20" ht="25.5" customHeight="1" x14ac:dyDescent="0.35">
      <c r="A8" s="23" t="s">
        <v>1060</v>
      </c>
      <c r="B8" s="26" t="s">
        <v>1094</v>
      </c>
      <c r="C8" s="16">
        <v>206163240.44923124</v>
      </c>
      <c r="D8" s="16">
        <v>144121325.26643199</v>
      </c>
      <c r="E8" s="25">
        <f t="shared" si="0"/>
        <v>0.20082825444574173</v>
      </c>
      <c r="F8" s="16"/>
      <c r="G8" s="16">
        <f t="shared" si="1"/>
        <v>2161819878.99647</v>
      </c>
      <c r="H8" s="55"/>
      <c r="I8" s="16">
        <f>CAPEX!J261</f>
        <v>182121325</v>
      </c>
      <c r="J8" s="126"/>
      <c r="K8" s="56">
        <v>0</v>
      </c>
      <c r="L8" s="55"/>
      <c r="M8" s="59" t="s">
        <v>1095</v>
      </c>
      <c r="N8" s="60"/>
      <c r="O8" s="60"/>
      <c r="P8" s="60"/>
      <c r="Q8" s="58"/>
      <c r="R8" s="41" t="e">
        <f>#REF!*#REF!/100</f>
        <v>#REF!</v>
      </c>
    </row>
    <row r="9" spans="1:20" ht="25.5" customHeight="1" x14ac:dyDescent="0.35">
      <c r="A9" s="23" t="s">
        <v>1004</v>
      </c>
      <c r="B9" s="24" t="s">
        <v>1096</v>
      </c>
      <c r="C9" s="16">
        <v>917805197.76882172</v>
      </c>
      <c r="D9" s="16">
        <v>936788614.23180497</v>
      </c>
      <c r="E9" s="25">
        <f t="shared" si="0"/>
        <v>1.3053836538973174</v>
      </c>
      <c r="F9" s="16"/>
      <c r="G9" s="16">
        <f t="shared" si="1"/>
        <v>144121325.26643199</v>
      </c>
      <c r="H9" s="55"/>
      <c r="I9" s="16">
        <f>CAPEX!J159</f>
        <v>883789000</v>
      </c>
      <c r="J9" s="126"/>
      <c r="K9" s="40">
        <f>D9</f>
        <v>936788614.23180497</v>
      </c>
      <c r="M9" s="59" t="s">
        <v>1097</v>
      </c>
      <c r="N9" s="60"/>
      <c r="O9" s="60"/>
      <c r="P9" s="60"/>
      <c r="Q9" s="58"/>
      <c r="R9" s="41" t="e">
        <f>#REF!*#REF!/100</f>
        <v>#REF!</v>
      </c>
    </row>
    <row r="10" spans="1:20" ht="25.5" customHeight="1" x14ac:dyDescent="0.35">
      <c r="A10" s="23" t="s">
        <v>1061</v>
      </c>
      <c r="B10" s="27" t="s">
        <v>86</v>
      </c>
      <c r="C10" s="16">
        <v>1691212501.7258999</v>
      </c>
      <c r="D10" s="16">
        <v>1080909939.49824</v>
      </c>
      <c r="E10" s="25">
        <f t="shared" si="0"/>
        <v>1.5062119083430632</v>
      </c>
      <c r="F10" s="16"/>
      <c r="G10" s="16">
        <f t="shared" si="1"/>
        <v>936788614.23180497</v>
      </c>
      <c r="H10" s="55"/>
      <c r="I10" s="16">
        <f>CAPEX!J47</f>
        <v>1580909939.49824</v>
      </c>
      <c r="J10" s="126"/>
      <c r="K10" s="56"/>
      <c r="L10" s="55"/>
      <c r="M10" s="59" t="s">
        <v>1098</v>
      </c>
      <c r="N10" s="62"/>
      <c r="O10" s="62"/>
      <c r="P10" s="62"/>
      <c r="Q10" s="63"/>
      <c r="R10" s="41" t="e">
        <f>#REF!*#REF!/100</f>
        <v>#REF!</v>
      </c>
    </row>
    <row r="11" spans="1:20" ht="30" customHeight="1" x14ac:dyDescent="0.35">
      <c r="A11" s="23" t="s">
        <v>1062</v>
      </c>
      <c r="B11" s="24" t="s">
        <v>1372</v>
      </c>
      <c r="C11" s="16">
        <v>531105537.19785279</v>
      </c>
      <c r="D11" s="16">
        <v>531105537.19785303</v>
      </c>
      <c r="E11" s="25">
        <f t="shared" si="0"/>
        <v>0.74007783209550959</v>
      </c>
      <c r="F11" s="16"/>
      <c r="G11" s="16">
        <f t="shared" si="1"/>
        <v>1080909939.49824</v>
      </c>
      <c r="H11" s="55"/>
      <c r="I11" s="16">
        <f>CAPEX!J147</f>
        <v>1517500000</v>
      </c>
      <c r="J11" s="126">
        <f t="shared" ref="J11:J69" si="2">I11-D11</f>
        <v>986394462.80214691</v>
      </c>
      <c r="K11" s="56"/>
      <c r="L11" s="55"/>
      <c r="M11" s="59" t="s">
        <v>1099</v>
      </c>
      <c r="N11" s="64">
        <v>2.1800000000000002</v>
      </c>
      <c r="O11" s="64">
        <v>2.2000000000000002</v>
      </c>
      <c r="P11" s="64">
        <v>2.2000000000000002</v>
      </c>
      <c r="Q11" s="63"/>
      <c r="R11" s="41" t="e">
        <f>#REF!*#REF!/100</f>
        <v>#REF!</v>
      </c>
    </row>
    <row r="12" spans="1:20" ht="25.5" customHeight="1" x14ac:dyDescent="0.35">
      <c r="A12" s="23" t="s">
        <v>1063</v>
      </c>
      <c r="B12" s="24" t="s">
        <v>1100</v>
      </c>
      <c r="C12" s="16">
        <v>27488432.059897501</v>
      </c>
      <c r="D12" s="16">
        <v>37648530.106572598</v>
      </c>
      <c r="E12" s="25">
        <f t="shared" si="0"/>
        <v>5.2461969592448462E-2</v>
      </c>
      <c r="F12" s="16"/>
      <c r="G12" s="16">
        <f t="shared" si="1"/>
        <v>531105537.19785303</v>
      </c>
      <c r="H12" s="55"/>
      <c r="I12" s="16">
        <f>CAPEX!J184</f>
        <v>37648530</v>
      </c>
      <c r="J12" s="126"/>
      <c r="K12" s="56"/>
      <c r="L12" s="55"/>
      <c r="M12" s="59" t="s">
        <v>1101</v>
      </c>
      <c r="N12" s="64">
        <v>55</v>
      </c>
      <c r="O12" s="64">
        <v>60</v>
      </c>
      <c r="P12" s="64">
        <v>60</v>
      </c>
      <c r="Q12" s="58"/>
      <c r="R12" s="41" t="e">
        <f>#REF!*#REF!/100</f>
        <v>#REF!</v>
      </c>
    </row>
    <row r="13" spans="1:20" ht="25.5" customHeight="1" x14ac:dyDescent="0.35">
      <c r="A13" s="23" t="s">
        <v>1064</v>
      </c>
      <c r="B13" s="24" t="s">
        <v>1102</v>
      </c>
      <c r="C13" s="16">
        <v>27488432.059897501</v>
      </c>
      <c r="D13" s="16">
        <v>37648530.106572598</v>
      </c>
      <c r="E13" s="25">
        <f t="shared" si="0"/>
        <v>5.2461969592448462E-2</v>
      </c>
      <c r="F13" s="16"/>
      <c r="G13" s="16">
        <f t="shared" si="1"/>
        <v>37648530.106572598</v>
      </c>
      <c r="H13" s="55"/>
      <c r="I13" s="16">
        <f>CAPEX!J334</f>
        <v>37648530</v>
      </c>
      <c r="J13" s="126"/>
      <c r="K13" s="56"/>
      <c r="L13" s="55"/>
      <c r="M13" s="59" t="s">
        <v>1103</v>
      </c>
      <c r="N13" s="65">
        <v>305</v>
      </c>
      <c r="O13" s="65">
        <v>305</v>
      </c>
      <c r="P13" s="65">
        <v>305</v>
      </c>
      <c r="Q13" s="58"/>
      <c r="R13" s="41" t="e">
        <f>#REF!*#REF!/100</f>
        <v>#REF!</v>
      </c>
    </row>
    <row r="14" spans="1:20" ht="25.5" customHeight="1" x14ac:dyDescent="0.35">
      <c r="A14" s="23" t="s">
        <v>1065</v>
      </c>
      <c r="B14" s="24" t="s">
        <v>1104</v>
      </c>
      <c r="C14" s="16">
        <v>54976864.119795002</v>
      </c>
      <c r="D14" s="16">
        <v>37648530.106572598</v>
      </c>
      <c r="E14" s="25">
        <f t="shared" si="0"/>
        <v>5.2461969592448462E-2</v>
      </c>
      <c r="F14" s="16"/>
      <c r="G14" s="16">
        <f t="shared" si="1"/>
        <v>37648530.106572598</v>
      </c>
      <c r="H14" s="55"/>
      <c r="I14" s="16">
        <f>CAPEX!J271</f>
        <v>49000000</v>
      </c>
      <c r="J14" s="126"/>
      <c r="K14" s="56"/>
      <c r="L14" s="55"/>
      <c r="M14" s="57" t="s">
        <v>1105</v>
      </c>
      <c r="N14" s="66"/>
      <c r="O14" s="66"/>
      <c r="P14" s="66"/>
      <c r="Q14" s="58"/>
      <c r="R14" s="41" t="e">
        <f>#REF!*#REF!/100</f>
        <v>#REF!</v>
      </c>
    </row>
    <row r="15" spans="1:20" ht="25.5" customHeight="1" x14ac:dyDescent="0.35">
      <c r="A15" s="23" t="s">
        <v>1066</v>
      </c>
      <c r="B15" s="24" t="s">
        <v>1106</v>
      </c>
      <c r="C15" s="16">
        <v>122825084.612</v>
      </c>
      <c r="D15" s="16">
        <v>144121325.26643199</v>
      </c>
      <c r="E15" s="25">
        <f t="shared" si="0"/>
        <v>0.20082825444574173</v>
      </c>
      <c r="F15" s="16"/>
      <c r="G15" s="16">
        <f t="shared" si="1"/>
        <v>37648530.106572598</v>
      </c>
      <c r="H15" s="55"/>
      <c r="I15" s="16">
        <f>CAPEX!J251</f>
        <v>401000000</v>
      </c>
      <c r="J15" s="126"/>
      <c r="K15" s="56">
        <f>D15</f>
        <v>144121325.26643199</v>
      </c>
      <c r="L15" s="55"/>
      <c r="M15" s="59" t="s">
        <v>1107</v>
      </c>
      <c r="N15" s="67">
        <v>0.34</v>
      </c>
      <c r="O15" s="67">
        <v>0.36</v>
      </c>
      <c r="P15" s="67">
        <v>0.38</v>
      </c>
      <c r="Q15" s="63"/>
      <c r="R15" s="41" t="e">
        <f>#REF!*#REF!/100</f>
        <v>#REF!</v>
      </c>
    </row>
    <row r="16" spans="1:20" ht="25.5" customHeight="1" x14ac:dyDescent="0.35">
      <c r="A16" s="23" t="s">
        <v>1067</v>
      </c>
      <c r="B16" s="24" t="s">
        <v>1108</v>
      </c>
      <c r="C16" s="16">
        <v>54976864.119795002</v>
      </c>
      <c r="D16" s="16">
        <v>57648530.106572598</v>
      </c>
      <c r="E16" s="25">
        <f t="shared" si="0"/>
        <v>8.0331301778296421E-2</v>
      </c>
      <c r="F16" s="16"/>
      <c r="G16" s="16">
        <f t="shared" si="1"/>
        <v>144121325.26643199</v>
      </c>
      <c r="H16" s="55"/>
      <c r="I16" s="16">
        <f>CAPEX!J212</f>
        <v>57576864</v>
      </c>
      <c r="J16" s="126"/>
      <c r="K16" s="56"/>
      <c r="L16" s="55"/>
      <c r="M16" s="53" t="s">
        <v>1109</v>
      </c>
      <c r="N16" s="54"/>
      <c r="O16" s="54"/>
      <c r="P16" s="54"/>
      <c r="Q16" s="68"/>
      <c r="R16" s="41" t="e">
        <f>#REF!*#REF!/100</f>
        <v>#REF!</v>
      </c>
    </row>
    <row r="17" spans="1:18" ht="25.5" customHeight="1" x14ac:dyDescent="0.35">
      <c r="A17" s="30" t="s">
        <v>1068</v>
      </c>
      <c r="B17" s="34" t="s">
        <v>1110</v>
      </c>
      <c r="C17" s="32">
        <v>30000000</v>
      </c>
      <c r="D17" s="32">
        <v>36030331.3166079</v>
      </c>
      <c r="E17" s="25">
        <f t="shared" si="0"/>
        <v>5.0207063611435301E-2</v>
      </c>
      <c r="F17" s="16"/>
      <c r="G17" s="16">
        <f t="shared" si="1"/>
        <v>57648530.106572598</v>
      </c>
      <c r="H17" s="55"/>
      <c r="I17" s="16">
        <f>CAPEX!J196</f>
        <v>36030331</v>
      </c>
      <c r="J17" s="126"/>
      <c r="K17" s="56"/>
      <c r="L17" s="55"/>
      <c r="M17" s="57" t="s">
        <v>1013</v>
      </c>
      <c r="N17" s="57">
        <v>2020</v>
      </c>
      <c r="O17" s="57">
        <v>2021</v>
      </c>
      <c r="P17" s="57">
        <v>2022</v>
      </c>
      <c r="Q17" s="63"/>
      <c r="R17" s="41" t="e">
        <f>#REF!*#REF!/100</f>
        <v>#REF!</v>
      </c>
    </row>
    <row r="18" spans="1:18" ht="25.5" customHeight="1" x14ac:dyDescent="0.35">
      <c r="A18" s="119" t="s">
        <v>1069</v>
      </c>
      <c r="B18" s="123" t="s">
        <v>1111</v>
      </c>
      <c r="C18" s="120">
        <v>1030816202.2461562</v>
      </c>
      <c r="D18" s="120">
        <v>550000000</v>
      </c>
      <c r="E18" s="121">
        <f t="shared" si="0"/>
        <v>0.76640663511081875</v>
      </c>
      <c r="F18" s="120"/>
      <c r="G18" s="120">
        <f t="shared" si="1"/>
        <v>36030331.3166079</v>
      </c>
      <c r="H18" s="122"/>
      <c r="I18" s="120">
        <f>CAPEX!J124</f>
        <v>1572009127</v>
      </c>
      <c r="J18" s="126"/>
      <c r="K18" s="56">
        <f>D18</f>
        <v>550000000</v>
      </c>
      <c r="L18" s="55"/>
      <c r="M18" s="59" t="s">
        <v>1014</v>
      </c>
      <c r="N18" s="69">
        <v>45401903493.285164</v>
      </c>
      <c r="O18" s="69">
        <v>51587931107.966721</v>
      </c>
      <c r="P18" s="69">
        <v>55181599524.74395</v>
      </c>
      <c r="Q18" s="63"/>
      <c r="R18" s="41" t="e">
        <f>#REF!*#REF!/100</f>
        <v>#REF!</v>
      </c>
    </row>
    <row r="19" spans="1:18" ht="25.5" customHeight="1" x14ac:dyDescent="0.35">
      <c r="A19" s="30" t="s">
        <v>1070</v>
      </c>
      <c r="B19" s="34" t="s">
        <v>1112</v>
      </c>
      <c r="C19" s="32">
        <v>54976864.119795002</v>
      </c>
      <c r="D19" s="32">
        <v>57648530.106572598</v>
      </c>
      <c r="E19" s="25">
        <f t="shared" si="0"/>
        <v>8.0331301778296421E-2</v>
      </c>
      <c r="F19" s="16"/>
      <c r="G19" s="16">
        <f t="shared" si="1"/>
        <v>550000000</v>
      </c>
      <c r="H19" s="55"/>
      <c r="I19" s="16">
        <f>CAPEX!J363</f>
        <v>93976864</v>
      </c>
      <c r="J19" s="126">
        <f>D19-I19</f>
        <v>-36328333.893427402</v>
      </c>
      <c r="K19" s="56">
        <f>D19</f>
        <v>57648530.106572598</v>
      </c>
      <c r="L19" s="55"/>
      <c r="M19" s="59" t="s">
        <v>1015</v>
      </c>
      <c r="N19" s="69">
        <v>179968004809.2955</v>
      </c>
      <c r="O19" s="69">
        <v>209784614348.66611</v>
      </c>
      <c r="P19" s="69">
        <v>221439315145.81424</v>
      </c>
      <c r="Q19" s="54"/>
      <c r="R19" s="41" t="e">
        <f>#REF!*#REF!/100</f>
        <v>#REF!</v>
      </c>
    </row>
    <row r="20" spans="1:18" ht="25.5" customHeight="1" x14ac:dyDescent="0.35">
      <c r="A20" s="23" t="s">
        <v>1071</v>
      </c>
      <c r="B20" s="24" t="s">
        <v>1113</v>
      </c>
      <c r="C20" s="16">
        <v>406544343.89353597</v>
      </c>
      <c r="D20" s="16">
        <v>200121325.26643199</v>
      </c>
      <c r="E20" s="25">
        <f t="shared" si="0"/>
        <v>0.27886238456611601</v>
      </c>
      <c r="F20" s="16"/>
      <c r="G20" s="16">
        <f t="shared" si="1"/>
        <v>57648530.106572598</v>
      </c>
      <c r="H20" s="55"/>
      <c r="I20" s="16">
        <f>CAPEX!J228</f>
        <v>350000000</v>
      </c>
      <c r="J20" s="126">
        <f t="shared" si="2"/>
        <v>149878674.73356801</v>
      </c>
      <c r="K20" s="56"/>
      <c r="L20" s="55"/>
      <c r="M20" s="59" t="s">
        <v>1016</v>
      </c>
      <c r="N20" s="69">
        <v>15458761950.913841</v>
      </c>
      <c r="O20" s="69">
        <v>16762766137.825209</v>
      </c>
      <c r="P20" s="69">
        <v>18390029010.66861</v>
      </c>
      <c r="Q20" s="58"/>
      <c r="R20" s="41" t="e">
        <f>#REF!*#REF!/100</f>
        <v>#REF!</v>
      </c>
    </row>
    <row r="21" spans="1:18" ht="25.5" customHeight="1" x14ac:dyDescent="0.35">
      <c r="A21" s="23" t="s">
        <v>1072</v>
      </c>
      <c r="B21" s="26" t="s">
        <v>1317</v>
      </c>
      <c r="C21" s="16">
        <v>40000000</v>
      </c>
      <c r="D21" s="16">
        <v>36030331.3166079</v>
      </c>
      <c r="E21" s="25">
        <f t="shared" si="0"/>
        <v>5.0207063611435301E-2</v>
      </c>
      <c r="F21" s="16"/>
      <c r="G21" s="16">
        <f t="shared" si="1"/>
        <v>200121325.26643199</v>
      </c>
      <c r="H21" s="55"/>
      <c r="I21" s="16">
        <f>CAPEX!J233</f>
        <v>100030331</v>
      </c>
      <c r="J21" s="126"/>
      <c r="K21" s="56">
        <f>D21</f>
        <v>36030331.3166079</v>
      </c>
      <c r="L21" s="55"/>
      <c r="M21" s="59" t="s">
        <v>1114</v>
      </c>
      <c r="N21" s="69">
        <v>71012876590.123367</v>
      </c>
      <c r="O21" s="69">
        <v>78114164249.135712</v>
      </c>
      <c r="P21" s="69">
        <v>85925580674.049286</v>
      </c>
      <c r="Q21" s="58"/>
      <c r="R21" s="41" t="e">
        <f>#REF!*#REF!/100</f>
        <v>#REF!</v>
      </c>
    </row>
    <row r="22" spans="1:18" ht="25.5" customHeight="1" x14ac:dyDescent="0.35">
      <c r="A22" s="23" t="s">
        <v>1115</v>
      </c>
      <c r="B22" s="26" t="s">
        <v>1116</v>
      </c>
      <c r="C22" s="16">
        <v>38040410.594983846</v>
      </c>
      <c r="D22" s="16">
        <v>52060662.6332158</v>
      </c>
      <c r="E22" s="25">
        <f t="shared" si="0"/>
        <v>7.2544795037022644E-2</v>
      </c>
      <c r="F22" s="16"/>
      <c r="G22" s="16">
        <f t="shared" si="1"/>
        <v>36030331.3166079</v>
      </c>
      <c r="H22" s="55"/>
      <c r="I22" s="16">
        <f>CAPEX!J174</f>
        <v>52060662</v>
      </c>
      <c r="J22" s="126"/>
      <c r="K22" s="56"/>
      <c r="L22" s="55"/>
      <c r="M22" s="59" t="s">
        <v>1117</v>
      </c>
      <c r="N22" s="69">
        <v>10000000000</v>
      </c>
      <c r="O22" s="69">
        <v>10000000000</v>
      </c>
      <c r="P22" s="69">
        <v>10000000000</v>
      </c>
      <c r="Q22" s="63"/>
      <c r="R22" s="41" t="e">
        <f>#REF!*#REF!/100</f>
        <v>#REF!</v>
      </c>
    </row>
    <row r="23" spans="1:18" ht="25.5" customHeight="1" x14ac:dyDescent="0.35">
      <c r="A23" s="118" t="s">
        <v>1118</v>
      </c>
      <c r="B23" s="114" t="s">
        <v>1119</v>
      </c>
      <c r="C23" s="115">
        <v>30000000</v>
      </c>
      <c r="D23" s="115">
        <v>30000000</v>
      </c>
      <c r="E23" s="116">
        <f t="shared" si="0"/>
        <v>4.1803998278771931E-2</v>
      </c>
      <c r="F23" s="115"/>
      <c r="G23" s="115">
        <f t="shared" si="1"/>
        <v>52060662.6332158</v>
      </c>
      <c r="H23" s="117"/>
      <c r="I23" s="115">
        <f>CAPEX!J296</f>
        <v>30000000</v>
      </c>
      <c r="J23" s="126"/>
      <c r="K23" s="56">
        <f>D23</f>
        <v>30000000</v>
      </c>
      <c r="L23" s="55"/>
      <c r="M23" s="57" t="s">
        <v>1120</v>
      </c>
      <c r="N23" s="71">
        <v>321841546843.61786</v>
      </c>
      <c r="O23" s="71">
        <v>366249475843.59375</v>
      </c>
      <c r="P23" s="71">
        <v>390936524355.27612</v>
      </c>
      <c r="Q23" s="54"/>
      <c r="R23" s="41" t="e">
        <f>#REF!*#REF!/100</f>
        <v>#REF!</v>
      </c>
    </row>
    <row r="24" spans="1:18" ht="25.5" customHeight="1" x14ac:dyDescent="0.35">
      <c r="A24" s="118" t="s">
        <v>1121</v>
      </c>
      <c r="B24" s="114" t="s">
        <v>1122</v>
      </c>
      <c r="C24" s="115">
        <v>30000000</v>
      </c>
      <c r="D24" s="115">
        <v>30000000</v>
      </c>
      <c r="E24" s="116">
        <f t="shared" si="0"/>
        <v>4.1803998278771931E-2</v>
      </c>
      <c r="F24" s="115"/>
      <c r="G24" s="115">
        <f t="shared" si="1"/>
        <v>30000000</v>
      </c>
      <c r="H24" s="117"/>
      <c r="I24" s="115">
        <f>CAPEX!J321</f>
        <v>30000000</v>
      </c>
      <c r="J24" s="126"/>
      <c r="K24" s="40">
        <f>D24</f>
        <v>30000000</v>
      </c>
      <c r="L24" s="55"/>
      <c r="M24" s="72"/>
      <c r="N24" s="68"/>
      <c r="O24" s="68"/>
      <c r="P24" s="68"/>
      <c r="Q24" s="63"/>
      <c r="R24" s="41" t="e">
        <f>#REF!*#REF!/100</f>
        <v>#REF!</v>
      </c>
    </row>
    <row r="25" spans="1:18" ht="25.5" customHeight="1" x14ac:dyDescent="0.35">
      <c r="A25" s="30" t="s">
        <v>1123</v>
      </c>
      <c r="B25" s="31" t="s">
        <v>1124</v>
      </c>
      <c r="C25" s="32">
        <v>40000000</v>
      </c>
      <c r="D25" s="32">
        <v>57648530.106572598</v>
      </c>
      <c r="E25" s="33">
        <f t="shared" si="0"/>
        <v>8.0331301778296421E-2</v>
      </c>
      <c r="F25" s="32"/>
      <c r="G25" s="32">
        <f t="shared" si="1"/>
        <v>30000000</v>
      </c>
      <c r="H25" s="70"/>
      <c r="I25" s="32">
        <f>CAPEX!J350</f>
        <v>150000000</v>
      </c>
      <c r="J25" s="126"/>
      <c r="K25" s="40">
        <f>D25</f>
        <v>57648530.106572598</v>
      </c>
      <c r="L25" s="55"/>
      <c r="M25" s="73" t="s">
        <v>1019</v>
      </c>
      <c r="N25" s="63"/>
      <c r="O25" s="63"/>
      <c r="P25" s="63"/>
      <c r="Q25" s="58"/>
      <c r="R25" s="41" t="e">
        <f>#REF!*#REF!/100</f>
        <v>#REF!</v>
      </c>
    </row>
    <row r="26" spans="1:18" s="79" customFormat="1" ht="25.5" customHeight="1" x14ac:dyDescent="0.35">
      <c r="A26" s="30" t="s">
        <v>1125</v>
      </c>
      <c r="B26" s="31" t="s">
        <v>1126</v>
      </c>
      <c r="C26" s="32">
        <v>40000000</v>
      </c>
      <c r="D26" s="32">
        <f>C26</f>
        <v>40000000</v>
      </c>
      <c r="E26" s="33">
        <f t="shared" si="0"/>
        <v>5.5738664371695903E-2</v>
      </c>
      <c r="F26" s="32"/>
      <c r="G26" s="32">
        <f t="shared" si="1"/>
        <v>57648530.106572598</v>
      </c>
      <c r="H26" s="70"/>
      <c r="I26" s="32">
        <f>CAPEX!J373</f>
        <v>60000000</v>
      </c>
      <c r="J26" s="126"/>
      <c r="K26" s="74"/>
      <c r="L26" s="70"/>
      <c r="M26" s="75" t="s">
        <v>1127</v>
      </c>
      <c r="N26" s="76">
        <v>21556597397.879669</v>
      </c>
      <c r="O26" s="76">
        <v>22095512332.82666</v>
      </c>
      <c r="P26" s="76">
        <v>22647900141.147324</v>
      </c>
      <c r="Q26" s="77">
        <f>N10*5%</f>
        <v>0</v>
      </c>
      <c r="R26" s="78" t="e">
        <f>#REF!*#REF!/100</f>
        <v>#REF!</v>
      </c>
    </row>
    <row r="27" spans="1:18" ht="25.5" customHeight="1" x14ac:dyDescent="0.35">
      <c r="A27" s="30" t="s">
        <v>1128</v>
      </c>
      <c r="B27" s="31" t="s">
        <v>1129</v>
      </c>
      <c r="C27" s="32">
        <v>50000000</v>
      </c>
      <c r="D27" s="32">
        <v>43236397.579929397</v>
      </c>
      <c r="E27" s="33">
        <f t="shared" si="0"/>
        <v>6.0248476333722246E-2</v>
      </c>
      <c r="F27" s="32"/>
      <c r="G27" s="32">
        <f t="shared" si="1"/>
        <v>40000000</v>
      </c>
      <c r="H27" s="70"/>
      <c r="I27" s="32">
        <f>CAPEX!J282</f>
        <v>43236397</v>
      </c>
      <c r="J27" s="126"/>
      <c r="K27" s="56"/>
      <c r="L27" s="55"/>
      <c r="M27" s="59" t="s">
        <v>1020</v>
      </c>
      <c r="N27" s="69">
        <v>82205978037.522461</v>
      </c>
      <c r="O27" s="69">
        <v>84261127488.46051</v>
      </c>
      <c r="P27" s="69">
        <v>86367655675.672012</v>
      </c>
      <c r="Q27" s="63"/>
      <c r="R27" s="41" t="e">
        <f>#REF!*#REF!/100</f>
        <v>#REF!</v>
      </c>
    </row>
    <row r="28" spans="1:18" ht="25.5" customHeight="1" x14ac:dyDescent="0.35">
      <c r="A28" s="30" t="s">
        <v>1130</v>
      </c>
      <c r="B28" s="31" t="s">
        <v>1373</v>
      </c>
      <c r="C28" s="32">
        <v>2902353040</v>
      </c>
      <c r="D28" s="32">
        <v>1011246476.41992</v>
      </c>
      <c r="E28" s="33">
        <f t="shared" si="0"/>
        <v>1.4091381986557505</v>
      </c>
      <c r="F28" s="32"/>
      <c r="G28" s="32">
        <f t="shared" si="1"/>
        <v>43236397.579929397</v>
      </c>
      <c r="H28" s="70"/>
      <c r="I28" s="16">
        <f>CAPEX!J495</f>
        <v>2011246476</v>
      </c>
      <c r="J28" s="126"/>
      <c r="K28" s="80"/>
      <c r="L28" s="55"/>
      <c r="M28" s="59" t="s">
        <v>1131</v>
      </c>
      <c r="N28" s="69">
        <v>60768308775</v>
      </c>
      <c r="O28" s="69">
        <v>62591358038.25</v>
      </c>
      <c r="P28" s="69">
        <v>64469098779.397499</v>
      </c>
      <c r="Q28" s="54"/>
      <c r="R28" s="41" t="e">
        <f>#REF!*#REF!/100</f>
        <v>#REF!</v>
      </c>
    </row>
    <row r="29" spans="1:18" ht="25.5" customHeight="1" x14ac:dyDescent="0.35">
      <c r="A29" s="30" t="s">
        <v>1132</v>
      </c>
      <c r="B29" s="34" t="s">
        <v>1374</v>
      </c>
      <c r="C29" s="32">
        <v>3756103456.7335911</v>
      </c>
      <c r="D29" s="32">
        <v>1011246476.41992</v>
      </c>
      <c r="E29" s="33">
        <f t="shared" si="0"/>
        <v>1.4091381986557505</v>
      </c>
      <c r="F29" s="32"/>
      <c r="G29" s="32">
        <f t="shared" si="1"/>
        <v>1011246476.41992</v>
      </c>
      <c r="H29" s="70">
        <f>D28/D60*100</f>
        <v>4007.0952013538099</v>
      </c>
      <c r="I29" s="32">
        <f>CAPEX!J857</f>
        <v>1541367801</v>
      </c>
      <c r="J29" s="126"/>
      <c r="K29" s="32">
        <f>D29</f>
        <v>1011246476.41992</v>
      </c>
      <c r="L29" s="55"/>
      <c r="M29" s="57" t="s">
        <v>1008</v>
      </c>
      <c r="N29" s="71">
        <v>164530884210.40213</v>
      </c>
      <c r="O29" s="71">
        <v>168947997859.53717</v>
      </c>
      <c r="P29" s="71">
        <v>173484654596.21683</v>
      </c>
      <c r="Q29" s="63"/>
      <c r="R29" s="41" t="e">
        <f>#REF!*#REF!/100</f>
        <v>#REF!</v>
      </c>
    </row>
    <row r="30" spans="1:18" ht="25.5" customHeight="1" x14ac:dyDescent="0.35">
      <c r="A30" s="30" t="s">
        <v>1133</v>
      </c>
      <c r="B30" s="34" t="s">
        <v>1134</v>
      </c>
      <c r="C30" s="32">
        <v>274884320.598975</v>
      </c>
      <c r="D30" s="32">
        <v>216181988</v>
      </c>
      <c r="E30" s="33">
        <f t="shared" si="0"/>
        <v>0.30124238180844981</v>
      </c>
      <c r="F30" s="32"/>
      <c r="G30" s="32">
        <f t="shared" si="1"/>
        <v>1011246476.41992</v>
      </c>
      <c r="H30" s="70"/>
      <c r="I30" s="32">
        <f>CAPEX!J939</f>
        <v>216181988</v>
      </c>
      <c r="J30" s="126">
        <f t="shared" si="2"/>
        <v>0</v>
      </c>
      <c r="K30" s="56">
        <f>D30</f>
        <v>216181988</v>
      </c>
      <c r="L30" s="55"/>
      <c r="M30" s="59"/>
      <c r="N30" s="68"/>
      <c r="O30" s="68"/>
      <c r="P30" s="68"/>
      <c r="Q30" s="58"/>
      <c r="R30" s="41" t="e">
        <f>#REF!*#REF!/100</f>
        <v>#REF!</v>
      </c>
    </row>
    <row r="31" spans="1:18" ht="25.5" customHeight="1" x14ac:dyDescent="0.35">
      <c r="A31" s="30" t="s">
        <v>1135</v>
      </c>
      <c r="B31" s="34" t="s">
        <v>1136</v>
      </c>
      <c r="C31" s="32">
        <v>309244860.6738469</v>
      </c>
      <c r="D31" s="32">
        <f>350151656.583039+50000000+9000000</f>
        <v>409151656.58303899</v>
      </c>
      <c r="E31" s="33">
        <f t="shared" si="0"/>
        <v>0.57013917158513483</v>
      </c>
      <c r="F31" s="32"/>
      <c r="G31" s="32">
        <f t="shared" si="1"/>
        <v>216181988</v>
      </c>
      <c r="H31" s="70"/>
      <c r="I31" s="32">
        <f>CAPEX!J867</f>
        <v>600000000</v>
      </c>
      <c r="J31" s="126">
        <f t="shared" si="2"/>
        <v>190848343.41696101</v>
      </c>
      <c r="K31" s="56">
        <f>D31</f>
        <v>409151656.58303899</v>
      </c>
      <c r="L31" s="55"/>
      <c r="M31" s="57" t="s">
        <v>1137</v>
      </c>
      <c r="N31" s="71">
        <v>157310662633.21573</v>
      </c>
      <c r="O31" s="71">
        <v>197301477984.05658</v>
      </c>
      <c r="P31" s="71">
        <v>217451869759.0593</v>
      </c>
      <c r="Q31" s="58"/>
      <c r="R31" s="41" t="e">
        <f>#REF!*#REF!/100</f>
        <v>#REF!</v>
      </c>
    </row>
    <row r="32" spans="1:18" ht="25.5" customHeight="1" x14ac:dyDescent="0.35">
      <c r="A32" s="30" t="s">
        <v>1138</v>
      </c>
      <c r="B32" s="31" t="s">
        <v>1139</v>
      </c>
      <c r="C32" s="32">
        <v>1973422648.0320001</v>
      </c>
      <c r="D32" s="32">
        <v>720606626.33215797</v>
      </c>
      <c r="E32" s="33">
        <f t="shared" si="0"/>
        <v>1.004141272228706</v>
      </c>
      <c r="F32" s="32"/>
      <c r="G32" s="32">
        <f t="shared" si="1"/>
        <v>409151656.58303899</v>
      </c>
      <c r="H32" s="70"/>
      <c r="I32" s="32">
        <f>CAPEX!J528</f>
        <v>5429606000</v>
      </c>
      <c r="J32" s="126"/>
      <c r="K32" s="56">
        <f>D32-I32</f>
        <v>-4708999373.6678419</v>
      </c>
      <c r="L32" s="55"/>
      <c r="M32" s="73"/>
      <c r="N32" s="63"/>
      <c r="O32" s="63"/>
      <c r="P32" s="63"/>
      <c r="Q32" s="54"/>
      <c r="R32" s="41" t="e">
        <f>#REF!*#REF!/100</f>
        <v>#REF!</v>
      </c>
    </row>
    <row r="33" spans="1:19" ht="25.5" customHeight="1" x14ac:dyDescent="0.35">
      <c r="A33" s="30" t="s">
        <v>1140</v>
      </c>
      <c r="B33" s="31" t="s">
        <v>1375</v>
      </c>
      <c r="C33" s="32">
        <v>360247498.44697499</v>
      </c>
      <c r="D33" s="32">
        <v>684576295.01555002</v>
      </c>
      <c r="E33" s="33">
        <f t="shared" si="0"/>
        <v>0.95393420861727052</v>
      </c>
      <c r="F33" s="32"/>
      <c r="G33" s="32">
        <f t="shared" si="1"/>
        <v>720606626.33215797</v>
      </c>
      <c r="H33" s="70"/>
      <c r="I33" s="32">
        <f>CAPEX!J818</f>
        <v>1498500000</v>
      </c>
      <c r="J33" s="126">
        <f t="shared" si="2"/>
        <v>813923704.98444998</v>
      </c>
      <c r="K33" s="56"/>
      <c r="L33" s="55"/>
      <c r="M33" s="73" t="s">
        <v>1023</v>
      </c>
      <c r="N33" s="54"/>
      <c r="O33" s="54"/>
      <c r="P33" s="54"/>
      <c r="Q33" s="58"/>
      <c r="R33" s="41" t="e">
        <f>#REF!*#REF!/100</f>
        <v>#REF!</v>
      </c>
    </row>
    <row r="34" spans="1:19" ht="25.5" customHeight="1" x14ac:dyDescent="0.35">
      <c r="A34" s="30" t="s">
        <v>1141</v>
      </c>
      <c r="B34" s="31" t="s">
        <v>1376</v>
      </c>
      <c r="C34" s="32">
        <v>783633549.24000001</v>
      </c>
      <c r="D34" s="32">
        <v>600909939.49823999</v>
      </c>
      <c r="E34" s="33">
        <f t="shared" si="0"/>
        <v>0.83734793588271217</v>
      </c>
      <c r="F34" s="32"/>
      <c r="G34" s="32">
        <f t="shared" si="1"/>
        <v>684576295.01555002</v>
      </c>
      <c r="H34" s="70"/>
      <c r="I34" s="32">
        <f>CAPEX!J1391</f>
        <v>1438727240</v>
      </c>
      <c r="J34" s="126"/>
      <c r="K34" s="56">
        <f>D34-I34</f>
        <v>-837817300.50176001</v>
      </c>
      <c r="L34" s="55"/>
      <c r="M34" s="59" t="s">
        <v>1024</v>
      </c>
      <c r="N34" s="69">
        <v>2550000000</v>
      </c>
      <c r="O34" s="69">
        <v>2250000000</v>
      </c>
      <c r="P34" s="69">
        <v>2250000000</v>
      </c>
      <c r="Q34" s="54"/>
      <c r="R34" s="41" t="e">
        <f>#REF!*#REF!/100</f>
        <v>#REF!</v>
      </c>
      <c r="S34" s="81">
        <v>310582901.47837436</v>
      </c>
    </row>
    <row r="35" spans="1:19" ht="25.5" customHeight="1" x14ac:dyDescent="0.35">
      <c r="A35" s="30" t="s">
        <v>1142</v>
      </c>
      <c r="B35" s="31" t="s">
        <v>3368</v>
      </c>
      <c r="C35" s="32"/>
      <c r="D35" s="32"/>
      <c r="E35" s="33"/>
      <c r="F35" s="32"/>
      <c r="G35" s="32"/>
      <c r="H35" s="70"/>
      <c r="I35" s="32">
        <f>CAPEX!J1402</f>
        <v>149000000</v>
      </c>
      <c r="J35" s="126">
        <f t="shared" si="2"/>
        <v>149000000</v>
      </c>
      <c r="K35" s="56"/>
      <c r="L35" s="55"/>
      <c r="M35" s="59"/>
      <c r="N35" s="69"/>
      <c r="O35" s="69"/>
      <c r="P35" s="69"/>
      <c r="Q35" s="54"/>
      <c r="S35" s="81"/>
    </row>
    <row r="36" spans="1:19" ht="25.5" customHeight="1" x14ac:dyDescent="0.35">
      <c r="A36" s="30" t="s">
        <v>1143</v>
      </c>
      <c r="B36" s="34" t="s">
        <v>1377</v>
      </c>
      <c r="C36" s="32">
        <v>3478438802.6728745</v>
      </c>
      <c r="D36" s="32">
        <v>2435091927.3978801</v>
      </c>
      <c r="E36" s="33">
        <f t="shared" ref="E36:E60" si="3">D36/$D$65*100</f>
        <v>3.393219291386413</v>
      </c>
      <c r="F36" s="32"/>
      <c r="G36" s="32">
        <f>D34+F36</f>
        <v>600909939.49823999</v>
      </c>
      <c r="H36" s="70"/>
      <c r="I36" s="16">
        <f>CAPEX!J673</f>
        <v>3447324871.79</v>
      </c>
      <c r="J36" s="126">
        <f t="shared" si="2"/>
        <v>1012232944.3921199</v>
      </c>
      <c r="K36" s="56"/>
      <c r="L36" s="55"/>
      <c r="M36" s="59" t="s">
        <v>1026</v>
      </c>
      <c r="N36" s="69">
        <v>4000000000</v>
      </c>
      <c r="O36" s="69">
        <v>10000000000</v>
      </c>
      <c r="P36" s="69">
        <v>10000000000</v>
      </c>
      <c r="Q36" s="63"/>
      <c r="R36" s="41" t="e">
        <f>#REF!*#REF!/100</f>
        <v>#REF!</v>
      </c>
    </row>
    <row r="37" spans="1:19" ht="25.5" customHeight="1" x14ac:dyDescent="0.35">
      <c r="A37" s="30" t="s">
        <v>1145</v>
      </c>
      <c r="B37" s="34" t="s">
        <v>1144</v>
      </c>
      <c r="C37" s="32">
        <v>315474421.20435935</v>
      </c>
      <c r="D37" s="32">
        <v>200272981.849471</v>
      </c>
      <c r="E37" s="33">
        <f t="shared" si="3"/>
        <v>0.27907371295066025</v>
      </c>
      <c r="F37" s="32"/>
      <c r="G37" s="32">
        <f t="shared" si="1"/>
        <v>2435091927.3978801</v>
      </c>
      <c r="H37" s="70"/>
      <c r="I37" s="16">
        <f>CAPEX!J739</f>
        <v>279972981.75</v>
      </c>
      <c r="J37" s="126"/>
      <c r="K37" s="56"/>
      <c r="L37" s="55"/>
      <c r="M37" s="57" t="s">
        <v>1008</v>
      </c>
      <c r="N37" s="71">
        <v>6550000000</v>
      </c>
      <c r="O37" s="71">
        <v>12250000000</v>
      </c>
      <c r="P37" s="71">
        <v>12250000000</v>
      </c>
      <c r="Q37" s="82"/>
      <c r="R37" s="41" t="e">
        <f>#REF!*#REF!/100</f>
        <v>#REF!</v>
      </c>
      <c r="S37" s="81">
        <v>180000000</v>
      </c>
    </row>
    <row r="38" spans="1:19" ht="25.5" customHeight="1" x14ac:dyDescent="0.35">
      <c r="A38" s="30" t="s">
        <v>1146</v>
      </c>
      <c r="B38" s="31" t="s">
        <v>1378</v>
      </c>
      <c r="C38" s="32">
        <v>106888786.04044336</v>
      </c>
      <c r="D38" s="32">
        <v>106272981.849471</v>
      </c>
      <c r="E38" s="33">
        <f t="shared" si="3"/>
        <v>0.14808785167717489</v>
      </c>
      <c r="F38" s="32"/>
      <c r="G38" s="32">
        <f t="shared" si="1"/>
        <v>200272981.849471</v>
      </c>
      <c r="H38" s="70"/>
      <c r="I38" s="16">
        <f>CAPEX!J835</f>
        <v>206888786</v>
      </c>
      <c r="J38" s="126">
        <f t="shared" si="2"/>
        <v>100615804.150529</v>
      </c>
      <c r="K38" s="56"/>
      <c r="L38" s="55"/>
      <c r="M38" s="54"/>
      <c r="N38" s="54"/>
      <c r="O38" s="54"/>
      <c r="P38" s="54"/>
      <c r="Q38" s="54"/>
      <c r="R38" s="41" t="e">
        <f>#REF!*#REF!/100</f>
        <v>#REF!</v>
      </c>
    </row>
    <row r="39" spans="1:19" ht="25.5" customHeight="1" x14ac:dyDescent="0.35">
      <c r="A39" s="30" t="s">
        <v>1149</v>
      </c>
      <c r="B39" s="31" t="s">
        <v>1147</v>
      </c>
      <c r="C39" s="32">
        <v>40873022214.987984</v>
      </c>
      <c r="D39" s="32">
        <v>26758505836.923</v>
      </c>
      <c r="E39" s="33">
        <f t="shared" si="3"/>
        <v>37.287084398307925</v>
      </c>
      <c r="F39" s="32"/>
      <c r="G39" s="32">
        <f t="shared" si="1"/>
        <v>106272981.849471</v>
      </c>
      <c r="H39" s="70"/>
      <c r="I39" s="32">
        <f>CAPEX!J1282</f>
        <v>73663414998.101013</v>
      </c>
      <c r="J39" s="126">
        <f t="shared" si="2"/>
        <v>46904909161.178009</v>
      </c>
      <c r="K39" s="56"/>
      <c r="L39" s="55"/>
      <c r="M39" s="73" t="s">
        <v>1148</v>
      </c>
      <c r="N39" s="63"/>
      <c r="O39" s="63"/>
      <c r="P39" s="63"/>
      <c r="Q39" s="83"/>
      <c r="R39" s="41" t="e">
        <f>#REF!*#REF!/100</f>
        <v>#REF!</v>
      </c>
    </row>
    <row r="40" spans="1:19" ht="25.5" customHeight="1" x14ac:dyDescent="0.35">
      <c r="A40" s="30" t="s">
        <v>1151</v>
      </c>
      <c r="B40" s="31" t="s">
        <v>1379</v>
      </c>
      <c r="C40" s="32">
        <v>456887020.97333437</v>
      </c>
      <c r="D40" s="32">
        <v>250576295.01554999</v>
      </c>
      <c r="E40" s="33">
        <f t="shared" si="3"/>
        <v>0.34916970018436994</v>
      </c>
      <c r="F40" s="32"/>
      <c r="G40" s="32">
        <f t="shared" si="1"/>
        <v>26758505836.923</v>
      </c>
      <c r="H40" s="70"/>
      <c r="I40" s="32">
        <f>CAPEX!J455</f>
        <v>1351576295</v>
      </c>
      <c r="J40" s="126"/>
      <c r="K40" s="56">
        <f>D40</f>
        <v>250576295.01554999</v>
      </c>
      <c r="L40" s="55"/>
      <c r="M40" s="59" t="s">
        <v>1150</v>
      </c>
      <c r="N40" s="69">
        <v>0</v>
      </c>
      <c r="O40" s="69">
        <v>0</v>
      </c>
      <c r="P40" s="69">
        <v>0</v>
      </c>
      <c r="Q40" s="83"/>
      <c r="R40" s="41" t="e">
        <f>#REF!*#REF!/100</f>
        <v>#REF!</v>
      </c>
    </row>
    <row r="41" spans="1:19" ht="25.5" customHeight="1" x14ac:dyDescent="0.35">
      <c r="A41" s="30" t="s">
        <v>1153</v>
      </c>
      <c r="B41" s="31" t="s">
        <v>1380</v>
      </c>
      <c r="C41" s="32">
        <v>259668415.63980913</v>
      </c>
      <c r="D41" s="32">
        <v>252998307.21625501</v>
      </c>
      <c r="E41" s="33">
        <f t="shared" si="3"/>
        <v>0.3525446933133512</v>
      </c>
      <c r="F41" s="32"/>
      <c r="G41" s="32">
        <f t="shared" si="1"/>
        <v>250576295.01554999</v>
      </c>
      <c r="H41" s="70"/>
      <c r="I41" s="32">
        <f>CAPEX!J892</f>
        <v>280296662</v>
      </c>
      <c r="J41" s="126">
        <f t="shared" si="2"/>
        <v>27298354.783744991</v>
      </c>
      <c r="K41" s="56">
        <f>D41</f>
        <v>252998307.21625501</v>
      </c>
      <c r="L41" s="55"/>
      <c r="M41" s="59" t="s">
        <v>1152</v>
      </c>
      <c r="N41" s="69">
        <v>16092077342.180893</v>
      </c>
      <c r="O41" s="69">
        <v>18312473792.179687</v>
      </c>
      <c r="P41" s="69">
        <v>19546826217.763805</v>
      </c>
      <c r="Q41" s="83"/>
      <c r="R41" s="41" t="e">
        <f>#REF!*#REF!/100</f>
        <v>#REF!</v>
      </c>
    </row>
    <row r="42" spans="1:19" ht="25.5" customHeight="1" x14ac:dyDescent="0.35">
      <c r="A42" s="30" t="s">
        <v>1155</v>
      </c>
      <c r="B42" s="34" t="s">
        <v>1381</v>
      </c>
      <c r="C42" s="32">
        <v>1311278222.5261562</v>
      </c>
      <c r="D42" s="32">
        <v>1110606626.33215</v>
      </c>
      <c r="E42" s="33">
        <f t="shared" si="3"/>
        <v>1.5475932498527298</v>
      </c>
      <c r="F42" s="32"/>
      <c r="G42" s="32">
        <f t="shared" si="1"/>
        <v>252998307.21625501</v>
      </c>
      <c r="H42" s="70"/>
      <c r="I42" s="32">
        <f>CAPEX!J765</f>
        <v>2340606626</v>
      </c>
      <c r="J42" s="126"/>
      <c r="K42" s="56"/>
      <c r="L42" s="55"/>
      <c r="M42" s="57" t="s">
        <v>1154</v>
      </c>
      <c r="N42" s="71">
        <v>16092077342.180893</v>
      </c>
      <c r="O42" s="71">
        <v>18312473792.179687</v>
      </c>
      <c r="P42" s="71">
        <v>19546826217.763805</v>
      </c>
      <c r="Q42" s="83"/>
      <c r="R42" s="41" t="e">
        <f>#REF!*#REF!/100</f>
        <v>#REF!</v>
      </c>
    </row>
    <row r="43" spans="1:19" ht="25.5" customHeight="1" x14ac:dyDescent="0.35">
      <c r="A43" s="30" t="s">
        <v>1156</v>
      </c>
      <c r="B43" s="34" t="s">
        <v>0</v>
      </c>
      <c r="C43" s="32"/>
      <c r="D43" s="32">
        <v>100000000</v>
      </c>
      <c r="E43" s="33">
        <f t="shared" si="3"/>
        <v>0.13934666092923978</v>
      </c>
      <c r="F43" s="32"/>
      <c r="G43" s="32"/>
      <c r="H43" s="70"/>
      <c r="I43" s="32">
        <f>CAPEX!J786</f>
        <v>250000000</v>
      </c>
      <c r="J43" s="126"/>
      <c r="M43" s="73"/>
      <c r="N43" s="63"/>
      <c r="O43" s="63"/>
      <c r="P43" s="63"/>
      <c r="Q43" s="83"/>
    </row>
    <row r="44" spans="1:19" ht="25.5" customHeight="1" x14ac:dyDescent="0.35">
      <c r="A44" s="30" t="s">
        <v>1157</v>
      </c>
      <c r="B44" s="31" t="s">
        <v>1458</v>
      </c>
      <c r="C44" s="32">
        <v>7508548150.0079994</v>
      </c>
      <c r="D44" s="32">
        <v>3297091927.3978801</v>
      </c>
      <c r="E44" s="33">
        <f t="shared" si="3"/>
        <v>4.5943875085964603</v>
      </c>
      <c r="F44" s="32"/>
      <c r="G44" s="32">
        <f>D42+F44</f>
        <v>1110606626.33215</v>
      </c>
      <c r="H44" s="70"/>
      <c r="I44" s="32">
        <f>CAPEX!J1355</f>
        <v>10009308088.890001</v>
      </c>
      <c r="J44" s="126">
        <f t="shared" si="2"/>
        <v>6712216161.4921207</v>
      </c>
      <c r="M44" s="54"/>
      <c r="N44" s="54"/>
      <c r="O44" s="54"/>
      <c r="P44" s="54"/>
      <c r="R44" s="41" t="e">
        <f>#REF!*#REF!/100</f>
        <v>#REF!</v>
      </c>
    </row>
    <row r="45" spans="1:19" ht="25.5" customHeight="1" x14ac:dyDescent="0.35">
      <c r="A45" s="30" t="s">
        <v>1159</v>
      </c>
      <c r="B45" s="31" t="s">
        <v>1382</v>
      </c>
      <c r="C45" s="32">
        <v>1494568321.2220001</v>
      </c>
      <c r="D45" s="32">
        <v>713400560.06883609</v>
      </c>
      <c r="E45" s="33">
        <f t="shared" si="3"/>
        <v>0.99409985950641855</v>
      </c>
      <c r="F45" s="32"/>
      <c r="G45" s="32">
        <f t="shared" si="1"/>
        <v>3297091927.3978801</v>
      </c>
      <c r="H45" s="70"/>
      <c r="I45" s="32">
        <f>CAPEX!J418+CAPEX!J427</f>
        <v>1213400560</v>
      </c>
      <c r="J45" s="126"/>
      <c r="M45" s="57" t="s">
        <v>1158</v>
      </c>
      <c r="N45" s="71">
        <v>170318585291.03485</v>
      </c>
      <c r="O45" s="71">
        <v>213239004191.87689</v>
      </c>
      <c r="P45" s="71">
        <v>232655043541.2955</v>
      </c>
      <c r="R45" s="41" t="e">
        <f>#REF!*#REF!/100</f>
        <v>#REF!</v>
      </c>
    </row>
    <row r="46" spans="1:19" ht="24" customHeight="1" x14ac:dyDescent="0.35">
      <c r="A46" s="30" t="s">
        <v>1162</v>
      </c>
      <c r="B46" s="31" t="s">
        <v>1160</v>
      </c>
      <c r="C46" s="32">
        <v>4838055791.6299992</v>
      </c>
      <c r="D46" s="32">
        <v>1600515632.3823299</v>
      </c>
      <c r="E46" s="33">
        <f t="shared" si="3"/>
        <v>2.2302650913752831</v>
      </c>
      <c r="F46" s="32"/>
      <c r="G46" s="32">
        <f t="shared" si="1"/>
        <v>713400560.06883609</v>
      </c>
      <c r="H46" s="70"/>
      <c r="I46" s="32">
        <f>CAPEX!J1431</f>
        <v>3600513864.8499999</v>
      </c>
      <c r="J46" s="126"/>
      <c r="M46" s="59" t="s">
        <v>1161</v>
      </c>
      <c r="N46" s="69">
        <v>166768585291.03485</v>
      </c>
      <c r="O46" s="69">
        <v>210739004191.87689</v>
      </c>
      <c r="P46" s="69">
        <v>230655043541.2955</v>
      </c>
      <c r="R46" s="41" t="e">
        <f>#REF!*#REF!/100</f>
        <v>#REF!</v>
      </c>
      <c r="S46" s="81">
        <v>800000000</v>
      </c>
    </row>
    <row r="47" spans="1:19" ht="25.5" customHeight="1" x14ac:dyDescent="0.35">
      <c r="A47" s="30" t="s">
        <v>1165</v>
      </c>
      <c r="B47" s="31" t="s">
        <v>1163</v>
      </c>
      <c r="C47" s="32">
        <v>103081620.22461562</v>
      </c>
      <c r="D47" s="32">
        <v>72060662.633215755</v>
      </c>
      <c r="E47" s="33">
        <f t="shared" si="3"/>
        <v>0.10041412722287053</v>
      </c>
      <c r="F47" s="32"/>
      <c r="G47" s="32">
        <f t="shared" si="1"/>
        <v>1600515632.3823299</v>
      </c>
      <c r="H47" s="70"/>
      <c r="I47" s="32">
        <f>CAPEX!J1519</f>
        <v>72000000</v>
      </c>
      <c r="J47" s="126"/>
      <c r="M47" s="59" t="s">
        <v>1164</v>
      </c>
      <c r="N47" s="69">
        <v>3550000000</v>
      </c>
      <c r="O47" s="69">
        <v>2500000000</v>
      </c>
      <c r="P47" s="69">
        <v>2000000000</v>
      </c>
      <c r="R47" s="41" t="e">
        <f>#REF!*#REF!/100</f>
        <v>#REF!</v>
      </c>
    </row>
    <row r="48" spans="1:19" ht="25.5" customHeight="1" x14ac:dyDescent="0.35">
      <c r="A48" s="30" t="s">
        <v>1167</v>
      </c>
      <c r="B48" s="31" t="s">
        <v>1166</v>
      </c>
      <c r="C48" s="31">
        <v>464341603.40600002</v>
      </c>
      <c r="D48" s="32">
        <v>468394307.11590201</v>
      </c>
      <c r="E48" s="32">
        <f t="shared" si="3"/>
        <v>0.6526918269486579</v>
      </c>
      <c r="F48" s="32"/>
      <c r="G48" s="32">
        <f t="shared" si="1"/>
        <v>72060662.633215755</v>
      </c>
      <c r="H48" s="32"/>
      <c r="I48" s="32">
        <f>CAPEX!J1486</f>
        <v>1356394307</v>
      </c>
      <c r="J48" s="126"/>
      <c r="K48" s="40">
        <f>D48</f>
        <v>468394307.11590201</v>
      </c>
      <c r="M48" s="54"/>
      <c r="N48" s="54"/>
      <c r="O48" s="54"/>
      <c r="P48" s="54"/>
      <c r="R48" s="41" t="e">
        <f>#REF!*#REF!/100</f>
        <v>#REF!</v>
      </c>
    </row>
    <row r="49" spans="1:27" ht="25.5" customHeight="1" x14ac:dyDescent="0.35">
      <c r="A49" s="30" t="s">
        <v>1170</v>
      </c>
      <c r="B49" s="31" t="s">
        <v>1168</v>
      </c>
      <c r="C49" s="32">
        <v>1737174116.4000001</v>
      </c>
      <c r="D49" s="32">
        <v>340363975.79929501</v>
      </c>
      <c r="E49" s="33">
        <f t="shared" si="3"/>
        <v>0.47428583528232332</v>
      </c>
      <c r="F49" s="32"/>
      <c r="G49" s="32">
        <f t="shared" si="1"/>
        <v>468394307.11590201</v>
      </c>
      <c r="H49" s="70"/>
      <c r="I49" s="32">
        <f>CAPEX!J1506</f>
        <v>343599629</v>
      </c>
      <c r="J49" s="126"/>
      <c r="M49" s="57" t="s">
        <v>1169</v>
      </c>
      <c r="N49" s="69">
        <v>22550000000</v>
      </c>
      <c r="O49" s="69">
        <v>22000000000</v>
      </c>
      <c r="P49" s="69">
        <v>22500000000</v>
      </c>
      <c r="R49" s="41" t="e">
        <f>#REF!*#REF!/100</f>
        <v>#REF!</v>
      </c>
    </row>
    <row r="50" spans="1:27" ht="25.5" customHeight="1" x14ac:dyDescent="0.35">
      <c r="A50" s="30" t="s">
        <v>1171</v>
      </c>
      <c r="B50" s="31" t="s">
        <v>3061</v>
      </c>
      <c r="C50" s="32">
        <v>100000000</v>
      </c>
      <c r="D50" s="32">
        <v>129709192.73978837</v>
      </c>
      <c r="E50" s="33">
        <f t="shared" si="3"/>
        <v>0.180745429001167</v>
      </c>
      <c r="F50" s="32"/>
      <c r="G50" s="32">
        <f t="shared" si="1"/>
        <v>340363975.79929501</v>
      </c>
      <c r="H50" s="70"/>
      <c r="I50" s="32">
        <f>CAPEX!J1448</f>
        <v>129709192</v>
      </c>
      <c r="J50" s="126"/>
      <c r="K50" s="40">
        <f>I50-D50</f>
        <v>-0.73978836834430695</v>
      </c>
      <c r="M50" s="54"/>
      <c r="N50" s="54"/>
      <c r="O50" s="54"/>
      <c r="P50" s="54"/>
      <c r="R50" s="41" t="e">
        <f>#REF!*#REF!/100</f>
        <v>#REF!</v>
      </c>
    </row>
    <row r="51" spans="1:27" ht="25.5" customHeight="1" x14ac:dyDescent="0.35">
      <c r="A51" s="30" t="s">
        <v>1172</v>
      </c>
      <c r="B51" s="31" t="s">
        <v>1383</v>
      </c>
      <c r="C51" s="32">
        <v>595460037.10020626</v>
      </c>
      <c r="D51" s="32">
        <v>250806439.642546</v>
      </c>
      <c r="E51" s="33">
        <f t="shared" si="3"/>
        <v>0.34949039903739698</v>
      </c>
      <c r="F51" s="32"/>
      <c r="G51" s="32" t="e">
        <f>#REF!+F51</f>
        <v>#REF!</v>
      </c>
      <c r="H51" s="70"/>
      <c r="I51" s="32">
        <f>CAPEX!J1649</f>
        <v>1340806439</v>
      </c>
      <c r="J51" s="126"/>
      <c r="N51" s="84">
        <f>N45+N42</f>
        <v>186410662633.21576</v>
      </c>
      <c r="R51" s="41" t="e">
        <f>#REF!*#REF!/100</f>
        <v>#REF!</v>
      </c>
      <c r="Z51" s="40" t="e">
        <f>#REF!-123648490286</f>
        <v>#REF!</v>
      </c>
    </row>
    <row r="52" spans="1:27" ht="25.5" customHeight="1" x14ac:dyDescent="0.35">
      <c r="A52" s="30" t="s">
        <v>1174</v>
      </c>
      <c r="B52" s="31" t="s">
        <v>1173</v>
      </c>
      <c r="C52" s="32">
        <v>389823418.19497502</v>
      </c>
      <c r="D52" s="32">
        <v>295448716.79618466</v>
      </c>
      <c r="E52" s="33">
        <f t="shared" si="3"/>
        <v>0.41169792161376928</v>
      </c>
      <c r="F52" s="32"/>
      <c r="G52" s="32">
        <f t="shared" si="1"/>
        <v>250806439.642546</v>
      </c>
      <c r="H52" s="70"/>
      <c r="I52" s="32">
        <f>CAPEX!J2382</f>
        <v>742000000</v>
      </c>
      <c r="J52" s="126"/>
      <c r="K52" s="40">
        <f>I52-D52</f>
        <v>446551283.20381534</v>
      </c>
      <c r="R52" s="41" t="e">
        <f>#REF!*#REF!/100</f>
        <v>#REF!</v>
      </c>
    </row>
    <row r="53" spans="1:27" ht="25.5" customHeight="1" x14ac:dyDescent="0.35">
      <c r="A53" s="30" t="s">
        <v>1176</v>
      </c>
      <c r="B53" s="31" t="s">
        <v>1175</v>
      </c>
      <c r="C53" s="32">
        <v>10489739888.693497</v>
      </c>
      <c r="D53" s="32">
        <v>7682001961.3900003</v>
      </c>
      <c r="E53" s="33">
        <f t="shared" si="3"/>
        <v>10.704613225715672</v>
      </c>
      <c r="F53" s="32"/>
      <c r="G53" s="32">
        <f t="shared" si="1"/>
        <v>295448716.79618466</v>
      </c>
      <c r="H53" s="70"/>
      <c r="I53" s="32">
        <f>CAPEX!J2182</f>
        <v>17442001961.002754</v>
      </c>
      <c r="J53" s="126"/>
      <c r="L53" s="40" t="str">
        <f>L55</f>
        <v>To resubmit</v>
      </c>
      <c r="R53" s="41" t="e">
        <f>#REF!*#REF!/100</f>
        <v>#REF!</v>
      </c>
    </row>
    <row r="54" spans="1:27" ht="25.5" customHeight="1" x14ac:dyDescent="0.35">
      <c r="A54" s="30" t="s">
        <v>1178</v>
      </c>
      <c r="B54" s="34" t="s">
        <v>1177</v>
      </c>
      <c r="C54" s="32">
        <v>4574244695.0340004</v>
      </c>
      <c r="D54" s="32">
        <v>4417318619.4161263</v>
      </c>
      <c r="E54" s="33">
        <f t="shared" si="3"/>
        <v>6.1553859987619646</v>
      </c>
      <c r="F54" s="32"/>
      <c r="G54" s="32" t="e">
        <f>#REF!+F54</f>
        <v>#REF!</v>
      </c>
      <c r="H54" s="70"/>
      <c r="I54" s="32">
        <f>CAPEX!J2284</f>
        <v>7017318618.7600002</v>
      </c>
      <c r="J54" s="126"/>
      <c r="R54" s="41" t="e">
        <f>#REF!*#REF!/100</f>
        <v>#REF!</v>
      </c>
      <c r="Z54" s="40">
        <f>P65-123648490286</f>
        <v>-123648490286</v>
      </c>
      <c r="AA54" s="40" t="e">
        <f>R65-123648490286</f>
        <v>#REF!</v>
      </c>
    </row>
    <row r="55" spans="1:27" ht="25.5" customHeight="1" x14ac:dyDescent="0.35">
      <c r="A55" s="30" t="s">
        <v>1179</v>
      </c>
      <c r="B55" s="34" t="s">
        <v>1384</v>
      </c>
      <c r="C55" s="32">
        <v>6599241138.990799</v>
      </c>
      <c r="D55" s="32">
        <v>6017065329.8735161</v>
      </c>
      <c r="E55" s="33">
        <f t="shared" si="3"/>
        <v>8.3845796231096905</v>
      </c>
      <c r="F55" s="78"/>
      <c r="G55" s="32">
        <f t="shared" si="1"/>
        <v>4417318619.4161263</v>
      </c>
      <c r="H55" s="70"/>
      <c r="I55" s="32">
        <f>CAPEX!J2349</f>
        <v>10435065330.200001</v>
      </c>
      <c r="J55" s="126">
        <f t="shared" si="2"/>
        <v>4418000000.3264847</v>
      </c>
      <c r="L55" s="40" t="s">
        <v>2454</v>
      </c>
      <c r="R55" s="41" t="e">
        <f>#REF!*#REF!/100</f>
        <v>#REF!</v>
      </c>
    </row>
    <row r="56" spans="1:27" ht="22.5" customHeight="1" x14ac:dyDescent="0.35">
      <c r="A56" s="30" t="s">
        <v>1180</v>
      </c>
      <c r="B56" s="31" t="s">
        <v>1321</v>
      </c>
      <c r="C56" s="32">
        <v>1438224151.5599999</v>
      </c>
      <c r="D56" s="32">
        <v>663400560.06883597</v>
      </c>
      <c r="E56" s="33">
        <f t="shared" si="3"/>
        <v>0.92442652904179845</v>
      </c>
      <c r="F56" s="32"/>
      <c r="G56" s="32">
        <f t="shared" si="1"/>
        <v>6017065329.8735161</v>
      </c>
      <c r="H56" s="70"/>
      <c r="I56" s="32">
        <f>CAPEX!J1706</f>
        <v>1146400560</v>
      </c>
      <c r="J56" s="126">
        <f t="shared" si="2"/>
        <v>482999999.93116403</v>
      </c>
      <c r="R56" s="41" t="e">
        <f>#REF!*#REF!/100</f>
        <v>#REF!</v>
      </c>
    </row>
    <row r="57" spans="1:27" ht="24.75" customHeight="1" x14ac:dyDescent="0.35">
      <c r="A57" s="30" t="s">
        <v>1182</v>
      </c>
      <c r="B57" s="31" t="s">
        <v>1181</v>
      </c>
      <c r="C57" s="32"/>
      <c r="D57" s="32">
        <v>50000000</v>
      </c>
      <c r="E57" s="33">
        <f t="shared" si="3"/>
        <v>6.967333046461989E-2</v>
      </c>
      <c r="F57" s="32"/>
      <c r="G57" s="32"/>
      <c r="H57" s="70"/>
      <c r="I57" s="32"/>
      <c r="J57" s="126">
        <f t="shared" si="2"/>
        <v>-50000000</v>
      </c>
      <c r="K57" s="40">
        <f>D57</f>
        <v>50000000</v>
      </c>
    </row>
    <row r="58" spans="1:27" ht="25.5" customHeight="1" x14ac:dyDescent="0.35">
      <c r="A58" s="30" t="s">
        <v>1184</v>
      </c>
      <c r="B58" s="34" t="s">
        <v>1183</v>
      </c>
      <c r="C58" s="32">
        <v>3786768630.6520004</v>
      </c>
      <c r="D58" s="32">
        <v>713400560.06883609</v>
      </c>
      <c r="E58" s="33">
        <f t="shared" si="3"/>
        <v>0.99409985950641855</v>
      </c>
      <c r="F58" s="32"/>
      <c r="G58" s="32">
        <f>D56+F58</f>
        <v>663400560.06883597</v>
      </c>
      <c r="H58" s="70"/>
      <c r="I58" s="32">
        <f>CAPEX!J1767</f>
        <v>2095000000</v>
      </c>
      <c r="J58" s="126">
        <f t="shared" si="2"/>
        <v>1381599439.9311638</v>
      </c>
      <c r="K58" s="40">
        <f>D58</f>
        <v>713400560.06883609</v>
      </c>
      <c r="R58" s="41" t="e">
        <f>#REF!*#REF!/100</f>
        <v>#REF!</v>
      </c>
    </row>
    <row r="59" spans="1:27" ht="25.5" customHeight="1" x14ac:dyDescent="0.35">
      <c r="A59" s="30" t="s">
        <v>1186</v>
      </c>
      <c r="B59" s="24" t="s">
        <v>1185</v>
      </c>
      <c r="C59" s="16">
        <v>43216610.186903179</v>
      </c>
      <c r="D59" s="16">
        <v>63236397.579929397</v>
      </c>
      <c r="E59" s="25">
        <f t="shared" si="3"/>
        <v>8.8117808519570198E-2</v>
      </c>
      <c r="F59" s="16"/>
      <c r="G59" s="16">
        <f t="shared" si="1"/>
        <v>713400560.06883609</v>
      </c>
      <c r="H59" s="55"/>
      <c r="I59" s="16">
        <f>CAPEX!J1677</f>
        <v>151848997</v>
      </c>
      <c r="J59" s="126">
        <f t="shared" si="2"/>
        <v>88612599.420070603</v>
      </c>
      <c r="O59" s="40"/>
      <c r="R59" s="41" t="e">
        <f>#REF!*#REF!/100</f>
        <v>#REF!</v>
      </c>
    </row>
    <row r="60" spans="1:27" ht="25.5" customHeight="1" x14ac:dyDescent="0.35">
      <c r="A60" s="30" t="s">
        <v>1335</v>
      </c>
      <c r="B60" s="24" t="s">
        <v>1187</v>
      </c>
      <c r="C60" s="16">
        <v>43216610.186903179</v>
      </c>
      <c r="D60" s="16">
        <v>25236397.5799294</v>
      </c>
      <c r="E60" s="25">
        <f t="shared" si="3"/>
        <v>3.5166077366459089E-2</v>
      </c>
      <c r="F60" s="16"/>
      <c r="G60" s="16">
        <f t="shared" si="1"/>
        <v>63236397.579929397</v>
      </c>
      <c r="H60" s="55"/>
      <c r="I60" s="16">
        <f>CAPEX!J1663</f>
        <v>25216610</v>
      </c>
      <c r="J60" s="126"/>
      <c r="K60" s="40">
        <f>D60</f>
        <v>25236397.5799294</v>
      </c>
    </row>
    <row r="61" spans="1:27" ht="25.5" customHeight="1" x14ac:dyDescent="0.35">
      <c r="A61" s="30" t="s">
        <v>2494</v>
      </c>
      <c r="B61" s="35" t="s">
        <v>1336</v>
      </c>
      <c r="C61" s="36"/>
      <c r="D61" s="36"/>
      <c r="E61" s="37"/>
      <c r="F61" s="36"/>
      <c r="G61" s="36"/>
      <c r="H61" s="85"/>
      <c r="I61" s="36">
        <f>CAPEX!J42</f>
        <v>20000000</v>
      </c>
      <c r="J61" s="126">
        <f t="shared" si="2"/>
        <v>20000000</v>
      </c>
      <c r="K61" s="40">
        <f>SUM(K5:K60)</f>
        <v>139157927.32184654</v>
      </c>
    </row>
    <row r="62" spans="1:27" ht="25.5" customHeight="1" x14ac:dyDescent="0.35">
      <c r="A62" s="30" t="s">
        <v>2495</v>
      </c>
      <c r="B62" s="35" t="s">
        <v>3369</v>
      </c>
      <c r="C62" s="36"/>
      <c r="D62" s="39"/>
      <c r="E62" s="37"/>
      <c r="F62" s="36"/>
      <c r="G62" s="36"/>
      <c r="H62" s="85"/>
      <c r="I62" s="36">
        <f>CAPEX!J379</f>
        <v>64000000</v>
      </c>
      <c r="J62" s="126">
        <f t="shared" si="2"/>
        <v>64000000</v>
      </c>
    </row>
    <row r="63" spans="1:27" ht="25.5" customHeight="1" x14ac:dyDescent="0.35">
      <c r="A63" s="30" t="s">
        <v>2496</v>
      </c>
      <c r="B63" s="35" t="s">
        <v>4606</v>
      </c>
      <c r="C63" s="36"/>
      <c r="D63" s="39"/>
      <c r="E63" s="37"/>
      <c r="F63" s="36"/>
      <c r="G63" s="36"/>
      <c r="H63" s="85"/>
      <c r="I63" s="36">
        <f>CAPEX!J2192</f>
        <v>100000000</v>
      </c>
      <c r="J63" s="126"/>
    </row>
    <row r="64" spans="1:27" ht="25.5" customHeight="1" x14ac:dyDescent="0.35">
      <c r="A64" s="30" t="s">
        <v>2497</v>
      </c>
      <c r="B64" s="35" t="s">
        <v>4607</v>
      </c>
      <c r="C64" s="36"/>
      <c r="D64" s="39"/>
      <c r="E64" s="37"/>
      <c r="F64" s="36"/>
      <c r="G64" s="36"/>
      <c r="H64" s="85"/>
      <c r="I64" s="36">
        <f>CAPEX!J2243</f>
        <v>650000000</v>
      </c>
      <c r="J64" s="126"/>
    </row>
    <row r="65" spans="1:27" s="86" customFormat="1" x14ac:dyDescent="0.35">
      <c r="A65" s="20"/>
      <c r="B65" s="28" t="s">
        <v>1082</v>
      </c>
      <c r="C65" s="29">
        <f>SUM(C5:C60)</f>
        <v>114340721640.68573</v>
      </c>
      <c r="D65" s="29">
        <f>SUM(D5:D60)</f>
        <v>71763470565.527222</v>
      </c>
      <c r="E65" s="29">
        <f t="shared" ref="E65:H65" si="4">SUM(E5:E60)</f>
        <v>100</v>
      </c>
      <c r="F65" s="29">
        <f t="shared" si="4"/>
        <v>0</v>
      </c>
      <c r="G65" s="29" t="e">
        <f t="shared" si="4"/>
        <v>#REF!</v>
      </c>
      <c r="H65" s="29">
        <f t="shared" si="4"/>
        <v>4007.0952013538099</v>
      </c>
      <c r="I65" s="29" t="s">
        <v>4598</v>
      </c>
      <c r="J65" s="29" t="e">
        <f t="shared" si="2"/>
        <v>#VALUE!</v>
      </c>
      <c r="K65" s="43" t="e">
        <f>I65-D65</f>
        <v>#VALUE!</v>
      </c>
      <c r="L65" s="29">
        <v>72060662632.266876</v>
      </c>
      <c r="R65" s="45" t="e">
        <f>SUM(R5:R59)</f>
        <v>#REF!</v>
      </c>
    </row>
    <row r="66" spans="1:27" s="86" customFormat="1" ht="20.25" customHeight="1" x14ac:dyDescent="0.35">
      <c r="A66" s="42"/>
      <c r="E66" s="43"/>
      <c r="F66" s="45"/>
      <c r="G66" s="45"/>
      <c r="H66" s="43"/>
      <c r="I66" s="45"/>
      <c r="J66" s="126">
        <f t="shared" si="2"/>
        <v>0</v>
      </c>
      <c r="K66" s="43"/>
      <c r="L66" s="43"/>
      <c r="R66" s="45"/>
    </row>
    <row r="67" spans="1:27" s="86" customFormat="1" ht="42.75" customHeight="1" x14ac:dyDescent="0.35">
      <c r="A67" s="20"/>
      <c r="B67" s="28" t="s">
        <v>1188</v>
      </c>
      <c r="C67" s="47" t="s">
        <v>1083</v>
      </c>
      <c r="D67" s="21" t="s">
        <v>1084</v>
      </c>
      <c r="E67" s="43"/>
      <c r="H67" s="43"/>
      <c r="I67" s="29"/>
      <c r="J67" s="126">
        <v>0</v>
      </c>
      <c r="K67" s="43">
        <v>-785988.94888305664</v>
      </c>
      <c r="L67" s="43"/>
      <c r="R67" s="45"/>
    </row>
    <row r="68" spans="1:27" s="86" customFormat="1" ht="36" customHeight="1" x14ac:dyDescent="0.35">
      <c r="A68" s="46" t="s">
        <v>1189</v>
      </c>
      <c r="B68" s="87" t="s">
        <v>3062</v>
      </c>
      <c r="C68" s="16"/>
      <c r="D68" s="16">
        <v>1000000000</v>
      </c>
      <c r="F68" s="88"/>
      <c r="G68" s="88"/>
      <c r="H68" s="89" t="s">
        <v>1190</v>
      </c>
      <c r="I68" s="16">
        <f>CAPEX!J2236</f>
        <v>5840000000</v>
      </c>
      <c r="J68" s="126">
        <f t="shared" si="2"/>
        <v>4840000000</v>
      </c>
      <c r="K68" s="89"/>
      <c r="L68" s="89"/>
      <c r="R68" s="45"/>
    </row>
    <row r="69" spans="1:27" s="86" customFormat="1" ht="25.5" customHeight="1" x14ac:dyDescent="0.35">
      <c r="A69" s="46" t="s">
        <v>1191</v>
      </c>
      <c r="B69" s="87" t="s">
        <v>1192</v>
      </c>
      <c r="C69" s="16"/>
      <c r="D69" s="16">
        <v>1500000000</v>
      </c>
      <c r="F69" s="88"/>
      <c r="G69" s="88"/>
      <c r="H69" s="89"/>
      <c r="I69" s="16">
        <f>CAPEX!J1619</f>
        <v>6110000000</v>
      </c>
      <c r="J69" s="126">
        <f t="shared" si="2"/>
        <v>4610000000</v>
      </c>
      <c r="K69" s="89"/>
      <c r="L69" s="89"/>
      <c r="R69" s="45"/>
    </row>
    <row r="70" spans="1:27" s="86" customFormat="1" ht="25.5" customHeight="1" x14ac:dyDescent="0.35">
      <c r="A70" s="46" t="s">
        <v>1193</v>
      </c>
      <c r="B70" s="87" t="s">
        <v>1194</v>
      </c>
      <c r="C70" s="16">
        <v>30000000000</v>
      </c>
      <c r="D70" s="16">
        <v>60000000000</v>
      </c>
      <c r="F70" s="88"/>
      <c r="G70" s="88"/>
      <c r="H70" s="89"/>
      <c r="I70" s="29">
        <v>0</v>
      </c>
      <c r="J70" s="126"/>
      <c r="K70" s="89"/>
      <c r="L70" s="89"/>
      <c r="R70" s="45"/>
    </row>
    <row r="71" spans="1:27" ht="25.5" customHeight="1" x14ac:dyDescent="0.35">
      <c r="A71" s="46" t="s">
        <v>1195</v>
      </c>
      <c r="B71" s="87" t="s">
        <v>1075</v>
      </c>
      <c r="C71" s="16">
        <v>4000000000</v>
      </c>
      <c r="D71" s="16">
        <v>5000000000</v>
      </c>
      <c r="I71" s="16"/>
      <c r="J71" s="126"/>
    </row>
    <row r="72" spans="1:27" ht="25.5" customHeight="1" x14ac:dyDescent="0.35">
      <c r="A72" s="90" t="s">
        <v>1196</v>
      </c>
      <c r="B72" s="87" t="s">
        <v>1197</v>
      </c>
      <c r="C72" s="16">
        <v>2000000000</v>
      </c>
      <c r="D72" s="16">
        <v>2000000000</v>
      </c>
      <c r="I72" s="16">
        <v>0</v>
      </c>
      <c r="J72" s="126"/>
    </row>
    <row r="73" spans="1:27" s="41" customFormat="1" ht="25.5" customHeight="1" x14ac:dyDescent="0.35">
      <c r="A73" s="90" t="s">
        <v>1198</v>
      </c>
      <c r="B73" s="87" t="s">
        <v>1199</v>
      </c>
      <c r="C73" s="16">
        <v>3000000000</v>
      </c>
      <c r="D73" s="16">
        <v>3000000000</v>
      </c>
      <c r="E73" s="40"/>
      <c r="H73" s="40"/>
      <c r="I73" s="16">
        <v>0</v>
      </c>
      <c r="J73" s="126"/>
      <c r="K73" s="40"/>
      <c r="L73" s="40"/>
      <c r="M73" s="39"/>
      <c r="N73" s="39"/>
      <c r="O73" s="39"/>
      <c r="P73" s="39"/>
      <c r="Q73" s="39"/>
      <c r="S73" s="39"/>
      <c r="T73" s="39"/>
      <c r="U73" s="39"/>
      <c r="V73" s="39"/>
      <c r="W73" s="39"/>
      <c r="X73" s="39"/>
      <c r="Y73" s="39"/>
      <c r="Z73" s="39"/>
      <c r="AA73" s="39"/>
    </row>
    <row r="74" spans="1:27" s="41" customFormat="1" ht="25.5" customHeight="1" x14ac:dyDescent="0.35">
      <c r="A74" s="90" t="s">
        <v>1200</v>
      </c>
      <c r="B74" s="87" t="s">
        <v>1201</v>
      </c>
      <c r="C74" s="16">
        <v>31000000000</v>
      </c>
      <c r="D74" s="16">
        <v>30000000000</v>
      </c>
      <c r="E74" s="40"/>
      <c r="H74" s="40"/>
      <c r="I74" s="16">
        <f>CAPEX!J1527</f>
        <v>34000000000</v>
      </c>
      <c r="J74" s="126"/>
      <c r="K74" s="40"/>
      <c r="L74" s="40"/>
      <c r="M74" s="39"/>
      <c r="N74" s="39"/>
      <c r="O74" s="39"/>
      <c r="P74" s="39"/>
      <c r="Q74" s="39"/>
      <c r="S74" s="39"/>
      <c r="T74" s="39"/>
      <c r="U74" s="39"/>
      <c r="V74" s="39"/>
      <c r="W74" s="39"/>
      <c r="X74" s="39"/>
      <c r="Y74" s="39"/>
      <c r="Z74" s="39"/>
      <c r="AA74" s="39"/>
    </row>
    <row r="75" spans="1:27" s="41" customFormat="1" ht="25.5" customHeight="1" x14ac:dyDescent="0.35">
      <c r="A75" s="90" t="s">
        <v>1202</v>
      </c>
      <c r="B75" s="87" t="s">
        <v>1203</v>
      </c>
      <c r="C75" s="16">
        <v>5000000000</v>
      </c>
      <c r="D75" s="16">
        <v>5000000000</v>
      </c>
      <c r="E75" s="40"/>
      <c r="H75" s="40"/>
      <c r="I75" s="16">
        <v>0</v>
      </c>
      <c r="J75" s="126"/>
      <c r="K75" s="40"/>
      <c r="L75" s="40"/>
      <c r="M75" s="39"/>
      <c r="N75" s="39"/>
      <c r="O75" s="39"/>
      <c r="P75" s="39"/>
      <c r="Q75" s="39"/>
      <c r="S75" s="39"/>
      <c r="T75" s="39"/>
      <c r="U75" s="39"/>
      <c r="V75" s="39"/>
      <c r="W75" s="39"/>
      <c r="X75" s="39"/>
      <c r="Y75" s="39"/>
      <c r="Z75" s="39"/>
      <c r="AA75" s="39"/>
    </row>
    <row r="76" spans="1:27" s="41" customFormat="1" ht="25.5" customHeight="1" x14ac:dyDescent="0.35">
      <c r="A76" s="90" t="s">
        <v>1204</v>
      </c>
      <c r="B76" s="87" t="s">
        <v>1205</v>
      </c>
      <c r="C76" s="16">
        <v>3000000000</v>
      </c>
      <c r="D76" s="16">
        <v>3000000000</v>
      </c>
      <c r="E76" s="40"/>
      <c r="H76" s="40"/>
      <c r="I76" s="16">
        <f>CAPEX!J922</f>
        <v>3050000000</v>
      </c>
      <c r="J76" s="126">
        <f>I76-D76</f>
        <v>50000000</v>
      </c>
      <c r="K76" s="40"/>
      <c r="L76" s="40"/>
      <c r="M76" s="39"/>
      <c r="N76" s="39"/>
      <c r="O76" s="39"/>
      <c r="P76" s="39"/>
      <c r="Q76" s="39"/>
      <c r="S76" s="39"/>
      <c r="T76" s="39"/>
      <c r="U76" s="39"/>
      <c r="V76" s="39"/>
      <c r="W76" s="39"/>
      <c r="X76" s="39"/>
      <c r="Y76" s="39"/>
      <c r="Z76" s="39"/>
      <c r="AA76" s="39"/>
    </row>
    <row r="77" spans="1:27" s="41" customFormat="1" ht="25.5" customHeight="1" x14ac:dyDescent="0.35">
      <c r="A77" s="90" t="s">
        <v>1206</v>
      </c>
      <c r="B77" s="87" t="s">
        <v>1207</v>
      </c>
      <c r="C77" s="16">
        <v>2000000000</v>
      </c>
      <c r="D77" s="16">
        <v>2000000000</v>
      </c>
      <c r="E77" s="40"/>
      <c r="H77" s="40"/>
      <c r="I77" s="16">
        <f>CAPEX!J2200</f>
        <v>1550000000</v>
      </c>
      <c r="J77" s="126"/>
      <c r="K77" s="40"/>
      <c r="L77" s="40"/>
      <c r="M77" s="39"/>
      <c r="N77" s="39"/>
      <c r="O77" s="39"/>
      <c r="P77" s="39"/>
      <c r="Q77" s="39"/>
      <c r="S77" s="39"/>
      <c r="T77" s="39"/>
      <c r="U77" s="39"/>
      <c r="V77" s="39"/>
      <c r="W77" s="39"/>
      <c r="X77" s="39"/>
      <c r="Y77" s="39"/>
      <c r="Z77" s="39"/>
      <c r="AA77" s="39"/>
    </row>
    <row r="78" spans="1:27" s="41" customFormat="1" ht="25.5" customHeight="1" x14ac:dyDescent="0.35">
      <c r="A78" s="90" t="s">
        <v>1208</v>
      </c>
      <c r="B78" s="87" t="s">
        <v>1209</v>
      </c>
      <c r="C78" s="16">
        <v>500000000</v>
      </c>
      <c r="D78" s="16">
        <v>500000000</v>
      </c>
      <c r="E78" s="40"/>
      <c r="H78" s="40"/>
      <c r="I78" s="16">
        <f>CAPEX!J2354</f>
        <v>500000000</v>
      </c>
      <c r="J78" s="126"/>
      <c r="K78" s="40"/>
      <c r="L78" s="40"/>
      <c r="M78" s="39"/>
      <c r="N78" s="39"/>
      <c r="O78" s="39"/>
      <c r="P78" s="39"/>
      <c r="Q78" s="39"/>
      <c r="S78" s="39"/>
      <c r="T78" s="39"/>
      <c r="U78" s="39"/>
      <c r="V78" s="39"/>
      <c r="W78" s="39"/>
      <c r="X78" s="39"/>
      <c r="Y78" s="39"/>
      <c r="Z78" s="39"/>
      <c r="AA78" s="39"/>
    </row>
    <row r="79" spans="1:27" s="41" customFormat="1" ht="25.5" customHeight="1" x14ac:dyDescent="0.35">
      <c r="A79" s="90" t="s">
        <v>1210</v>
      </c>
      <c r="B79" s="87" t="s">
        <v>1211</v>
      </c>
      <c r="C79" s="16">
        <v>700000000</v>
      </c>
      <c r="D79" s="16">
        <v>350000000</v>
      </c>
      <c r="E79" s="40"/>
      <c r="H79" s="40"/>
      <c r="I79" s="16"/>
      <c r="J79" s="126"/>
      <c r="K79" s="40"/>
      <c r="L79" s="40"/>
      <c r="M79" s="39"/>
      <c r="N79" s="39"/>
      <c r="O79" s="39"/>
      <c r="P79" s="39"/>
      <c r="Q79" s="39"/>
      <c r="S79" s="39"/>
      <c r="T79" s="39"/>
      <c r="U79" s="39"/>
      <c r="V79" s="39"/>
      <c r="W79" s="39"/>
      <c r="X79" s="39"/>
      <c r="Y79" s="39"/>
      <c r="Z79" s="39"/>
      <c r="AA79" s="39"/>
    </row>
    <row r="80" spans="1:27" s="41" customFormat="1" ht="25.5" customHeight="1" x14ac:dyDescent="0.35">
      <c r="A80" s="90" t="s">
        <v>1212</v>
      </c>
      <c r="B80" s="87" t="s">
        <v>1213</v>
      </c>
      <c r="C80" s="16">
        <v>728000000</v>
      </c>
      <c r="D80" s="16">
        <v>500000000</v>
      </c>
      <c r="E80" s="40"/>
      <c r="H80" s="40"/>
      <c r="I80" s="16">
        <v>0</v>
      </c>
      <c r="J80" s="126"/>
      <c r="K80" s="40"/>
      <c r="L80" s="40"/>
      <c r="M80" s="39"/>
      <c r="N80" s="39"/>
      <c r="O80" s="39"/>
      <c r="P80" s="39"/>
      <c r="Q80" s="39"/>
      <c r="S80" s="39"/>
      <c r="T80" s="39"/>
      <c r="U80" s="39"/>
      <c r="V80" s="39"/>
      <c r="W80" s="39"/>
      <c r="X80" s="39"/>
      <c r="Y80" s="39"/>
      <c r="Z80" s="39"/>
      <c r="AA80" s="39"/>
    </row>
    <row r="81" spans="1:27" s="41" customFormat="1" ht="25.5" customHeight="1" x14ac:dyDescent="0.35">
      <c r="A81" s="16" t="s">
        <v>1214</v>
      </c>
      <c r="B81" s="87" t="s">
        <v>1215</v>
      </c>
      <c r="C81" s="16">
        <v>500000000</v>
      </c>
      <c r="D81" s="16">
        <v>500000000</v>
      </c>
      <c r="E81" s="40"/>
      <c r="H81" s="40"/>
      <c r="I81" s="16">
        <f>CAPEX!J539</f>
        <v>500000000</v>
      </c>
      <c r="J81" s="126"/>
      <c r="K81" s="40"/>
      <c r="L81" s="40"/>
      <c r="M81" s="39"/>
      <c r="N81" s="39"/>
      <c r="O81" s="39"/>
      <c r="P81" s="39"/>
      <c r="Q81" s="39"/>
      <c r="S81" s="39"/>
      <c r="T81" s="39"/>
      <c r="U81" s="39"/>
      <c r="V81" s="39"/>
      <c r="W81" s="39"/>
      <c r="X81" s="39"/>
      <c r="Y81" s="39"/>
      <c r="Z81" s="39"/>
      <c r="AA81" s="39"/>
    </row>
    <row r="82" spans="1:27" s="41" customFormat="1" ht="25.5" customHeight="1" x14ac:dyDescent="0.35">
      <c r="A82" s="16" t="s">
        <v>1216</v>
      </c>
      <c r="B82" s="87" t="s">
        <v>1217</v>
      </c>
      <c r="C82" s="16"/>
      <c r="D82" s="16">
        <f>352955669.159729-59000000</f>
        <v>293955669.159729</v>
      </c>
      <c r="E82" s="40"/>
      <c r="H82" s="40"/>
      <c r="I82" s="16">
        <f>CAPEX!J384</f>
        <v>120000000</v>
      </c>
      <c r="J82" s="126"/>
      <c r="K82" s="40"/>
      <c r="L82" s="40"/>
      <c r="M82" s="39"/>
      <c r="N82" s="39"/>
      <c r="O82" s="39"/>
      <c r="P82" s="39"/>
      <c r="Q82" s="39"/>
      <c r="S82" s="39"/>
      <c r="T82" s="39"/>
      <c r="U82" s="39"/>
      <c r="V82" s="39"/>
      <c r="W82" s="39"/>
      <c r="X82" s="39"/>
      <c r="Y82" s="39"/>
      <c r="Z82" s="39"/>
      <c r="AA82" s="39"/>
    </row>
    <row r="83" spans="1:27" s="41" customFormat="1" ht="25.5" customHeight="1" x14ac:dyDescent="0.35">
      <c r="A83" s="16" t="s">
        <v>4605</v>
      </c>
      <c r="B83" s="87" t="s">
        <v>1036</v>
      </c>
      <c r="C83" s="16"/>
      <c r="D83" s="16"/>
      <c r="E83" s="40"/>
      <c r="H83" s="40"/>
      <c r="I83" s="16">
        <v>3000000000</v>
      </c>
      <c r="J83" s="126"/>
      <c r="K83" s="40"/>
      <c r="L83" s="40"/>
      <c r="M83" s="39"/>
      <c r="N83" s="39"/>
      <c r="O83" s="39"/>
      <c r="P83" s="39"/>
      <c r="Q83" s="39"/>
      <c r="S83" s="39"/>
      <c r="T83" s="39"/>
      <c r="U83" s="39"/>
      <c r="V83" s="39"/>
      <c r="W83" s="39"/>
      <c r="X83" s="39"/>
      <c r="Y83" s="39"/>
      <c r="Z83" s="39"/>
      <c r="AA83" s="39"/>
    </row>
    <row r="84" spans="1:27" s="41" customFormat="1" ht="25.5" customHeight="1" x14ac:dyDescent="0.35">
      <c r="A84" s="16"/>
      <c r="B84" s="16"/>
      <c r="C84" s="29">
        <f>SUM(C68:C81)</f>
        <v>82428000000</v>
      </c>
      <c r="D84" s="29">
        <v>114350000000</v>
      </c>
      <c r="E84" s="29">
        <v>114350000000</v>
      </c>
      <c r="F84" s="29">
        <v>114350000000</v>
      </c>
      <c r="G84" s="29">
        <v>114350000000</v>
      </c>
      <c r="H84" s="29">
        <v>114350000000</v>
      </c>
      <c r="I84" s="29">
        <f>SUM(I68:I83)</f>
        <v>54670000000</v>
      </c>
      <c r="J84" s="29">
        <f>SUM(J68:J82)</f>
        <v>9500000000</v>
      </c>
      <c r="K84" s="40"/>
      <c r="L84" s="40">
        <f>I84-K84</f>
        <v>54670000000</v>
      </c>
      <c r="M84" s="39"/>
      <c r="N84" s="39"/>
      <c r="O84" s="39"/>
      <c r="P84" s="39"/>
      <c r="Q84" s="39"/>
      <c r="S84" s="39"/>
      <c r="T84" s="39"/>
      <c r="U84" s="39"/>
      <c r="V84" s="39"/>
      <c r="W84" s="39"/>
      <c r="X84" s="39"/>
      <c r="Y84" s="39"/>
      <c r="Z84" s="39"/>
      <c r="AA84" s="39"/>
    </row>
    <row r="85" spans="1:27" s="41" customFormat="1" ht="25.5" customHeight="1" x14ac:dyDescent="0.35">
      <c r="A85" s="194"/>
      <c r="B85" s="195" t="s">
        <v>4608</v>
      </c>
      <c r="C85" s="195"/>
      <c r="D85" s="195"/>
      <c r="E85" s="195"/>
      <c r="F85" s="195"/>
      <c r="G85" s="195"/>
      <c r="H85" s="195"/>
      <c r="I85" s="195" t="e">
        <f>I84+I65</f>
        <v>#VALUE!</v>
      </c>
      <c r="J85" s="195"/>
      <c r="K85" s="40"/>
      <c r="L85" s="40"/>
      <c r="M85" s="39"/>
      <c r="N85" s="39"/>
      <c r="O85" s="39"/>
      <c r="P85" s="39"/>
      <c r="Q85" s="39"/>
      <c r="S85" s="39"/>
      <c r="T85" s="39"/>
      <c r="U85" s="39"/>
      <c r="V85" s="39"/>
      <c r="W85" s="39"/>
      <c r="X85" s="39"/>
      <c r="Y85" s="39"/>
      <c r="Z85" s="39"/>
      <c r="AA85" s="39"/>
    </row>
    <row r="86" spans="1:27" s="41" customFormat="1" ht="41.25" customHeight="1" x14ac:dyDescent="0.35">
      <c r="B86" s="39"/>
      <c r="D86" s="41">
        <f>Summary!C43</f>
        <v>223012142299.20203</v>
      </c>
      <c r="E86" s="41">
        <f t="shared" ref="E86:H86" si="5">E84+E65</f>
        <v>114350000100</v>
      </c>
      <c r="F86" s="41">
        <f t="shared" si="5"/>
        <v>114350000000</v>
      </c>
      <c r="G86" s="41" t="e">
        <f t="shared" si="5"/>
        <v>#REF!</v>
      </c>
      <c r="H86" s="41">
        <f t="shared" si="5"/>
        <v>114350004007.0952</v>
      </c>
      <c r="I86" s="41" t="e">
        <f>D86-I85</f>
        <v>#VALUE!</v>
      </c>
      <c r="J86" s="41" t="e">
        <f>Summary!C43-'CAP LIMIT'!I86</f>
        <v>#VALUE!</v>
      </c>
      <c r="K86" s="40"/>
      <c r="L86" s="40"/>
      <c r="M86" s="39"/>
      <c r="N86" s="39"/>
      <c r="O86" s="39"/>
      <c r="P86" s="39"/>
      <c r="Q86" s="39"/>
      <c r="S86" s="39"/>
      <c r="T86" s="39"/>
      <c r="U86" s="39"/>
      <c r="V86" s="39"/>
      <c r="W86" s="39"/>
      <c r="X86" s="39"/>
      <c r="Y86" s="39"/>
      <c r="Z86" s="39"/>
      <c r="AA86" s="39"/>
    </row>
    <row r="87" spans="1:27" s="41" customFormat="1" ht="46.5" customHeight="1" x14ac:dyDescent="0.35">
      <c r="B87" s="39"/>
      <c r="C87" s="40"/>
      <c r="E87" s="40"/>
      <c r="H87" s="40"/>
      <c r="I87" s="41" t="e">
        <f>I84+I65</f>
        <v>#VALUE!</v>
      </c>
      <c r="K87" s="40"/>
      <c r="L87" s="40"/>
      <c r="M87" s="39"/>
      <c r="N87" s="39"/>
      <c r="O87" s="39"/>
      <c r="P87" s="39"/>
      <c r="Q87" s="39"/>
      <c r="S87" s="39"/>
      <c r="T87" s="39"/>
      <c r="U87" s="39"/>
      <c r="V87" s="39"/>
      <c r="W87" s="39"/>
      <c r="X87" s="39"/>
      <c r="Y87" s="39"/>
      <c r="Z87" s="39"/>
      <c r="AA87" s="39"/>
    </row>
    <row r="88" spans="1:27" s="41" customFormat="1" ht="24.75" customHeight="1" x14ac:dyDescent="0.35">
      <c r="A88" s="91"/>
      <c r="B88" s="39"/>
      <c r="C88" s="40"/>
      <c r="E88" s="40"/>
      <c r="H88" s="40"/>
      <c r="I88" s="41" t="e">
        <f>I84+I65</f>
        <v>#VALUE!</v>
      </c>
      <c r="K88" s="40"/>
      <c r="L88" s="40"/>
      <c r="M88" s="39"/>
      <c r="N88" s="39"/>
      <c r="O88" s="39"/>
      <c r="P88" s="39"/>
      <c r="Q88" s="39"/>
      <c r="S88" s="39"/>
      <c r="T88" s="39"/>
      <c r="U88" s="39"/>
      <c r="V88" s="39"/>
      <c r="W88" s="39"/>
      <c r="X88" s="39"/>
      <c r="Y88" s="39"/>
      <c r="Z88" s="39"/>
      <c r="AA88" s="39"/>
    </row>
    <row r="89" spans="1:27" s="41" customFormat="1" ht="24.75" customHeight="1" x14ac:dyDescent="0.35">
      <c r="A89" s="91"/>
      <c r="B89" s="39"/>
      <c r="C89" s="40"/>
      <c r="E89" s="40"/>
      <c r="H89" s="40"/>
      <c r="K89" s="40"/>
      <c r="L89" s="40"/>
      <c r="M89" s="39"/>
      <c r="N89" s="39"/>
      <c r="O89" s="39"/>
      <c r="P89" s="39"/>
      <c r="Q89" s="39"/>
      <c r="S89" s="39"/>
      <c r="T89" s="39"/>
      <c r="U89" s="39"/>
      <c r="V89" s="39"/>
      <c r="W89" s="39"/>
      <c r="X89" s="39"/>
      <c r="Y89" s="39"/>
      <c r="Z89" s="39"/>
      <c r="AA89" s="39"/>
    </row>
    <row r="90" spans="1:27" s="41" customFormat="1" ht="24.75" customHeight="1" x14ac:dyDescent="0.35">
      <c r="A90" s="91"/>
      <c r="B90" s="39"/>
      <c r="C90" s="40"/>
      <c r="E90" s="40"/>
      <c r="H90" s="40"/>
      <c r="I90" s="41" t="e">
        <f>I86-I88</f>
        <v>#VALUE!</v>
      </c>
      <c r="K90" s="40"/>
      <c r="L90" s="40"/>
      <c r="M90" s="39"/>
      <c r="N90" s="39"/>
      <c r="O90" s="39"/>
      <c r="P90" s="39"/>
      <c r="Q90" s="39"/>
      <c r="S90" s="39"/>
      <c r="T90" s="39"/>
      <c r="U90" s="39"/>
      <c r="V90" s="39"/>
      <c r="W90" s="39"/>
      <c r="X90" s="39"/>
      <c r="Y90" s="39"/>
      <c r="Z90" s="39"/>
      <c r="AA90" s="39"/>
    </row>
    <row r="91" spans="1:27" s="41" customFormat="1" ht="47.25" customHeight="1" x14ac:dyDescent="0.35">
      <c r="A91" s="91"/>
      <c r="B91" s="39"/>
      <c r="C91" s="40"/>
      <c r="D91" s="45"/>
      <c r="E91" s="40"/>
      <c r="H91" s="40"/>
      <c r="K91" s="40"/>
      <c r="L91" s="40"/>
      <c r="M91" s="39"/>
      <c r="N91" s="39"/>
      <c r="O91" s="39"/>
      <c r="P91" s="39"/>
      <c r="Q91" s="39"/>
      <c r="S91" s="39"/>
      <c r="T91" s="39"/>
      <c r="U91" s="39"/>
      <c r="V91" s="39"/>
      <c r="W91" s="39"/>
      <c r="X91" s="39"/>
      <c r="Y91" s="39"/>
      <c r="Z91" s="39"/>
      <c r="AA91" s="39"/>
    </row>
    <row r="92" spans="1:27" s="41" customFormat="1" x14ac:dyDescent="0.35">
      <c r="A92" s="38"/>
      <c r="B92" s="86" t="s">
        <v>1218</v>
      </c>
      <c r="C92" s="40"/>
      <c r="D92" s="45">
        <v>72060662633.215759</v>
      </c>
      <c r="E92" s="43"/>
      <c r="F92" s="45"/>
      <c r="G92" s="45"/>
      <c r="H92" s="40"/>
      <c r="K92" s="40"/>
      <c r="L92" s="40"/>
      <c r="M92" s="92" t="e">
        <f>#REF!-D93</f>
        <v>#REF!</v>
      </c>
      <c r="N92" s="39"/>
      <c r="O92" s="39"/>
      <c r="P92" s="39"/>
      <c r="Q92" s="39"/>
      <c r="S92" s="39"/>
      <c r="T92" s="39"/>
      <c r="U92" s="39"/>
      <c r="V92" s="39"/>
      <c r="W92" s="39"/>
      <c r="X92" s="39"/>
      <c r="Y92" s="39"/>
      <c r="Z92" s="39"/>
      <c r="AA92" s="39"/>
    </row>
    <row r="93" spans="1:27" s="41" customFormat="1" x14ac:dyDescent="0.35">
      <c r="A93" s="38"/>
      <c r="B93" s="43" t="s">
        <v>1219</v>
      </c>
      <c r="C93" s="40"/>
      <c r="D93" s="45">
        <v>186410662632.26688</v>
      </c>
      <c r="E93" s="93">
        <v>0.53117033209174502</v>
      </c>
      <c r="H93" s="40"/>
      <c r="I93" s="41">
        <f>D93-I84</f>
        <v>131740662632.26688</v>
      </c>
      <c r="K93" s="40"/>
      <c r="L93" s="40"/>
      <c r="M93" s="39"/>
      <c r="N93" s="39"/>
      <c r="O93" s="39"/>
      <c r="P93" s="39"/>
      <c r="Q93" s="40"/>
      <c r="S93" s="39"/>
      <c r="T93" s="39"/>
      <c r="U93" s="39"/>
      <c r="V93" s="39"/>
      <c r="W93" s="39"/>
      <c r="X93" s="39"/>
      <c r="Y93" s="39"/>
      <c r="Z93" s="39"/>
      <c r="AA93" s="39"/>
    </row>
    <row r="94" spans="1:27" s="41" customFormat="1" ht="9.75" customHeight="1" x14ac:dyDescent="0.35">
      <c r="A94" s="38"/>
      <c r="B94" s="39"/>
      <c r="C94" s="40"/>
      <c r="E94" s="40"/>
      <c r="H94" s="40"/>
      <c r="K94" s="40"/>
      <c r="L94" s="40"/>
      <c r="M94" s="39"/>
      <c r="N94" s="39"/>
      <c r="O94" s="39"/>
      <c r="P94" s="39"/>
      <c r="Q94" s="39"/>
      <c r="S94" s="39"/>
      <c r="T94" s="39"/>
      <c r="U94" s="39"/>
      <c r="V94" s="39"/>
      <c r="W94" s="39"/>
      <c r="X94" s="39"/>
      <c r="Y94" s="39"/>
      <c r="Z94" s="39"/>
      <c r="AA94" s="39"/>
    </row>
    <row r="95" spans="1:27" s="41" customFormat="1" x14ac:dyDescent="0.35">
      <c r="A95" s="38"/>
      <c r="B95" s="86" t="s">
        <v>1220</v>
      </c>
      <c r="C95" s="40"/>
      <c r="D95" s="45">
        <v>164530884210.40213</v>
      </c>
      <c r="E95" s="93">
        <v>0.46882966790825498</v>
      </c>
      <c r="H95" s="40"/>
      <c r="K95" s="40"/>
      <c r="L95" s="40"/>
      <c r="M95" s="39"/>
      <c r="N95" s="39"/>
      <c r="O95" s="39"/>
      <c r="P95" s="39"/>
      <c r="Q95" s="39"/>
      <c r="S95" s="39"/>
      <c r="T95" s="39"/>
      <c r="U95" s="39"/>
      <c r="V95" s="39"/>
      <c r="W95" s="39"/>
      <c r="X95" s="39"/>
      <c r="Y95" s="39"/>
      <c r="Z95" s="39"/>
      <c r="AA95" s="39"/>
    </row>
    <row r="96" spans="1:27" s="41" customFormat="1" ht="13.5" customHeight="1" x14ac:dyDescent="0.35">
      <c r="A96" s="38"/>
      <c r="B96" s="86"/>
      <c r="C96" s="40"/>
      <c r="D96" s="45"/>
      <c r="E96" s="43"/>
      <c r="H96" s="40"/>
      <c r="K96" s="40"/>
      <c r="L96" s="40"/>
      <c r="M96" s="39"/>
      <c r="N96" s="39"/>
      <c r="O96" s="39"/>
      <c r="P96" s="39"/>
      <c r="Q96" s="39"/>
      <c r="S96" s="39"/>
      <c r="T96" s="39"/>
      <c r="U96" s="39"/>
      <c r="V96" s="39"/>
      <c r="W96" s="39"/>
      <c r="X96" s="39"/>
      <c r="Y96" s="39"/>
      <c r="Z96" s="39"/>
      <c r="AA96" s="39"/>
    </row>
    <row r="97" spans="1:27" s="41" customFormat="1" x14ac:dyDescent="0.35">
      <c r="A97" s="38"/>
      <c r="B97" s="86" t="s">
        <v>1221</v>
      </c>
      <c r="C97" s="40"/>
      <c r="D97" s="45">
        <v>350941546842.66901</v>
      </c>
      <c r="E97" s="43"/>
      <c r="H97" s="40"/>
      <c r="K97" s="40"/>
      <c r="L97" s="40"/>
      <c r="M97" s="39"/>
      <c r="N97" s="39"/>
      <c r="O97" s="39"/>
      <c r="P97" s="39"/>
      <c r="Q97" s="39"/>
      <c r="S97" s="39"/>
      <c r="T97" s="39"/>
      <c r="U97" s="39"/>
      <c r="V97" s="39"/>
      <c r="W97" s="39"/>
      <c r="X97" s="39"/>
      <c r="Y97" s="39"/>
      <c r="Z97" s="39"/>
      <c r="AA97" s="39"/>
    </row>
    <row r="98" spans="1:27" s="41" customFormat="1" x14ac:dyDescent="0.35">
      <c r="A98" s="38"/>
      <c r="B98" s="39"/>
      <c r="C98" s="40"/>
      <c r="D98" s="41" t="e">
        <v>#REF!</v>
      </c>
      <c r="E98" s="40">
        <f>N51-D93</f>
        <v>0.948883056640625</v>
      </c>
      <c r="H98" s="40"/>
      <c r="K98" s="40"/>
      <c r="L98" s="40"/>
      <c r="M98" s="39"/>
      <c r="N98" s="39"/>
      <c r="O98" s="39"/>
      <c r="P98" s="39"/>
      <c r="Q98" s="39"/>
      <c r="S98" s="39"/>
      <c r="T98" s="39"/>
      <c r="U98" s="39"/>
      <c r="V98" s="39"/>
      <c r="W98" s="39"/>
      <c r="X98" s="39"/>
      <c r="Y98" s="39"/>
      <c r="Z98" s="39"/>
      <c r="AA98" s="39"/>
    </row>
    <row r="99" spans="1:27" s="41" customFormat="1" x14ac:dyDescent="0.35">
      <c r="A99" s="38"/>
      <c r="B99" s="39"/>
      <c r="C99" s="40"/>
      <c r="D99" s="41" t="e">
        <v>#REF!</v>
      </c>
      <c r="E99" s="43"/>
      <c r="H99" s="40"/>
      <c r="K99" s="40"/>
      <c r="L99" s="40"/>
      <c r="M99" s="39"/>
      <c r="N99" s="39"/>
      <c r="O99" s="39"/>
      <c r="P99" s="39"/>
      <c r="Q99" s="39"/>
      <c r="S99" s="39"/>
      <c r="T99" s="39"/>
      <c r="U99" s="39"/>
      <c r="V99" s="39"/>
      <c r="W99" s="39"/>
      <c r="X99" s="39"/>
      <c r="Y99" s="39"/>
      <c r="Z99" s="39"/>
      <c r="AA99" s="39"/>
    </row>
    <row r="100" spans="1:27" s="41" customFormat="1" x14ac:dyDescent="0.35">
      <c r="A100" s="38"/>
      <c r="B100" s="39"/>
      <c r="C100" s="40"/>
      <c r="E100" s="40"/>
      <c r="H100" s="40"/>
      <c r="K100" s="40"/>
      <c r="L100" s="40"/>
      <c r="M100" s="40" t="e">
        <f>#REF!-123648490286</f>
        <v>#REF!</v>
      </c>
      <c r="N100" s="40" t="e">
        <f>#REF!-123648490286</f>
        <v>#REF!</v>
      </c>
      <c r="O100" s="40" t="e">
        <f>#REF!-123648490286</f>
        <v>#REF!</v>
      </c>
      <c r="P100" s="40">
        <f>N65-123648490286</f>
        <v>-123648490286</v>
      </c>
      <c r="Q100" s="40">
        <f>O65-123648490286</f>
        <v>-123648490286</v>
      </c>
      <c r="S100" s="39"/>
      <c r="T100" s="39"/>
      <c r="U100" s="39"/>
      <c r="V100" s="39"/>
      <c r="W100" s="39"/>
      <c r="X100" s="39"/>
      <c r="Y100" s="39"/>
      <c r="Z100" s="39"/>
      <c r="AA100" s="39"/>
    </row>
    <row r="101" spans="1:27" s="41" customFormat="1" x14ac:dyDescent="0.35">
      <c r="A101" s="38"/>
      <c r="B101" s="39"/>
      <c r="C101" s="40"/>
      <c r="E101" s="40"/>
      <c r="H101" s="40"/>
      <c r="K101" s="40"/>
      <c r="L101" s="40"/>
      <c r="M101" s="39"/>
      <c r="N101" s="39"/>
      <c r="O101" s="39"/>
      <c r="P101" s="39"/>
      <c r="Q101" s="39"/>
      <c r="S101" s="39"/>
      <c r="T101" s="39"/>
      <c r="U101" s="39"/>
      <c r="V101" s="39"/>
      <c r="W101" s="39"/>
      <c r="X101" s="39"/>
      <c r="Y101" s="39"/>
      <c r="Z101" s="39"/>
      <c r="AA101" s="39"/>
    </row>
    <row r="103" spans="1:27" s="41" customFormat="1" x14ac:dyDescent="0.35">
      <c r="A103" s="38"/>
      <c r="B103" s="39"/>
      <c r="C103" s="40"/>
      <c r="E103" s="40"/>
      <c r="H103" s="40"/>
      <c r="K103" s="40"/>
      <c r="L103" s="40"/>
      <c r="M103" s="39"/>
      <c r="N103" s="39"/>
      <c r="O103" s="39"/>
      <c r="P103" s="39"/>
      <c r="Q103" s="39"/>
      <c r="S103" s="39"/>
      <c r="T103" s="39"/>
      <c r="U103" s="39"/>
      <c r="V103" s="39"/>
      <c r="W103" s="39"/>
      <c r="X103" s="39"/>
      <c r="Y103" s="39"/>
      <c r="Z103" s="39"/>
      <c r="AA103" s="39"/>
    </row>
    <row r="104" spans="1:27" s="41" customFormat="1" x14ac:dyDescent="0.35">
      <c r="A104" s="38"/>
      <c r="B104" s="39"/>
      <c r="C104" s="40"/>
      <c r="E104" s="40"/>
      <c r="H104" s="40"/>
      <c r="K104" s="40"/>
      <c r="L104" s="40"/>
      <c r="M104" s="39"/>
      <c r="N104" s="39"/>
      <c r="O104" s="39"/>
      <c r="P104" s="39"/>
      <c r="Q104" s="39"/>
      <c r="S104" s="39"/>
      <c r="T104" s="39"/>
      <c r="U104" s="39"/>
      <c r="V104" s="39"/>
      <c r="W104" s="39"/>
      <c r="X104" s="39"/>
      <c r="Y104" s="39"/>
      <c r="Z104" s="39"/>
      <c r="AA104" s="39"/>
    </row>
  </sheetData>
  <mergeCells count="1">
    <mergeCell ref="B2:D2"/>
  </mergeCells>
  <phoneticPr fontId="3" type="noConversion"/>
  <conditionalFormatting sqref="B10">
    <cfRule type="expression" dxfId="502" priority="1" stopIfTrue="1">
      <formula>B$5=0</formula>
    </cfRule>
  </conditionalFormatting>
  <dataValidations disablePrompts="1" count="1">
    <dataValidation type="decimal" allowBlank="1" showInputMessage="1" showErrorMessage="1" sqref="N11:P11">
      <formula1>0</formula1>
      <formula2>10</formula2>
    </dataValidation>
  </dataValidations>
  <pageMargins left="0.36" right="0.38" top="0.75" bottom="0.75" header="0.3" footer="0.3"/>
  <pageSetup paperSize="9" scale="60" orientation="portrait" r:id="rId1"/>
  <rowBreaks count="1" manualBreakCount="1">
    <brk id="45" max="8"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6"/>
  <sheetViews>
    <sheetView view="pageBreakPreview" zoomScale="59" zoomScaleNormal="100" zoomScaleSheetLayoutView="59" workbookViewId="0">
      <selection activeCell="M49" sqref="M48:M49"/>
    </sheetView>
  </sheetViews>
  <sheetFormatPr defaultRowHeight="23.25" x14ac:dyDescent="0.35"/>
  <cols>
    <col min="1" max="1" width="5.7109375" style="94" customWidth="1"/>
    <col min="2" max="2" width="36.140625" style="94" customWidth="1"/>
    <col min="3" max="3" width="45" style="94" customWidth="1"/>
    <col min="4" max="4" width="24.42578125" style="94" hidden="1" customWidth="1"/>
    <col min="5" max="5" width="24" style="94" customWidth="1"/>
    <col min="6" max="6" width="24.42578125" style="94" hidden="1" customWidth="1"/>
    <col min="7" max="7" width="22.42578125" style="17" hidden="1" customWidth="1"/>
    <col min="8" max="8" width="25.28515625" style="17" customWidth="1"/>
    <col min="9" max="9" width="27.5703125" style="17" customWidth="1"/>
    <col min="10" max="10" width="30.5703125" style="17" customWidth="1"/>
    <col min="11" max="11" width="40.140625" style="94" bestFit="1" customWidth="1"/>
    <col min="12" max="12" width="9.140625" style="94"/>
    <col min="13" max="13" width="40.140625" style="94" customWidth="1"/>
    <col min="14" max="16384" width="9.140625" style="94"/>
  </cols>
  <sheetData>
    <row r="2" spans="1:11" ht="21" customHeight="1" x14ac:dyDescent="0.35">
      <c r="A2" s="730" t="s">
        <v>2498</v>
      </c>
      <c r="B2" s="730"/>
      <c r="C2" s="730"/>
      <c r="D2" s="730"/>
      <c r="E2" s="730"/>
      <c r="F2" s="730"/>
      <c r="G2" s="730"/>
      <c r="H2" s="730"/>
      <c r="I2" s="730"/>
      <c r="J2" s="730"/>
      <c r="K2" s="730"/>
    </row>
    <row r="3" spans="1:11" s="98" customFormat="1" ht="93" x14ac:dyDescent="0.35">
      <c r="A3" s="95" t="s">
        <v>1053</v>
      </c>
      <c r="B3" s="95" t="s">
        <v>1054</v>
      </c>
      <c r="C3" s="95" t="s">
        <v>1188</v>
      </c>
      <c r="D3" s="96" t="s">
        <v>1055</v>
      </c>
      <c r="E3" s="97" t="s">
        <v>1056</v>
      </c>
      <c r="F3" s="97" t="s">
        <v>2502</v>
      </c>
      <c r="G3" s="97" t="s">
        <v>2501</v>
      </c>
      <c r="H3" s="97" t="s">
        <v>2503</v>
      </c>
      <c r="I3" s="97" t="s">
        <v>1075</v>
      </c>
      <c r="J3" s="97" t="s">
        <v>1891</v>
      </c>
      <c r="K3" s="97" t="s">
        <v>2499</v>
      </c>
    </row>
    <row r="4" spans="1:11" s="98" customFormat="1" x14ac:dyDescent="0.35">
      <c r="A4" s="95" t="s">
        <v>2492</v>
      </c>
      <c r="B4" s="95" t="s">
        <v>2491</v>
      </c>
      <c r="C4" s="95"/>
      <c r="D4" s="96"/>
      <c r="E4" s="97"/>
      <c r="F4" s="97"/>
      <c r="G4" s="99"/>
      <c r="H4" s="97"/>
      <c r="I4" s="97"/>
      <c r="J4" s="97"/>
      <c r="K4" s="97"/>
    </row>
    <row r="5" spans="1:11" x14ac:dyDescent="0.35">
      <c r="A5" s="101"/>
      <c r="B5" s="102" t="s">
        <v>2456</v>
      </c>
      <c r="C5" s="100"/>
      <c r="D5" s="100"/>
      <c r="E5" s="18"/>
      <c r="F5" s="18"/>
      <c r="G5" s="100"/>
      <c r="H5" s="18"/>
      <c r="I5" s="103">
        <v>1000000000</v>
      </c>
      <c r="J5" s="18"/>
      <c r="K5" s="100"/>
    </row>
    <row r="6" spans="1:11" s="98" customFormat="1" ht="69.75" x14ac:dyDescent="0.35">
      <c r="A6" s="101" t="s">
        <v>1057</v>
      </c>
      <c r="B6" s="112" t="s">
        <v>2500</v>
      </c>
      <c r="C6" s="99"/>
      <c r="D6" s="100"/>
      <c r="E6" s="18"/>
      <c r="F6" s="18"/>
      <c r="G6" s="99"/>
      <c r="H6" s="18"/>
      <c r="I6" s="18"/>
      <c r="J6" s="18"/>
      <c r="K6" s="99"/>
    </row>
    <row r="7" spans="1:11" s="98" customFormat="1" ht="240.75" customHeight="1" x14ac:dyDescent="0.35">
      <c r="A7" s="101" t="s">
        <v>1058</v>
      </c>
      <c r="B7" s="729" t="str">
        <f>B66</f>
        <v>//</v>
      </c>
      <c r="C7" s="99" t="s">
        <v>1893</v>
      </c>
      <c r="D7" s="99"/>
      <c r="E7" s="103"/>
      <c r="F7" s="103"/>
      <c r="G7" s="99"/>
      <c r="H7" s="103">
        <v>200000000</v>
      </c>
      <c r="I7" s="103"/>
      <c r="J7" s="103"/>
      <c r="K7" s="99" t="s">
        <v>1924</v>
      </c>
    </row>
    <row r="8" spans="1:11" s="98" customFormat="1" ht="309.75" customHeight="1" x14ac:dyDescent="0.35">
      <c r="A8" s="101" t="s">
        <v>1059</v>
      </c>
      <c r="B8" s="729"/>
      <c r="C8" s="99" t="s">
        <v>1894</v>
      </c>
      <c r="D8" s="99"/>
      <c r="E8" s="103"/>
      <c r="F8" s="103"/>
      <c r="G8" s="99"/>
      <c r="H8" s="103">
        <v>200000000</v>
      </c>
      <c r="I8" s="103"/>
      <c r="J8" s="103"/>
      <c r="K8" s="99" t="s">
        <v>1925</v>
      </c>
    </row>
    <row r="9" spans="1:11" s="98" customFormat="1" ht="351.75" customHeight="1" x14ac:dyDescent="0.35">
      <c r="A9" s="101" t="s">
        <v>1060</v>
      </c>
      <c r="B9" s="729"/>
      <c r="C9" s="99" t="s">
        <v>1895</v>
      </c>
      <c r="D9" s="99"/>
      <c r="E9" s="103"/>
      <c r="F9" s="103"/>
      <c r="G9" s="99"/>
      <c r="H9" s="103">
        <v>120000000</v>
      </c>
      <c r="I9" s="103"/>
      <c r="J9" s="103"/>
      <c r="K9" s="99" t="s">
        <v>1926</v>
      </c>
    </row>
    <row r="10" spans="1:11" s="98" customFormat="1" ht="246.75" customHeight="1" x14ac:dyDescent="0.35">
      <c r="A10" s="101" t="s">
        <v>1004</v>
      </c>
      <c r="B10" s="729"/>
      <c r="C10" s="99" t="s">
        <v>1896</v>
      </c>
      <c r="D10" s="99"/>
      <c r="E10" s="103"/>
      <c r="F10" s="103"/>
      <c r="G10" s="99"/>
      <c r="H10" s="103">
        <v>200000000</v>
      </c>
      <c r="I10" s="103"/>
      <c r="J10" s="103"/>
      <c r="K10" s="99" t="s">
        <v>1927</v>
      </c>
    </row>
    <row r="11" spans="1:11" s="98" customFormat="1" ht="409.5" x14ac:dyDescent="0.35">
      <c r="A11" s="101" t="s">
        <v>1061</v>
      </c>
      <c r="B11" s="729"/>
      <c r="C11" s="99" t="s">
        <v>1897</v>
      </c>
      <c r="D11" s="99"/>
      <c r="E11" s="103"/>
      <c r="F11" s="103"/>
      <c r="G11" s="99"/>
      <c r="H11" s="103">
        <v>1000000000</v>
      </c>
      <c r="I11" s="103"/>
      <c r="J11" s="103"/>
      <c r="K11" s="99" t="s">
        <v>1928</v>
      </c>
    </row>
    <row r="12" spans="1:11" s="98" customFormat="1" ht="409.5" customHeight="1" x14ac:dyDescent="0.35">
      <c r="A12" s="101" t="s">
        <v>1062</v>
      </c>
      <c r="B12" s="729"/>
      <c r="C12" s="99" t="s">
        <v>1898</v>
      </c>
      <c r="D12" s="99"/>
      <c r="E12" s="103"/>
      <c r="F12" s="103"/>
      <c r="G12" s="99"/>
      <c r="H12" s="103">
        <v>250000000</v>
      </c>
      <c r="I12" s="103"/>
      <c r="J12" s="103"/>
      <c r="K12" s="99" t="s">
        <v>1929</v>
      </c>
    </row>
    <row r="13" spans="1:11" s="98" customFormat="1" ht="185.25" customHeight="1" x14ac:dyDescent="0.35">
      <c r="A13" s="101" t="s">
        <v>1063</v>
      </c>
      <c r="B13" s="729"/>
      <c r="C13" s="99" t="s">
        <v>819</v>
      </c>
      <c r="D13" s="99"/>
      <c r="E13" s="103"/>
      <c r="F13" s="103"/>
      <c r="G13" s="99"/>
      <c r="H13" s="103">
        <v>250000000</v>
      </c>
      <c r="I13" s="103"/>
      <c r="J13" s="103"/>
      <c r="K13" s="99" t="s">
        <v>1930</v>
      </c>
    </row>
    <row r="14" spans="1:11" s="98" customFormat="1" ht="188.25" customHeight="1" x14ac:dyDescent="0.35">
      <c r="A14" s="101" t="s">
        <v>1064</v>
      </c>
      <c r="B14" s="729"/>
      <c r="C14" s="99" t="s">
        <v>1899</v>
      </c>
      <c r="D14" s="99"/>
      <c r="E14" s="103"/>
      <c r="F14" s="103"/>
      <c r="G14" s="99"/>
      <c r="H14" s="103">
        <v>100000000</v>
      </c>
      <c r="I14" s="103"/>
      <c r="J14" s="103"/>
      <c r="K14" s="99" t="s">
        <v>1931</v>
      </c>
    </row>
    <row r="15" spans="1:11" s="98" customFormat="1" ht="258" customHeight="1" x14ac:dyDescent="0.35">
      <c r="A15" s="101" t="s">
        <v>1065</v>
      </c>
      <c r="B15" s="729"/>
      <c r="C15" s="99" t="s">
        <v>1900</v>
      </c>
      <c r="D15" s="99"/>
      <c r="E15" s="103"/>
      <c r="F15" s="103"/>
      <c r="G15" s="99"/>
      <c r="H15" s="103">
        <v>900000000</v>
      </c>
      <c r="I15" s="103"/>
      <c r="J15" s="103"/>
      <c r="K15" s="99" t="s">
        <v>1932</v>
      </c>
    </row>
    <row r="16" spans="1:11" s="98" customFormat="1" ht="113.25" customHeight="1" x14ac:dyDescent="0.35">
      <c r="A16" s="101" t="s">
        <v>1066</v>
      </c>
      <c r="B16" s="729"/>
      <c r="C16" s="99" t="s">
        <v>1901</v>
      </c>
      <c r="D16" s="99"/>
      <c r="E16" s="103"/>
      <c r="F16" s="103"/>
      <c r="G16" s="99"/>
      <c r="H16" s="103">
        <v>200000000</v>
      </c>
      <c r="I16" s="103"/>
      <c r="J16" s="103"/>
      <c r="K16" s="99" t="s">
        <v>1933</v>
      </c>
    </row>
    <row r="17" spans="1:11" s="98" customFormat="1" ht="151.5" customHeight="1" x14ac:dyDescent="0.35">
      <c r="A17" s="101" t="s">
        <v>1067</v>
      </c>
      <c r="B17" s="729"/>
      <c r="C17" s="99" t="s">
        <v>1902</v>
      </c>
      <c r="D17" s="99"/>
      <c r="E17" s="103"/>
      <c r="F17" s="103"/>
      <c r="G17" s="99"/>
      <c r="H17" s="103">
        <v>150000000</v>
      </c>
      <c r="I17" s="103"/>
      <c r="J17" s="103"/>
      <c r="K17" s="99" t="s">
        <v>1934</v>
      </c>
    </row>
    <row r="18" spans="1:11" s="98" customFormat="1" ht="186" x14ac:dyDescent="0.35">
      <c r="A18" s="101" t="s">
        <v>1068</v>
      </c>
      <c r="B18" s="729"/>
      <c r="C18" s="99" t="s">
        <v>1903</v>
      </c>
      <c r="D18" s="99"/>
      <c r="E18" s="103"/>
      <c r="F18" s="103"/>
      <c r="G18" s="99"/>
      <c r="H18" s="103">
        <v>150000000</v>
      </c>
      <c r="I18" s="103"/>
      <c r="J18" s="103"/>
      <c r="K18" s="99" t="s">
        <v>1935</v>
      </c>
    </row>
    <row r="19" spans="1:11" s="98" customFormat="1" ht="304.5" customHeight="1" x14ac:dyDescent="0.35">
      <c r="A19" s="101" t="s">
        <v>1069</v>
      </c>
      <c r="B19" s="729"/>
      <c r="C19" s="99" t="s">
        <v>1904</v>
      </c>
      <c r="D19" s="99"/>
      <c r="E19" s="103"/>
      <c r="F19" s="103"/>
      <c r="G19" s="99"/>
      <c r="H19" s="103">
        <v>200000000</v>
      </c>
      <c r="I19" s="103"/>
      <c r="J19" s="103"/>
      <c r="K19" s="99" t="s">
        <v>1936</v>
      </c>
    </row>
    <row r="20" spans="1:11" s="98" customFormat="1" ht="212.25" customHeight="1" x14ac:dyDescent="0.35">
      <c r="A20" s="101" t="s">
        <v>1070</v>
      </c>
      <c r="B20" s="729"/>
      <c r="C20" s="99" t="s">
        <v>1905</v>
      </c>
      <c r="D20" s="99"/>
      <c r="E20" s="103"/>
      <c r="F20" s="103"/>
      <c r="G20" s="99"/>
      <c r="H20" s="103">
        <v>120000000</v>
      </c>
      <c r="I20" s="103"/>
      <c r="J20" s="103"/>
      <c r="K20" s="99" t="s">
        <v>1937</v>
      </c>
    </row>
    <row r="21" spans="1:11" s="98" customFormat="1" ht="162.75" x14ac:dyDescent="0.35">
      <c r="A21" s="101" t="s">
        <v>1071</v>
      </c>
      <c r="B21" s="729"/>
      <c r="C21" s="99" t="s">
        <v>1906</v>
      </c>
      <c r="D21" s="99"/>
      <c r="E21" s="103"/>
      <c r="F21" s="103"/>
      <c r="G21" s="99"/>
      <c r="H21" s="103">
        <v>200000000</v>
      </c>
      <c r="I21" s="103"/>
      <c r="J21" s="103"/>
      <c r="K21" s="99" t="s">
        <v>1938</v>
      </c>
    </row>
    <row r="22" spans="1:11" s="98" customFormat="1" ht="116.25" x14ac:dyDescent="0.35">
      <c r="A22" s="101" t="s">
        <v>1072</v>
      </c>
      <c r="B22" s="729"/>
      <c r="C22" s="99" t="s">
        <v>1907</v>
      </c>
      <c r="D22" s="99"/>
      <c r="E22" s="103"/>
      <c r="F22" s="103"/>
      <c r="G22" s="99"/>
      <c r="H22" s="103">
        <v>150000000</v>
      </c>
      <c r="I22" s="103"/>
      <c r="J22" s="103"/>
      <c r="K22" s="99" t="s">
        <v>1939</v>
      </c>
    </row>
    <row r="23" spans="1:11" s="98" customFormat="1" ht="116.25" x14ac:dyDescent="0.35">
      <c r="A23" s="101" t="s">
        <v>1115</v>
      </c>
      <c r="B23" s="729"/>
      <c r="C23" s="99" t="s">
        <v>1908</v>
      </c>
      <c r="D23" s="99"/>
      <c r="E23" s="103"/>
      <c r="F23" s="103"/>
      <c r="G23" s="99"/>
      <c r="H23" s="103">
        <v>60000000</v>
      </c>
      <c r="I23" s="103"/>
      <c r="J23" s="103"/>
      <c r="K23" s="99" t="s">
        <v>1940</v>
      </c>
    </row>
    <row r="24" spans="1:11" s="98" customFormat="1" ht="93" x14ac:dyDescent="0.35">
      <c r="A24" s="101" t="s">
        <v>1118</v>
      </c>
      <c r="B24" s="729"/>
      <c r="C24" s="99" t="s">
        <v>1909</v>
      </c>
      <c r="D24" s="99"/>
      <c r="E24" s="103"/>
      <c r="F24" s="103"/>
      <c r="G24" s="99"/>
      <c r="H24" s="103">
        <v>60000000</v>
      </c>
      <c r="I24" s="103"/>
      <c r="J24" s="103"/>
      <c r="K24" s="99" t="s">
        <v>1941</v>
      </c>
    </row>
    <row r="25" spans="1:11" s="98" customFormat="1" ht="93" x14ac:dyDescent="0.35">
      <c r="A25" s="101" t="s">
        <v>1121</v>
      </c>
      <c r="B25" s="729"/>
      <c r="C25" s="99" t="s">
        <v>1910</v>
      </c>
      <c r="D25" s="99"/>
      <c r="E25" s="103"/>
      <c r="F25" s="103"/>
      <c r="G25" s="99"/>
      <c r="H25" s="103">
        <v>60000000</v>
      </c>
      <c r="I25" s="103"/>
      <c r="J25" s="103"/>
      <c r="K25" s="99" t="s">
        <v>1941</v>
      </c>
    </row>
    <row r="26" spans="1:11" s="98" customFormat="1" ht="186.75" customHeight="1" x14ac:dyDescent="0.35">
      <c r="A26" s="101" t="s">
        <v>1123</v>
      </c>
      <c r="B26" s="729"/>
      <c r="C26" s="99" t="s">
        <v>1911</v>
      </c>
      <c r="D26" s="99"/>
      <c r="E26" s="103"/>
      <c r="F26" s="103"/>
      <c r="G26" s="99"/>
      <c r="H26" s="103">
        <v>100000000</v>
      </c>
      <c r="I26" s="103"/>
      <c r="J26" s="103"/>
      <c r="K26" s="99" t="s">
        <v>1942</v>
      </c>
    </row>
    <row r="27" spans="1:11" s="98" customFormat="1" ht="167.25" customHeight="1" x14ac:dyDescent="0.35">
      <c r="A27" s="101" t="s">
        <v>1125</v>
      </c>
      <c r="B27" s="729"/>
      <c r="C27" s="99" t="s">
        <v>1912</v>
      </c>
      <c r="D27" s="99"/>
      <c r="E27" s="103"/>
      <c r="F27" s="103"/>
      <c r="G27" s="99"/>
      <c r="H27" s="103">
        <v>100000000</v>
      </c>
      <c r="I27" s="103"/>
      <c r="J27" s="103"/>
      <c r="K27" s="99" t="s">
        <v>1943</v>
      </c>
    </row>
    <row r="28" spans="1:11" s="98" customFormat="1" ht="97.5" customHeight="1" x14ac:dyDescent="0.35">
      <c r="A28" s="101" t="s">
        <v>1128</v>
      </c>
      <c r="B28" s="729"/>
      <c r="C28" s="99" t="s">
        <v>1913</v>
      </c>
      <c r="D28" s="99"/>
      <c r="E28" s="103"/>
      <c r="F28" s="103"/>
      <c r="G28" s="99"/>
      <c r="H28" s="103">
        <v>50000000</v>
      </c>
      <c r="I28" s="103"/>
      <c r="J28" s="103"/>
      <c r="K28" s="99" t="s">
        <v>1944</v>
      </c>
    </row>
    <row r="29" spans="1:11" s="98" customFormat="1" ht="139.5" x14ac:dyDescent="0.35">
      <c r="A29" s="101" t="s">
        <v>1130</v>
      </c>
      <c r="B29" s="729"/>
      <c r="C29" s="99" t="s">
        <v>1914</v>
      </c>
      <c r="D29" s="99"/>
      <c r="E29" s="103"/>
      <c r="F29" s="103"/>
      <c r="G29" s="99"/>
      <c r="H29" s="103">
        <v>50000000</v>
      </c>
      <c r="I29" s="103"/>
      <c r="J29" s="103"/>
      <c r="K29" s="99" t="s">
        <v>1945</v>
      </c>
    </row>
    <row r="30" spans="1:11" s="98" customFormat="1" ht="93" x14ac:dyDescent="0.35">
      <c r="A30" s="101" t="s">
        <v>1132</v>
      </c>
      <c r="B30" s="729"/>
      <c r="C30" s="99" t="s">
        <v>1915</v>
      </c>
      <c r="D30" s="99"/>
      <c r="E30" s="103"/>
      <c r="F30" s="103"/>
      <c r="G30" s="99"/>
      <c r="H30" s="103">
        <v>150000000</v>
      </c>
      <c r="I30" s="103"/>
      <c r="J30" s="103"/>
      <c r="K30" s="99" t="s">
        <v>1946</v>
      </c>
    </row>
    <row r="31" spans="1:11" s="98" customFormat="1" ht="139.5" x14ac:dyDescent="0.35">
      <c r="A31" s="101" t="s">
        <v>1133</v>
      </c>
      <c r="B31" s="729"/>
      <c r="C31" s="99" t="s">
        <v>1916</v>
      </c>
      <c r="D31" s="99"/>
      <c r="E31" s="103"/>
      <c r="F31" s="103"/>
      <c r="G31" s="99"/>
      <c r="H31" s="103">
        <v>50000000</v>
      </c>
      <c r="I31" s="103"/>
      <c r="J31" s="103"/>
      <c r="K31" s="99" t="s">
        <v>1947</v>
      </c>
    </row>
    <row r="32" spans="1:11" s="98" customFormat="1" ht="213" customHeight="1" x14ac:dyDescent="0.35">
      <c r="A32" s="101" t="s">
        <v>1135</v>
      </c>
      <c r="B32" s="729"/>
      <c r="C32" s="99" t="s">
        <v>1917</v>
      </c>
      <c r="D32" s="99"/>
      <c r="E32" s="103"/>
      <c r="F32" s="103"/>
      <c r="G32" s="99"/>
      <c r="H32" s="103">
        <v>800000000</v>
      </c>
      <c r="I32" s="103"/>
      <c r="J32" s="103"/>
      <c r="K32" s="99" t="s">
        <v>1948</v>
      </c>
    </row>
    <row r="33" spans="1:11" s="98" customFormat="1" ht="116.25" x14ac:dyDescent="0.35">
      <c r="A33" s="101" t="s">
        <v>1138</v>
      </c>
      <c r="B33" s="729"/>
      <c r="C33" s="99" t="s">
        <v>1918</v>
      </c>
      <c r="D33" s="99"/>
      <c r="E33" s="103"/>
      <c r="F33" s="103"/>
      <c r="G33" s="99"/>
      <c r="H33" s="103">
        <v>60000000</v>
      </c>
      <c r="I33" s="103"/>
      <c r="J33" s="103"/>
      <c r="K33" s="99" t="s">
        <v>1949</v>
      </c>
    </row>
    <row r="34" spans="1:11" s="98" customFormat="1" ht="99" customHeight="1" x14ac:dyDescent="0.35">
      <c r="A34" s="101" t="s">
        <v>1140</v>
      </c>
      <c r="B34" s="729"/>
      <c r="C34" s="99" t="s">
        <v>1919</v>
      </c>
      <c r="D34" s="99"/>
      <c r="E34" s="103"/>
      <c r="F34" s="103"/>
      <c r="G34" s="99"/>
      <c r="H34" s="103">
        <v>150000000</v>
      </c>
      <c r="I34" s="103"/>
      <c r="J34" s="103"/>
      <c r="K34" s="99" t="s">
        <v>1940</v>
      </c>
    </row>
    <row r="35" spans="1:11" s="98" customFormat="1" ht="143.25" customHeight="1" x14ac:dyDescent="0.35">
      <c r="A35" s="101" t="s">
        <v>1141</v>
      </c>
      <c r="B35" s="729"/>
      <c r="C35" s="99" t="s">
        <v>1920</v>
      </c>
      <c r="D35" s="99"/>
      <c r="E35" s="103"/>
      <c r="F35" s="103"/>
      <c r="G35" s="99"/>
      <c r="H35" s="103">
        <v>45000000</v>
      </c>
      <c r="I35" s="103"/>
      <c r="J35" s="103"/>
      <c r="K35" s="99" t="s">
        <v>1950</v>
      </c>
    </row>
    <row r="36" spans="1:11" s="98" customFormat="1" ht="174.75" customHeight="1" x14ac:dyDescent="0.35">
      <c r="A36" s="101" t="s">
        <v>1142</v>
      </c>
      <c r="B36" s="729"/>
      <c r="C36" s="99" t="s">
        <v>1921</v>
      </c>
      <c r="D36" s="99"/>
      <c r="E36" s="103"/>
      <c r="F36" s="103"/>
      <c r="G36" s="99"/>
      <c r="H36" s="103">
        <v>45000000</v>
      </c>
      <c r="I36" s="103"/>
      <c r="J36" s="103"/>
      <c r="K36" s="99" t="s">
        <v>1951</v>
      </c>
    </row>
    <row r="37" spans="1:11" s="98" customFormat="1" ht="156" customHeight="1" x14ac:dyDescent="0.35">
      <c r="A37" s="101" t="s">
        <v>1143</v>
      </c>
      <c r="B37" s="729"/>
      <c r="C37" s="99" t="s">
        <v>1922</v>
      </c>
      <c r="D37" s="99"/>
      <c r="E37" s="103"/>
      <c r="F37" s="103"/>
      <c r="G37" s="99"/>
      <c r="H37" s="103">
        <v>100000000</v>
      </c>
      <c r="I37" s="103"/>
      <c r="J37" s="103"/>
      <c r="K37" s="99" t="s">
        <v>1952</v>
      </c>
    </row>
    <row r="38" spans="1:11" s="98" customFormat="1" ht="225.75" customHeight="1" x14ac:dyDescent="0.35">
      <c r="A38" s="101" t="s">
        <v>1145</v>
      </c>
      <c r="B38" s="729"/>
      <c r="C38" s="99" t="s">
        <v>1923</v>
      </c>
      <c r="D38" s="99"/>
      <c r="E38" s="103"/>
      <c r="F38" s="103"/>
      <c r="G38" s="99"/>
      <c r="H38" s="103">
        <v>150000000</v>
      </c>
      <c r="I38" s="103"/>
      <c r="J38" s="103"/>
      <c r="K38" s="99" t="s">
        <v>1953</v>
      </c>
    </row>
    <row r="39" spans="1:11" s="98" customFormat="1" ht="225.75" customHeight="1" x14ac:dyDescent="0.35">
      <c r="A39" s="101"/>
      <c r="B39" s="127" t="s">
        <v>3373</v>
      </c>
      <c r="C39" s="127"/>
      <c r="D39" s="127"/>
      <c r="E39" s="127"/>
      <c r="F39" s="127"/>
      <c r="G39" s="127"/>
      <c r="H39" s="127"/>
      <c r="I39" s="127"/>
      <c r="J39" s="128">
        <v>500000000</v>
      </c>
      <c r="K39" s="127"/>
    </row>
    <row r="40" spans="1:11" s="98" customFormat="1" ht="225.75" customHeight="1" x14ac:dyDescent="0.35">
      <c r="A40" s="101"/>
      <c r="B40" s="127" t="s">
        <v>3372</v>
      </c>
      <c r="C40" s="127"/>
      <c r="D40" s="127"/>
      <c r="E40" s="128"/>
      <c r="F40" s="128"/>
      <c r="G40" s="127"/>
      <c r="H40" s="128"/>
      <c r="I40" s="128"/>
      <c r="J40" s="128">
        <v>2000000000</v>
      </c>
      <c r="K40" s="127"/>
    </row>
    <row r="41" spans="1:11" ht="47.25" customHeight="1" x14ac:dyDescent="0.35">
      <c r="A41" s="101" t="s">
        <v>1146</v>
      </c>
      <c r="B41" s="99" t="s">
        <v>1425</v>
      </c>
      <c r="C41" s="100"/>
      <c r="D41" s="100"/>
      <c r="E41" s="18">
        <v>2104320016.0700002</v>
      </c>
      <c r="F41" s="18"/>
      <c r="G41" s="100"/>
      <c r="H41" s="18">
        <v>5000000000</v>
      </c>
      <c r="I41" s="18"/>
      <c r="J41" s="18"/>
      <c r="K41" s="100"/>
    </row>
    <row r="42" spans="1:11" ht="69.75" x14ac:dyDescent="0.35">
      <c r="A42" s="101" t="s">
        <v>1149</v>
      </c>
      <c r="B42" s="100" t="s">
        <v>2000</v>
      </c>
      <c r="C42" s="100"/>
      <c r="D42" s="100"/>
      <c r="E42" s="18"/>
      <c r="F42" s="18"/>
      <c r="G42" s="100"/>
      <c r="H42" s="18"/>
      <c r="I42" s="18">
        <v>700000000</v>
      </c>
      <c r="J42" s="18"/>
      <c r="K42" s="99" t="s">
        <v>2001</v>
      </c>
    </row>
    <row r="43" spans="1:11" ht="71.25" customHeight="1" x14ac:dyDescent="0.35">
      <c r="A43" s="101" t="s">
        <v>1151</v>
      </c>
      <c r="B43" s="99" t="s">
        <v>1192</v>
      </c>
      <c r="C43" s="100"/>
      <c r="D43" s="100"/>
      <c r="E43" s="18">
        <v>1500000000</v>
      </c>
      <c r="F43" s="18"/>
      <c r="G43" s="100"/>
      <c r="H43" s="18">
        <v>11500000000</v>
      </c>
      <c r="I43" s="18">
        <v>1000000000</v>
      </c>
      <c r="J43" s="18"/>
      <c r="K43" s="99" t="s">
        <v>1371</v>
      </c>
    </row>
    <row r="44" spans="1:11" s="98" customFormat="1" ht="93" x14ac:dyDescent="0.35">
      <c r="A44" s="101" t="s">
        <v>1153</v>
      </c>
      <c r="B44" s="100" t="s">
        <v>1459</v>
      </c>
      <c r="C44" s="99" t="s">
        <v>1460</v>
      </c>
      <c r="D44" s="100"/>
      <c r="E44" s="18">
        <v>100000000</v>
      </c>
      <c r="F44" s="18"/>
      <c r="G44" s="99"/>
      <c r="H44" s="18"/>
      <c r="I44" s="18"/>
      <c r="J44" s="18"/>
      <c r="K44" s="99" t="s">
        <v>1460</v>
      </c>
    </row>
    <row r="45" spans="1:11" s="98" customFormat="1" ht="71.25" customHeight="1" x14ac:dyDescent="0.35">
      <c r="A45" s="101" t="s">
        <v>1155</v>
      </c>
      <c r="B45" s="135" t="s">
        <v>1462</v>
      </c>
      <c r="C45" s="127" t="s">
        <v>1461</v>
      </c>
      <c r="D45" s="130"/>
      <c r="E45" s="131"/>
      <c r="F45" s="131"/>
      <c r="G45" s="127"/>
      <c r="H45" s="131"/>
      <c r="I45" s="131"/>
      <c r="J45" s="131">
        <v>500000000</v>
      </c>
      <c r="K45" s="130"/>
    </row>
    <row r="46" spans="1:11" s="98" customFormat="1" ht="71.25" customHeight="1" x14ac:dyDescent="0.35">
      <c r="A46" s="101" t="s">
        <v>1156</v>
      </c>
      <c r="B46" s="104" t="s">
        <v>1462</v>
      </c>
      <c r="C46" s="99" t="s">
        <v>1461</v>
      </c>
      <c r="D46" s="100"/>
      <c r="E46" s="18"/>
      <c r="F46" s="18"/>
      <c r="G46" s="99"/>
      <c r="H46" s="18"/>
      <c r="I46" s="18"/>
      <c r="J46" s="18"/>
      <c r="K46" s="100"/>
    </row>
    <row r="47" spans="1:11" s="98" customFormat="1" ht="90.75" customHeight="1" x14ac:dyDescent="0.35">
      <c r="A47" s="101" t="s">
        <v>1157</v>
      </c>
      <c r="B47" s="104" t="s">
        <v>1462</v>
      </c>
      <c r="C47" s="99" t="s">
        <v>1463</v>
      </c>
      <c r="D47" s="100"/>
      <c r="E47" s="18"/>
      <c r="F47" s="18"/>
      <c r="G47" s="99"/>
      <c r="H47" s="18"/>
      <c r="I47" s="18"/>
      <c r="J47" s="18"/>
      <c r="K47" s="100"/>
    </row>
    <row r="48" spans="1:11" s="98" customFormat="1" ht="103.5" customHeight="1" x14ac:dyDescent="0.35">
      <c r="A48" s="101" t="s">
        <v>1159</v>
      </c>
      <c r="B48" s="136" t="str">
        <f>B47</f>
        <v>//</v>
      </c>
      <c r="C48" s="127" t="s">
        <v>3376</v>
      </c>
      <c r="D48" s="130"/>
      <c r="E48" s="131"/>
      <c r="F48" s="131"/>
      <c r="G48" s="127"/>
      <c r="H48" s="131"/>
      <c r="I48" s="131"/>
      <c r="J48" s="131">
        <v>4500000000</v>
      </c>
      <c r="K48" s="130"/>
    </row>
    <row r="49" spans="1:12" s="98" customFormat="1" ht="57.75" customHeight="1" x14ac:dyDescent="0.35">
      <c r="A49" s="101"/>
      <c r="B49" s="136"/>
      <c r="C49" s="127" t="s">
        <v>3377</v>
      </c>
      <c r="D49" s="130"/>
      <c r="E49" s="131"/>
      <c r="F49" s="131"/>
      <c r="G49" s="127"/>
      <c r="H49" s="131"/>
      <c r="I49" s="131"/>
      <c r="J49" s="131">
        <v>500000000</v>
      </c>
      <c r="K49" s="130"/>
    </row>
    <row r="50" spans="1:12" s="98" customFormat="1" ht="57.75" customHeight="1" x14ac:dyDescent="0.35">
      <c r="A50" s="101"/>
      <c r="B50" s="136"/>
      <c r="C50" s="127" t="s">
        <v>3379</v>
      </c>
      <c r="D50" s="130"/>
      <c r="E50" s="131"/>
      <c r="F50" s="131"/>
      <c r="G50" s="127"/>
      <c r="H50" s="131"/>
      <c r="I50" s="131"/>
      <c r="J50" s="131">
        <v>100000000</v>
      </c>
      <c r="K50" s="130"/>
    </row>
    <row r="51" spans="1:12" s="98" customFormat="1" ht="57.75" customHeight="1" x14ac:dyDescent="0.35">
      <c r="A51" s="101"/>
      <c r="B51" s="136"/>
      <c r="C51" s="127" t="s">
        <v>3380</v>
      </c>
      <c r="D51" s="130"/>
      <c r="E51" s="131"/>
      <c r="F51" s="131"/>
      <c r="G51" s="127"/>
      <c r="H51" s="131"/>
      <c r="I51" s="131"/>
      <c r="J51" s="131">
        <v>500000000</v>
      </c>
      <c r="K51" s="130"/>
    </row>
    <row r="52" spans="1:12" s="98" customFormat="1" ht="74.25" customHeight="1" x14ac:dyDescent="0.35">
      <c r="A52" s="101"/>
      <c r="B52" s="136"/>
      <c r="C52" s="127" t="s">
        <v>3360</v>
      </c>
      <c r="D52" s="130"/>
      <c r="E52" s="131"/>
      <c r="F52" s="131"/>
      <c r="G52" s="127"/>
      <c r="H52" s="131"/>
      <c r="I52" s="131"/>
      <c r="J52" s="131">
        <v>500000000</v>
      </c>
      <c r="K52" s="130"/>
    </row>
    <row r="53" spans="1:12" s="98" customFormat="1" ht="57.75" customHeight="1" x14ac:dyDescent="0.35">
      <c r="A53" s="101"/>
      <c r="B53" s="136"/>
      <c r="C53" s="127"/>
      <c r="D53" s="130"/>
      <c r="E53" s="131"/>
      <c r="F53" s="131"/>
      <c r="G53" s="127"/>
      <c r="H53" s="131"/>
      <c r="I53" s="131"/>
      <c r="J53" s="131"/>
      <c r="K53" s="130"/>
    </row>
    <row r="54" spans="1:12" s="98" customFormat="1" ht="57.75" customHeight="1" x14ac:dyDescent="0.35">
      <c r="A54" s="101"/>
      <c r="B54" s="136"/>
      <c r="C54" s="127"/>
      <c r="D54" s="130"/>
      <c r="E54" s="131"/>
      <c r="F54" s="131"/>
      <c r="G54" s="127"/>
      <c r="H54" s="131"/>
      <c r="I54" s="131"/>
      <c r="J54" s="131"/>
      <c r="K54" s="130"/>
    </row>
    <row r="55" spans="1:12" ht="35.25" customHeight="1" x14ac:dyDescent="0.35">
      <c r="A55" s="101" t="s">
        <v>1162</v>
      </c>
      <c r="B55" s="100" t="s">
        <v>1073</v>
      </c>
      <c r="C55" s="100"/>
      <c r="D55" s="100"/>
      <c r="E55" s="18"/>
      <c r="F55" s="18"/>
      <c r="G55" s="100"/>
      <c r="H55" s="18"/>
      <c r="I55" s="18">
        <v>100000000</v>
      </c>
      <c r="J55" s="18"/>
      <c r="K55" s="100"/>
    </row>
    <row r="56" spans="1:12" ht="32.25" customHeight="1" x14ac:dyDescent="0.35">
      <c r="A56" s="101" t="s">
        <v>1165</v>
      </c>
      <c r="B56" s="100" t="s">
        <v>1222</v>
      </c>
      <c r="C56" s="100"/>
      <c r="D56" s="100"/>
      <c r="E56" s="18"/>
      <c r="F56" s="18"/>
      <c r="G56" s="100"/>
      <c r="H56" s="18"/>
      <c r="I56" s="18">
        <v>12000000</v>
      </c>
      <c r="J56" s="18"/>
      <c r="K56" s="100"/>
    </row>
    <row r="57" spans="1:12" ht="33" customHeight="1" x14ac:dyDescent="0.35">
      <c r="A57" s="101" t="s">
        <v>1167</v>
      </c>
      <c r="B57" s="100" t="s">
        <v>1244</v>
      </c>
      <c r="C57" s="100" t="s">
        <v>1245</v>
      </c>
      <c r="D57" s="100"/>
      <c r="E57" s="18"/>
      <c r="F57" s="18"/>
      <c r="G57" s="100"/>
      <c r="H57" s="18">
        <v>1500000000</v>
      </c>
      <c r="I57" s="18"/>
      <c r="J57" s="18"/>
      <c r="K57" s="100" t="s">
        <v>1246</v>
      </c>
    </row>
    <row r="58" spans="1:12" ht="50.25" customHeight="1" x14ac:dyDescent="0.35">
      <c r="A58" s="101" t="s">
        <v>1170</v>
      </c>
      <c r="B58" s="99" t="s">
        <v>2493</v>
      </c>
      <c r="C58" s="100"/>
      <c r="D58" s="100"/>
      <c r="E58" s="18"/>
      <c r="F58" s="18"/>
      <c r="G58" s="100"/>
      <c r="H58" s="18"/>
      <c r="I58" s="18">
        <v>20000000</v>
      </c>
      <c r="J58" s="18"/>
      <c r="K58" s="99"/>
    </row>
    <row r="59" spans="1:12" ht="45" customHeight="1" x14ac:dyDescent="0.35">
      <c r="A59" s="101" t="s">
        <v>1171</v>
      </c>
      <c r="B59" s="100" t="s">
        <v>1334</v>
      </c>
      <c r="C59" s="100"/>
      <c r="D59" s="100"/>
      <c r="E59" s="18"/>
      <c r="F59" s="18"/>
      <c r="G59" s="100"/>
      <c r="H59" s="18"/>
      <c r="I59" s="18">
        <v>100000000</v>
      </c>
      <c r="J59" s="18"/>
      <c r="K59" s="100"/>
      <c r="L59" s="94">
        <v>0</v>
      </c>
    </row>
    <row r="60" spans="1:12" ht="69" customHeight="1" x14ac:dyDescent="0.35">
      <c r="A60" s="101" t="s">
        <v>1172</v>
      </c>
      <c r="B60" s="99" t="s">
        <v>1369</v>
      </c>
      <c r="C60" s="99" t="s">
        <v>1370</v>
      </c>
      <c r="D60" s="100"/>
      <c r="E60" s="18"/>
      <c r="F60" s="18"/>
      <c r="G60" s="100"/>
      <c r="H60" s="18">
        <v>2000000000</v>
      </c>
      <c r="I60" s="18"/>
      <c r="J60" s="18"/>
      <c r="K60" s="100"/>
    </row>
    <row r="61" spans="1:12" ht="60" customHeight="1" x14ac:dyDescent="0.35">
      <c r="A61" s="101" t="s">
        <v>1174</v>
      </c>
      <c r="B61" s="100" t="s">
        <v>2002</v>
      </c>
      <c r="C61" s="100"/>
      <c r="D61" s="100"/>
      <c r="E61" s="18"/>
      <c r="F61" s="18"/>
      <c r="G61" s="100"/>
      <c r="H61" s="18"/>
      <c r="I61" s="18"/>
      <c r="J61" s="18"/>
      <c r="K61" s="99"/>
    </row>
    <row r="62" spans="1:12" ht="75.75" customHeight="1" x14ac:dyDescent="0.35">
      <c r="A62" s="101" t="s">
        <v>1176</v>
      </c>
      <c r="B62" s="100" t="s">
        <v>1459</v>
      </c>
      <c r="C62" s="99" t="s">
        <v>1460</v>
      </c>
      <c r="D62" s="100"/>
      <c r="E62" s="18">
        <v>100000000</v>
      </c>
      <c r="F62" s="18"/>
      <c r="G62" s="100"/>
      <c r="H62" s="18"/>
      <c r="I62" s="18"/>
      <c r="J62" s="18"/>
      <c r="K62" s="99" t="s">
        <v>1460</v>
      </c>
    </row>
    <row r="63" spans="1:12" ht="62.25" customHeight="1" x14ac:dyDescent="0.35">
      <c r="A63" s="101" t="s">
        <v>1178</v>
      </c>
      <c r="B63" s="104" t="s">
        <v>1462</v>
      </c>
      <c r="C63" s="99" t="s">
        <v>1461</v>
      </c>
      <c r="D63" s="100"/>
      <c r="E63" s="18"/>
      <c r="F63" s="18"/>
      <c r="G63" s="100"/>
      <c r="H63" s="18"/>
      <c r="I63" s="18"/>
      <c r="J63" s="18"/>
      <c r="K63" s="100"/>
    </row>
    <row r="64" spans="1:12" ht="63.75" customHeight="1" x14ac:dyDescent="0.35">
      <c r="A64" s="101" t="s">
        <v>1179</v>
      </c>
      <c r="B64" s="104" t="s">
        <v>1462</v>
      </c>
      <c r="C64" s="99" t="s">
        <v>1461</v>
      </c>
      <c r="D64" s="100"/>
      <c r="E64" s="18"/>
      <c r="F64" s="18"/>
      <c r="G64" s="100"/>
      <c r="H64" s="18"/>
      <c r="I64" s="18"/>
      <c r="J64" s="18"/>
      <c r="K64" s="100"/>
    </row>
    <row r="65" spans="1:11" ht="89.25" customHeight="1" x14ac:dyDescent="0.35">
      <c r="A65" s="101" t="s">
        <v>1180</v>
      </c>
      <c r="B65" s="104" t="s">
        <v>1462</v>
      </c>
      <c r="C65" s="99" t="s">
        <v>1463</v>
      </c>
      <c r="D65" s="100"/>
      <c r="E65" s="18"/>
      <c r="F65" s="18"/>
      <c r="G65" s="100"/>
      <c r="H65" s="18"/>
      <c r="I65" s="18"/>
      <c r="J65" s="18"/>
      <c r="K65" s="100"/>
    </row>
    <row r="66" spans="1:11" ht="96" customHeight="1" x14ac:dyDescent="0.35">
      <c r="A66" s="101" t="s">
        <v>1182</v>
      </c>
      <c r="B66" s="105" t="str">
        <f>B65</f>
        <v>//</v>
      </c>
      <c r="C66" s="99" t="s">
        <v>1464</v>
      </c>
      <c r="D66" s="100"/>
      <c r="E66" s="18"/>
      <c r="F66" s="18"/>
      <c r="G66" s="100"/>
      <c r="H66" s="18"/>
      <c r="I66" s="18"/>
      <c r="J66" s="18"/>
      <c r="K66" s="100"/>
    </row>
    <row r="67" spans="1:11" ht="76.5" hidden="1" customHeight="1" x14ac:dyDescent="0.35">
      <c r="A67" s="101" t="s">
        <v>1184</v>
      </c>
      <c r="B67" s="106" t="s">
        <v>2472</v>
      </c>
      <c r="C67" s="100"/>
      <c r="D67" s="100"/>
      <c r="E67" s="18"/>
      <c r="F67" s="18"/>
      <c r="G67" s="100"/>
      <c r="H67" s="18"/>
      <c r="I67" s="107"/>
      <c r="J67" s="18"/>
      <c r="K67" s="99" t="s">
        <v>2473</v>
      </c>
    </row>
    <row r="68" spans="1:11" ht="73.5" hidden="1" customHeight="1" x14ac:dyDescent="0.35">
      <c r="A68" s="101" t="s">
        <v>1186</v>
      </c>
      <c r="B68" s="106" t="s">
        <v>2476</v>
      </c>
      <c r="C68" s="100"/>
      <c r="D68" s="100"/>
      <c r="E68" s="18"/>
      <c r="F68" s="18"/>
      <c r="G68" s="100"/>
      <c r="H68" s="18"/>
      <c r="I68" s="107"/>
      <c r="J68" s="18"/>
      <c r="K68" s="99" t="s">
        <v>2473</v>
      </c>
    </row>
    <row r="69" spans="1:11" ht="61.5" hidden="1" customHeight="1" x14ac:dyDescent="0.35">
      <c r="A69" s="101" t="s">
        <v>1335</v>
      </c>
      <c r="B69" s="106" t="s">
        <v>2477</v>
      </c>
      <c r="C69" s="100"/>
      <c r="D69" s="100"/>
      <c r="E69" s="18"/>
      <c r="F69" s="18"/>
      <c r="G69" s="100"/>
      <c r="H69" s="18"/>
      <c r="I69" s="107"/>
      <c r="J69" s="18"/>
      <c r="K69" s="99" t="s">
        <v>2473</v>
      </c>
    </row>
    <row r="70" spans="1:11" ht="58.5" hidden="1" customHeight="1" x14ac:dyDescent="0.35">
      <c r="A70" s="101" t="s">
        <v>2494</v>
      </c>
      <c r="B70" s="106" t="s">
        <v>1378</v>
      </c>
      <c r="C70" s="100"/>
      <c r="D70" s="100"/>
      <c r="E70" s="18"/>
      <c r="F70" s="18"/>
      <c r="G70" s="100"/>
      <c r="H70" s="18"/>
      <c r="I70" s="107"/>
      <c r="J70" s="18"/>
      <c r="K70" s="99" t="s">
        <v>2471</v>
      </c>
    </row>
    <row r="71" spans="1:11" ht="69" hidden="1" customHeight="1" x14ac:dyDescent="0.35">
      <c r="A71" s="101" t="s">
        <v>2495</v>
      </c>
      <c r="B71" s="106" t="s">
        <v>2475</v>
      </c>
      <c r="C71" s="100"/>
      <c r="D71" s="100"/>
      <c r="E71" s="18"/>
      <c r="F71" s="18"/>
      <c r="G71" s="100"/>
      <c r="H71" s="18"/>
      <c r="I71" s="107"/>
      <c r="J71" s="18"/>
      <c r="K71" s="99" t="s">
        <v>2473</v>
      </c>
    </row>
    <row r="72" spans="1:11" ht="71.25" hidden="1" customHeight="1" x14ac:dyDescent="0.35">
      <c r="A72" s="101" t="s">
        <v>2496</v>
      </c>
      <c r="B72" s="106" t="s">
        <v>2474</v>
      </c>
      <c r="C72" s="100"/>
      <c r="D72" s="100"/>
      <c r="E72" s="18"/>
      <c r="F72" s="18"/>
      <c r="G72" s="100"/>
      <c r="H72" s="18"/>
      <c r="I72" s="107"/>
      <c r="J72" s="18"/>
      <c r="K72" s="99" t="s">
        <v>2473</v>
      </c>
    </row>
    <row r="73" spans="1:11" ht="69.75" x14ac:dyDescent="0.35">
      <c r="A73" s="101" t="s">
        <v>2497</v>
      </c>
      <c r="B73" s="106" t="s">
        <v>2478</v>
      </c>
      <c r="C73" s="100"/>
      <c r="D73" s="100"/>
      <c r="E73" s="18"/>
      <c r="F73" s="18"/>
      <c r="G73" s="100"/>
      <c r="H73" s="18"/>
      <c r="I73" s="107"/>
      <c r="J73" s="18"/>
      <c r="K73" s="99" t="s">
        <v>2473</v>
      </c>
    </row>
    <row r="74" spans="1:11" ht="56.25" customHeight="1" x14ac:dyDescent="0.35">
      <c r="A74" s="101"/>
      <c r="B74" s="108" t="s">
        <v>2530</v>
      </c>
      <c r="C74" s="100"/>
      <c r="D74" s="100"/>
      <c r="E74" s="18"/>
      <c r="F74" s="18"/>
      <c r="G74" s="100"/>
      <c r="H74" s="18"/>
      <c r="I74" s="107"/>
      <c r="J74" s="18"/>
      <c r="K74" s="99"/>
    </row>
    <row r="75" spans="1:11" ht="56.25" customHeight="1" x14ac:dyDescent="0.35">
      <c r="A75" s="101"/>
      <c r="B75" s="106" t="s">
        <v>75</v>
      </c>
      <c r="C75" s="100"/>
      <c r="D75" s="100"/>
      <c r="E75" s="18"/>
      <c r="F75" s="18"/>
      <c r="G75" s="100"/>
      <c r="H75" s="18"/>
      <c r="I75" s="107"/>
      <c r="J75" s="18"/>
      <c r="K75" s="99" t="s">
        <v>2531</v>
      </c>
    </row>
    <row r="76" spans="1:11" ht="74.25" customHeight="1" x14ac:dyDescent="0.35">
      <c r="A76" s="101"/>
      <c r="B76" s="113" t="s">
        <v>78</v>
      </c>
      <c r="C76" s="100"/>
      <c r="D76" s="100"/>
      <c r="E76" s="18"/>
      <c r="F76" s="18"/>
      <c r="G76" s="100"/>
      <c r="H76" s="18"/>
      <c r="I76" s="107"/>
      <c r="J76" s="18"/>
      <c r="K76" s="99" t="s">
        <v>2531</v>
      </c>
    </row>
    <row r="77" spans="1:11" ht="56.25" customHeight="1" x14ac:dyDescent="0.35">
      <c r="A77" s="129"/>
      <c r="B77" s="134" t="s">
        <v>3375</v>
      </c>
      <c r="C77" s="130"/>
      <c r="D77" s="130"/>
      <c r="E77" s="131"/>
      <c r="F77" s="131"/>
      <c r="G77" s="130"/>
      <c r="H77" s="131"/>
      <c r="I77" s="132"/>
      <c r="J77" s="131"/>
      <c r="K77" s="127"/>
    </row>
    <row r="78" spans="1:11" ht="56.25" customHeight="1" x14ac:dyDescent="0.35">
      <c r="A78" s="129"/>
      <c r="B78" s="133" t="s">
        <v>3374</v>
      </c>
      <c r="C78" s="130"/>
      <c r="D78" s="130"/>
      <c r="E78" s="131"/>
      <c r="F78" s="131"/>
      <c r="G78" s="130"/>
      <c r="H78" s="131"/>
      <c r="I78" s="132"/>
      <c r="J78" s="131">
        <v>2000000000</v>
      </c>
      <c r="K78" s="127"/>
    </row>
    <row r="79" spans="1:11" ht="56.25" customHeight="1" x14ac:dyDescent="0.35">
      <c r="A79" s="129"/>
      <c r="B79" s="133"/>
      <c r="C79" s="130"/>
      <c r="D79" s="130"/>
      <c r="E79" s="131"/>
      <c r="F79" s="131"/>
      <c r="G79" s="130"/>
      <c r="H79" s="131"/>
      <c r="I79" s="132"/>
      <c r="J79" s="131"/>
      <c r="K79" s="127"/>
    </row>
    <row r="80" spans="1:11" ht="56.25" customHeight="1" x14ac:dyDescent="0.35">
      <c r="A80" s="129"/>
      <c r="B80" s="137" t="s">
        <v>3378</v>
      </c>
      <c r="C80" s="130"/>
      <c r="D80" s="130"/>
      <c r="E80" s="131"/>
      <c r="F80" s="131"/>
      <c r="G80" s="130"/>
      <c r="H80" s="131"/>
      <c r="I80" s="132"/>
      <c r="J80" s="131"/>
      <c r="K80" s="127"/>
    </row>
    <row r="81" spans="1:12" ht="56.25" customHeight="1" x14ac:dyDescent="0.35">
      <c r="A81" s="129"/>
      <c r="B81" s="133" t="s">
        <v>3383</v>
      </c>
      <c r="C81" s="130"/>
      <c r="D81" s="130"/>
      <c r="E81" s="131"/>
      <c r="F81" s="131"/>
      <c r="G81" s="130"/>
      <c r="H81" s="131"/>
      <c r="I81" s="132"/>
      <c r="J81" s="131">
        <v>800000000</v>
      </c>
      <c r="K81" s="127"/>
    </row>
    <row r="82" spans="1:12" ht="56.25" customHeight="1" x14ac:dyDescent="0.35">
      <c r="A82" s="129"/>
      <c r="B82" s="133" t="s">
        <v>3384</v>
      </c>
      <c r="C82" s="130"/>
      <c r="D82" s="130"/>
      <c r="E82" s="131"/>
      <c r="F82" s="131"/>
      <c r="G82" s="130"/>
      <c r="H82" s="131"/>
      <c r="I82" s="132"/>
      <c r="J82" s="131">
        <v>1300000000</v>
      </c>
      <c r="K82" s="127"/>
    </row>
    <row r="83" spans="1:12" ht="56.25" customHeight="1" x14ac:dyDescent="0.35">
      <c r="A83" s="129"/>
      <c r="B83" s="133" t="s">
        <v>3385</v>
      </c>
      <c r="C83" s="130"/>
      <c r="D83" s="130"/>
      <c r="E83" s="131"/>
      <c r="F83" s="131"/>
      <c r="G83" s="130"/>
      <c r="H83" s="131"/>
      <c r="I83" s="132"/>
      <c r="J83" s="131">
        <v>500000000</v>
      </c>
      <c r="K83" s="127"/>
    </row>
    <row r="84" spans="1:12" ht="56.25" customHeight="1" x14ac:dyDescent="0.35">
      <c r="A84" s="129"/>
      <c r="B84" s="133" t="s">
        <v>3387</v>
      </c>
      <c r="C84" s="130"/>
      <c r="D84" s="130"/>
      <c r="E84" s="131"/>
      <c r="F84" s="131"/>
      <c r="G84" s="130"/>
      <c r="H84" s="131"/>
      <c r="I84" s="132"/>
      <c r="J84" s="131">
        <v>100000000</v>
      </c>
      <c r="K84" s="127"/>
    </row>
    <row r="85" spans="1:12" ht="56.25" customHeight="1" x14ac:dyDescent="0.35">
      <c r="A85" s="129"/>
      <c r="B85" s="133" t="s">
        <v>852</v>
      </c>
      <c r="C85" s="130"/>
      <c r="D85" s="130"/>
      <c r="E85" s="131"/>
      <c r="F85" s="131"/>
      <c r="G85" s="130"/>
      <c r="H85" s="131"/>
      <c r="I85" s="132"/>
      <c r="J85" s="131">
        <v>250000000</v>
      </c>
      <c r="K85" s="127"/>
      <c r="L85" s="139"/>
    </row>
    <row r="86" spans="1:12" ht="56.25" customHeight="1" x14ac:dyDescent="0.35">
      <c r="A86" s="129"/>
      <c r="B86" s="133" t="s">
        <v>3388</v>
      </c>
      <c r="C86" s="130"/>
      <c r="D86" s="130"/>
      <c r="E86" s="131"/>
      <c r="F86" s="131"/>
      <c r="G86" s="130"/>
      <c r="H86" s="131"/>
      <c r="I86" s="132"/>
      <c r="J86" s="131">
        <v>250000000</v>
      </c>
      <c r="K86" s="127"/>
      <c r="L86" s="139"/>
    </row>
    <row r="87" spans="1:12" ht="56.25" customHeight="1" x14ac:dyDescent="0.35">
      <c r="A87" s="129"/>
      <c r="B87" s="133"/>
      <c r="C87" s="130"/>
      <c r="D87" s="130"/>
      <c r="E87" s="131"/>
      <c r="F87" s="131"/>
      <c r="G87" s="130"/>
      <c r="H87" s="131"/>
      <c r="I87" s="132"/>
      <c r="J87" s="131"/>
      <c r="K87" s="127"/>
      <c r="L87" s="139"/>
    </row>
    <row r="88" spans="1:12" ht="56.25" customHeight="1" x14ac:dyDescent="0.35">
      <c r="A88" s="129"/>
      <c r="B88" s="137" t="s">
        <v>3381</v>
      </c>
      <c r="C88" s="130"/>
      <c r="D88" s="130"/>
      <c r="E88" s="131"/>
      <c r="F88" s="131"/>
      <c r="G88" s="130"/>
      <c r="H88" s="131"/>
      <c r="I88" s="132"/>
      <c r="J88" s="131"/>
      <c r="K88" s="127"/>
    </row>
    <row r="89" spans="1:12" ht="56.25" customHeight="1" x14ac:dyDescent="0.35">
      <c r="A89" s="129"/>
      <c r="B89" s="133" t="s">
        <v>3382</v>
      </c>
      <c r="C89" s="130"/>
      <c r="D89" s="130"/>
      <c r="E89" s="131"/>
      <c r="F89" s="131"/>
      <c r="G89" s="130"/>
      <c r="H89" s="131"/>
      <c r="I89" s="132"/>
      <c r="J89" s="131">
        <v>700000000</v>
      </c>
      <c r="K89" s="127"/>
    </row>
    <row r="90" spans="1:12" ht="56.25" customHeight="1" x14ac:dyDescent="0.35">
      <c r="A90" s="129"/>
      <c r="B90" s="133" t="s">
        <v>3386</v>
      </c>
      <c r="C90" s="130"/>
      <c r="D90" s="130"/>
      <c r="E90" s="131"/>
      <c r="F90" s="131"/>
      <c r="G90" s="130"/>
      <c r="H90" s="131"/>
      <c r="I90" s="132"/>
      <c r="J90" s="131"/>
      <c r="K90" s="127"/>
    </row>
    <row r="91" spans="1:12" ht="56.25" customHeight="1" x14ac:dyDescent="0.35">
      <c r="A91" s="129"/>
      <c r="B91" s="133"/>
      <c r="C91" s="130"/>
      <c r="D91" s="130"/>
      <c r="E91" s="131"/>
      <c r="F91" s="131"/>
      <c r="G91" s="130"/>
      <c r="H91" s="131"/>
      <c r="I91" s="132"/>
      <c r="J91" s="131"/>
      <c r="K91" s="127"/>
    </row>
    <row r="92" spans="1:12" ht="56.25" customHeight="1" x14ac:dyDescent="0.35">
      <c r="A92" s="129"/>
      <c r="B92" s="133"/>
      <c r="C92" s="130"/>
      <c r="D92" s="130"/>
      <c r="E92" s="131"/>
      <c r="F92" s="131"/>
      <c r="G92" s="130"/>
      <c r="H92" s="131"/>
      <c r="I92" s="132"/>
      <c r="J92" s="131"/>
      <c r="K92" s="127"/>
    </row>
    <row r="93" spans="1:12" ht="56.25" customHeight="1" x14ac:dyDescent="0.35">
      <c r="A93" s="129"/>
      <c r="B93" s="133"/>
      <c r="C93" s="130"/>
      <c r="D93" s="130"/>
      <c r="E93" s="131"/>
      <c r="F93" s="131"/>
      <c r="G93" s="130"/>
      <c r="H93" s="131"/>
      <c r="I93" s="132"/>
      <c r="J93" s="131"/>
      <c r="K93" s="127"/>
    </row>
    <row r="94" spans="1:12" ht="63.75" customHeight="1" x14ac:dyDescent="0.35">
      <c r="A94" s="100"/>
      <c r="B94" s="102" t="s">
        <v>1087</v>
      </c>
      <c r="C94" s="100"/>
      <c r="D94" s="100"/>
      <c r="E94" s="18"/>
      <c r="F94" s="18"/>
      <c r="G94" s="100"/>
      <c r="H94" s="18"/>
      <c r="I94" s="107">
        <f>SUM(I4:I73)</f>
        <v>2932000000</v>
      </c>
      <c r="J94" s="107">
        <f>SUM(J5:J93)</f>
        <v>15000000000</v>
      </c>
      <c r="K94" s="99"/>
    </row>
    <row r="95" spans="1:12" x14ac:dyDescent="0.35">
      <c r="J95" s="17">
        <v>23100000000</v>
      </c>
      <c r="K95" s="138">
        <f>J94+J95</f>
        <v>38100000000</v>
      </c>
    </row>
    <row r="96" spans="1:12" x14ac:dyDescent="0.35">
      <c r="B96" s="109" t="s">
        <v>1075</v>
      </c>
      <c r="C96" s="110">
        <v>5000000000</v>
      </c>
      <c r="D96" s="109"/>
      <c r="E96" s="109"/>
      <c r="F96" s="109"/>
      <c r="G96" s="111"/>
      <c r="H96" s="111" t="s">
        <v>2003</v>
      </c>
      <c r="I96" s="111">
        <f>C96-I94</f>
        <v>2068000000</v>
      </c>
    </row>
  </sheetData>
  <mergeCells count="2">
    <mergeCell ref="B7:B38"/>
    <mergeCell ref="A2:K2"/>
  </mergeCells>
  <phoneticPr fontId="3" type="noConversion"/>
  <pageMargins left="0.44" right="0.70866141732283505" top="0.74803149606299202" bottom="0.74803149606299202" header="0.31496062992126" footer="0.31496062992126"/>
  <pageSetup paperSize="9" scale="43" orientation="landscape" r:id="rId1"/>
  <headerFooter scaleWithDoc="0">
    <oddHeader>&amp;A</oddHeader>
    <oddFooter>&amp;C1</oddFooter>
  </headerFooter>
  <rowBreaks count="7" manualBreakCount="7">
    <brk id="8" max="10" man="1"/>
    <brk id="11" max="10" man="1"/>
    <brk id="17" max="10" man="1"/>
    <brk id="23" max="10" man="1"/>
    <brk id="35" max="10" man="1"/>
    <brk id="39" max="10" man="1"/>
    <brk id="54"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X3196"/>
  <sheetViews>
    <sheetView showGridLines="0" view="pageBreakPreview" topLeftCell="A2382" zoomScale="50" zoomScaleNormal="70" zoomScaleSheetLayoutView="50" workbookViewId="0">
      <selection activeCell="AB2406" sqref="AB2406"/>
    </sheetView>
  </sheetViews>
  <sheetFormatPr defaultRowHeight="23.25" x14ac:dyDescent="0.35"/>
  <cols>
    <col min="1" max="1" width="27" style="271" customWidth="1"/>
    <col min="2" max="2" width="102" style="463" customWidth="1"/>
    <col min="3" max="3" width="0.7109375" style="454" hidden="1" customWidth="1"/>
    <col min="4" max="4" width="10.85546875" style="455" hidden="1" customWidth="1"/>
    <col min="5" max="5" width="22.42578125" style="288" hidden="1" customWidth="1"/>
    <col min="6" max="6" width="32" style="455" hidden="1" customWidth="1"/>
    <col min="7" max="7" width="16.5703125" style="288" hidden="1" customWidth="1"/>
    <col min="8" max="8" width="33.7109375" style="455" hidden="1" customWidth="1"/>
    <col min="9" max="9" width="28.7109375" style="288" hidden="1" customWidth="1"/>
    <col min="10" max="10" width="29.7109375" style="346" customWidth="1"/>
    <col min="11" max="11" width="30.28515625" style="725" customWidth="1"/>
    <col min="12" max="12" width="30" style="726" customWidth="1"/>
    <col min="13" max="13" width="29.140625" style="726" hidden="1" customWidth="1"/>
    <col min="14" max="14" width="39.7109375" style="346" hidden="1" customWidth="1"/>
    <col min="15" max="15" width="28" style="332" hidden="1" customWidth="1"/>
    <col min="16" max="16" width="40.85546875" style="231" hidden="1" customWidth="1"/>
    <col min="17" max="21" width="9.140625" style="229" hidden="1" customWidth="1"/>
    <col min="22" max="16384" width="9.140625" style="229"/>
  </cols>
  <sheetData>
    <row r="1" spans="1:16" ht="38.25" customHeight="1" x14ac:dyDescent="0.35">
      <c r="A1" s="286"/>
      <c r="B1" s="342" t="s">
        <v>4867</v>
      </c>
      <c r="C1" s="342"/>
      <c r="D1" s="342"/>
      <c r="E1" s="342"/>
      <c r="F1" s="342"/>
      <c r="G1" s="342"/>
      <c r="H1" s="342"/>
      <c r="I1" s="342"/>
      <c r="J1" s="342"/>
      <c r="K1" s="458"/>
      <c r="L1" s="704"/>
      <c r="M1" s="704"/>
      <c r="N1" s="341"/>
      <c r="O1" s="230"/>
    </row>
    <row r="2" spans="1:16" ht="36" customHeight="1" x14ac:dyDescent="0.35">
      <c r="A2" s="401" t="s">
        <v>4717</v>
      </c>
      <c r="B2" s="401"/>
      <c r="C2" s="401"/>
      <c r="D2" s="401"/>
      <c r="E2" s="401"/>
      <c r="F2" s="401"/>
      <c r="G2" s="401"/>
      <c r="H2" s="401"/>
      <c r="I2" s="401"/>
      <c r="J2" s="401"/>
      <c r="K2" s="458"/>
      <c r="L2" s="704"/>
      <c r="M2" s="704"/>
      <c r="N2" s="401"/>
      <c r="O2" s="401"/>
    </row>
    <row r="3" spans="1:16" s="235" customFormat="1" ht="97.5" customHeight="1" x14ac:dyDescent="0.35">
      <c r="A3" s="187" t="s">
        <v>1007</v>
      </c>
      <c r="B3" s="360" t="s">
        <v>50</v>
      </c>
      <c r="C3" s="175" t="s">
        <v>898</v>
      </c>
      <c r="D3" s="188" t="s">
        <v>52</v>
      </c>
      <c r="E3" s="232" t="s">
        <v>49</v>
      </c>
      <c r="F3" s="188" t="s">
        <v>1</v>
      </c>
      <c r="G3" s="187"/>
      <c r="H3" s="175" t="s">
        <v>51</v>
      </c>
      <c r="I3" s="187" t="s">
        <v>2</v>
      </c>
      <c r="J3" s="189" t="s">
        <v>4862</v>
      </c>
      <c r="K3" s="189" t="s">
        <v>5140</v>
      </c>
      <c r="L3" s="623" t="s">
        <v>5132</v>
      </c>
      <c r="M3" s="623" t="s">
        <v>5132</v>
      </c>
      <c r="N3" s="623" t="s">
        <v>1006</v>
      </c>
      <c r="O3" s="251" t="s">
        <v>50</v>
      </c>
      <c r="P3" s="234"/>
    </row>
    <row r="4" spans="1:16" ht="30.75" customHeight="1" x14ac:dyDescent="0.35">
      <c r="A4" s="479" t="s">
        <v>2624</v>
      </c>
      <c r="B4" s="480" t="s">
        <v>2533</v>
      </c>
      <c r="C4" s="165" t="s">
        <v>5</v>
      </c>
      <c r="D4" s="141" t="s">
        <v>4</v>
      </c>
      <c r="E4" s="237" t="s">
        <v>27</v>
      </c>
      <c r="F4" s="163" t="s">
        <v>82</v>
      </c>
      <c r="G4" s="238"/>
      <c r="H4" s="141">
        <v>70111</v>
      </c>
      <c r="I4" s="142" t="s">
        <v>905</v>
      </c>
      <c r="J4" s="144">
        <v>280000000</v>
      </c>
      <c r="K4" s="627">
        <v>200000000</v>
      </c>
      <c r="L4" s="702"/>
      <c r="M4" s="702" t="s">
        <v>5133</v>
      </c>
      <c r="N4" s="624">
        <f>[2]CAPEX!$K$11</f>
        <v>800000000</v>
      </c>
      <c r="O4" s="239" t="s">
        <v>2533</v>
      </c>
    </row>
    <row r="5" spans="1:16" ht="30.75" customHeight="1" x14ac:dyDescent="0.35">
      <c r="A5" s="479" t="s">
        <v>2625</v>
      </c>
      <c r="B5" s="480" t="s">
        <v>75</v>
      </c>
      <c r="C5" s="165" t="s">
        <v>5</v>
      </c>
      <c r="D5" s="141" t="s">
        <v>4</v>
      </c>
      <c r="E5" s="237" t="s">
        <v>27</v>
      </c>
      <c r="F5" s="163" t="s">
        <v>76</v>
      </c>
      <c r="G5" s="238"/>
      <c r="H5" s="141">
        <v>70111</v>
      </c>
      <c r="I5" s="142" t="s">
        <v>77</v>
      </c>
      <c r="J5" s="144">
        <v>400000000</v>
      </c>
      <c r="K5" s="627">
        <v>200000000</v>
      </c>
      <c r="L5" s="702"/>
      <c r="M5" s="702" t="s">
        <v>5133</v>
      </c>
      <c r="N5" s="624">
        <f>[2]CAPEX!$K$21</f>
        <v>250000000</v>
      </c>
      <c r="O5" s="239" t="s">
        <v>75</v>
      </c>
    </row>
    <row r="6" spans="1:16" ht="30.75" customHeight="1" x14ac:dyDescent="0.35">
      <c r="A6" s="479" t="s">
        <v>4704</v>
      </c>
      <c r="B6" s="480" t="s">
        <v>3402</v>
      </c>
      <c r="C6" s="165" t="s">
        <v>623</v>
      </c>
      <c r="D6" s="141" t="s">
        <v>4</v>
      </c>
      <c r="E6" s="237" t="s">
        <v>27</v>
      </c>
      <c r="F6" s="237" t="s">
        <v>3097</v>
      </c>
      <c r="G6" s="237"/>
      <c r="H6" s="237" t="s">
        <v>186</v>
      </c>
      <c r="I6" s="142" t="s">
        <v>919</v>
      </c>
      <c r="J6" s="144">
        <v>400000000</v>
      </c>
      <c r="K6" s="144">
        <v>400000000</v>
      </c>
      <c r="L6" s="144">
        <v>400000000</v>
      </c>
      <c r="M6" s="717" t="s">
        <v>5123</v>
      </c>
      <c r="N6" s="624"/>
      <c r="O6" s="239"/>
    </row>
    <row r="7" spans="1:16" ht="30.75" customHeight="1" x14ac:dyDescent="0.35">
      <c r="A7" s="479" t="s">
        <v>2626</v>
      </c>
      <c r="B7" s="480" t="s">
        <v>81</v>
      </c>
      <c r="C7" s="165" t="s">
        <v>5</v>
      </c>
      <c r="D7" s="141" t="s">
        <v>4</v>
      </c>
      <c r="E7" s="237" t="s">
        <v>27</v>
      </c>
      <c r="F7" s="163" t="s">
        <v>82</v>
      </c>
      <c r="G7" s="238"/>
      <c r="H7" s="141">
        <v>70111</v>
      </c>
      <c r="I7" s="142" t="s">
        <v>905</v>
      </c>
      <c r="J7" s="144">
        <v>1000000000</v>
      </c>
      <c r="K7" s="627">
        <v>2000000000</v>
      </c>
      <c r="L7" s="627">
        <v>2000000000</v>
      </c>
      <c r="M7" s="717" t="s">
        <v>5123</v>
      </c>
      <c r="N7" s="624">
        <f>[2]CAPEX!$K$23</f>
        <v>728000000</v>
      </c>
      <c r="O7" s="239" t="s">
        <v>81</v>
      </c>
      <c r="P7" s="231">
        <v>50000000</v>
      </c>
    </row>
    <row r="8" spans="1:16" ht="33.75" customHeight="1" x14ac:dyDescent="0.35">
      <c r="A8" s="479" t="s">
        <v>2627</v>
      </c>
      <c r="B8" s="480" t="s">
        <v>65</v>
      </c>
      <c r="C8" s="165" t="s">
        <v>5</v>
      </c>
      <c r="D8" s="141" t="s">
        <v>4</v>
      </c>
      <c r="E8" s="237" t="s">
        <v>27</v>
      </c>
      <c r="F8" s="163" t="s">
        <v>66</v>
      </c>
      <c r="G8" s="240"/>
      <c r="H8" s="141">
        <v>70111</v>
      </c>
      <c r="I8" s="142" t="s">
        <v>67</v>
      </c>
      <c r="J8" s="144">
        <v>14471550</v>
      </c>
      <c r="K8" s="144">
        <v>14471550</v>
      </c>
      <c r="L8" s="702"/>
      <c r="M8" s="702" t="s">
        <v>5133</v>
      </c>
      <c r="N8" s="625">
        <v>25000000</v>
      </c>
      <c r="O8" s="239" t="s">
        <v>65</v>
      </c>
      <c r="P8" s="231">
        <v>300000000</v>
      </c>
    </row>
    <row r="9" spans="1:16" ht="30.75" customHeight="1" x14ac:dyDescent="0.35">
      <c r="A9" s="479" t="s">
        <v>2628</v>
      </c>
      <c r="B9" s="480" t="s">
        <v>57</v>
      </c>
      <c r="C9" s="165" t="s">
        <v>5</v>
      </c>
      <c r="D9" s="141" t="s">
        <v>4</v>
      </c>
      <c r="E9" s="237" t="s">
        <v>27</v>
      </c>
      <c r="F9" s="163" t="s">
        <v>108</v>
      </c>
      <c r="G9" s="238"/>
      <c r="H9" s="141">
        <v>70111</v>
      </c>
      <c r="I9" s="142" t="s">
        <v>902</v>
      </c>
      <c r="J9" s="144">
        <v>2000000</v>
      </c>
      <c r="K9" s="144">
        <v>2000000</v>
      </c>
      <c r="L9" s="702"/>
      <c r="M9" s="702" t="s">
        <v>5133</v>
      </c>
      <c r="N9" s="625">
        <v>5000000</v>
      </c>
      <c r="O9" s="241" t="s">
        <v>57</v>
      </c>
      <c r="P9" s="231">
        <v>200000000</v>
      </c>
    </row>
    <row r="10" spans="1:16" ht="30.75" customHeight="1" x14ac:dyDescent="0.35">
      <c r="A10" s="479" t="s">
        <v>2629</v>
      </c>
      <c r="B10" s="480" t="s">
        <v>55</v>
      </c>
      <c r="C10" s="165" t="s">
        <v>5</v>
      </c>
      <c r="D10" s="141" t="s">
        <v>4</v>
      </c>
      <c r="E10" s="237" t="s">
        <v>27</v>
      </c>
      <c r="F10" s="145" t="s">
        <v>56</v>
      </c>
      <c r="G10" s="238"/>
      <c r="H10" s="141" t="s">
        <v>19</v>
      </c>
      <c r="I10" s="146" t="s">
        <v>901</v>
      </c>
      <c r="J10" s="144">
        <v>3030000</v>
      </c>
      <c r="K10" s="144">
        <v>3030000</v>
      </c>
      <c r="L10" s="702"/>
      <c r="M10" s="702" t="s">
        <v>5133</v>
      </c>
      <c r="N10" s="625">
        <f>[2]CAPEX!$K$6</f>
        <v>5000000</v>
      </c>
      <c r="O10" s="241" t="s">
        <v>55</v>
      </c>
      <c r="P10" s="231">
        <v>100000000</v>
      </c>
    </row>
    <row r="11" spans="1:16" ht="30.75" customHeight="1" x14ac:dyDescent="0.35">
      <c r="A11" s="479" t="s">
        <v>2630</v>
      </c>
      <c r="B11" s="480" t="s">
        <v>2529</v>
      </c>
      <c r="C11" s="165" t="s">
        <v>5</v>
      </c>
      <c r="D11" s="141" t="s">
        <v>4</v>
      </c>
      <c r="E11" s="237" t="s">
        <v>27</v>
      </c>
      <c r="F11" s="163" t="s">
        <v>54</v>
      </c>
      <c r="G11" s="238"/>
      <c r="H11" s="141" t="s">
        <v>19</v>
      </c>
      <c r="I11" s="142" t="s">
        <v>900</v>
      </c>
      <c r="J11" s="144">
        <v>12443330</v>
      </c>
      <c r="K11" s="144">
        <v>12443330</v>
      </c>
      <c r="L11" s="702"/>
      <c r="M11" s="702" t="s">
        <v>5133</v>
      </c>
      <c r="N11" s="625">
        <f>[2]CAPEX!$K$12</f>
        <v>15000000</v>
      </c>
      <c r="O11" s="241" t="s">
        <v>2529</v>
      </c>
      <c r="P11" s="231">
        <v>200000000</v>
      </c>
    </row>
    <row r="12" spans="1:16" ht="30.75" customHeight="1" x14ac:dyDescent="0.35">
      <c r="A12" s="479" t="s">
        <v>2631</v>
      </c>
      <c r="B12" s="480" t="s">
        <v>58</v>
      </c>
      <c r="C12" s="165" t="s">
        <v>5</v>
      </c>
      <c r="D12" s="141" t="s">
        <v>4</v>
      </c>
      <c r="E12" s="237" t="s">
        <v>27</v>
      </c>
      <c r="F12" s="163" t="s">
        <v>983</v>
      </c>
      <c r="G12" s="238"/>
      <c r="H12" s="141">
        <v>70111</v>
      </c>
      <c r="I12" s="142" t="s">
        <v>902</v>
      </c>
      <c r="J12" s="144">
        <v>5000000</v>
      </c>
      <c r="K12" s="144">
        <v>5000000</v>
      </c>
      <c r="L12" s="702"/>
      <c r="M12" s="702" t="s">
        <v>5133</v>
      </c>
      <c r="N12" s="625">
        <v>20000000</v>
      </c>
      <c r="O12" s="241" t="s">
        <v>58</v>
      </c>
      <c r="P12" s="231">
        <v>90000000</v>
      </c>
    </row>
    <row r="13" spans="1:16" ht="30.75" customHeight="1" x14ac:dyDescent="0.35">
      <c r="A13" s="479" t="s">
        <v>2632</v>
      </c>
      <c r="B13" s="480" t="s">
        <v>60</v>
      </c>
      <c r="C13" s="165" t="s">
        <v>5</v>
      </c>
      <c r="D13" s="141" t="s">
        <v>4</v>
      </c>
      <c r="E13" s="237" t="s">
        <v>27</v>
      </c>
      <c r="F13" s="163" t="s">
        <v>983</v>
      </c>
      <c r="G13" s="238"/>
      <c r="H13" s="141">
        <v>70111</v>
      </c>
      <c r="I13" s="142" t="s">
        <v>902</v>
      </c>
      <c r="J13" s="144">
        <v>74042396.129999995</v>
      </c>
      <c r="K13" s="144">
        <v>74042396.129999995</v>
      </c>
      <c r="L13" s="702"/>
      <c r="M13" s="702" t="s">
        <v>5133</v>
      </c>
      <c r="N13" s="625">
        <f>[2]CAPEX!$K$9</f>
        <v>86000000</v>
      </c>
      <c r="O13" s="241" t="s">
        <v>60</v>
      </c>
      <c r="P13" s="231">
        <v>70000000</v>
      </c>
    </row>
    <row r="14" spans="1:16" ht="30.75" customHeight="1" x14ac:dyDescent="0.35">
      <c r="A14" s="479" t="s">
        <v>4715</v>
      </c>
      <c r="B14" s="480" t="s">
        <v>68</v>
      </c>
      <c r="C14" s="165" t="s">
        <v>5</v>
      </c>
      <c r="D14" s="141" t="s">
        <v>4</v>
      </c>
      <c r="E14" s="237" t="s">
        <v>27</v>
      </c>
      <c r="F14" s="163" t="s">
        <v>110</v>
      </c>
      <c r="G14" s="238"/>
      <c r="H14" s="141" t="s">
        <v>19</v>
      </c>
      <c r="I14" s="142" t="s">
        <v>906</v>
      </c>
      <c r="J14" s="144">
        <v>2011766500</v>
      </c>
      <c r="K14" s="627">
        <v>1305730086</v>
      </c>
      <c r="L14" s="702"/>
      <c r="M14" s="702" t="s">
        <v>5133</v>
      </c>
      <c r="N14" s="625">
        <v>2006448607</v>
      </c>
      <c r="O14" s="239" t="s">
        <v>68</v>
      </c>
      <c r="P14" s="231">
        <v>150000000</v>
      </c>
    </row>
    <row r="15" spans="1:16" ht="30.75" customHeight="1" x14ac:dyDescent="0.35">
      <c r="A15" s="479" t="s">
        <v>2633</v>
      </c>
      <c r="B15" s="480" t="s">
        <v>53</v>
      </c>
      <c r="C15" s="165" t="s">
        <v>5</v>
      </c>
      <c r="D15" s="141" t="s">
        <v>4</v>
      </c>
      <c r="E15" s="237" t="s">
        <v>27</v>
      </c>
      <c r="F15" s="163" t="s">
        <v>54</v>
      </c>
      <c r="G15" s="238"/>
      <c r="H15" s="141">
        <v>70111</v>
      </c>
      <c r="I15" s="142" t="s">
        <v>900</v>
      </c>
      <c r="J15" s="144">
        <v>65572984</v>
      </c>
      <c r="K15" s="144">
        <v>65572984</v>
      </c>
      <c r="L15" s="702"/>
      <c r="M15" s="702" t="s">
        <v>5133</v>
      </c>
      <c r="N15" s="625">
        <v>80000000</v>
      </c>
      <c r="O15" s="241" t="s">
        <v>53</v>
      </c>
      <c r="P15" s="231">
        <v>80000000</v>
      </c>
    </row>
    <row r="16" spans="1:16" ht="30.75" customHeight="1" x14ac:dyDescent="0.35">
      <c r="A16" s="479" t="s">
        <v>2634</v>
      </c>
      <c r="B16" s="480" t="s">
        <v>64</v>
      </c>
      <c r="C16" s="165" t="s">
        <v>5</v>
      </c>
      <c r="D16" s="141" t="s">
        <v>4</v>
      </c>
      <c r="E16" s="237" t="s">
        <v>27</v>
      </c>
      <c r="F16" s="163" t="s">
        <v>62</v>
      </c>
      <c r="G16" s="238"/>
      <c r="H16" s="141">
        <v>70111</v>
      </c>
      <c r="I16" s="142" t="s">
        <v>904</v>
      </c>
      <c r="J16" s="144">
        <v>12443330</v>
      </c>
      <c r="K16" s="144">
        <v>12443330</v>
      </c>
      <c r="L16" s="702"/>
      <c r="M16" s="702" t="s">
        <v>5133</v>
      </c>
      <c r="N16" s="625">
        <v>15000000</v>
      </c>
      <c r="O16" s="242" t="s">
        <v>64</v>
      </c>
      <c r="P16" s="231">
        <v>80000000</v>
      </c>
    </row>
    <row r="17" spans="1:16" ht="30.75" customHeight="1" x14ac:dyDescent="0.35">
      <c r="A17" s="479" t="s">
        <v>2635</v>
      </c>
      <c r="B17" s="480" t="s">
        <v>61</v>
      </c>
      <c r="C17" s="165" t="s">
        <v>5</v>
      </c>
      <c r="D17" s="141" t="s">
        <v>4</v>
      </c>
      <c r="E17" s="237" t="s">
        <v>27</v>
      </c>
      <c r="F17" s="163" t="s">
        <v>62</v>
      </c>
      <c r="G17" s="146"/>
      <c r="H17" s="141">
        <v>70111</v>
      </c>
      <c r="I17" s="142" t="s">
        <v>904</v>
      </c>
      <c r="J17" s="144">
        <v>53804541.159999996</v>
      </c>
      <c r="K17" s="144">
        <v>53804541.159999996</v>
      </c>
      <c r="L17" s="702"/>
      <c r="M17" s="702" t="s">
        <v>5133</v>
      </c>
      <c r="N17" s="625">
        <v>50000000</v>
      </c>
      <c r="O17" s="241" t="s">
        <v>61</v>
      </c>
      <c r="P17" s="231">
        <v>500000000</v>
      </c>
    </row>
    <row r="18" spans="1:16" ht="26.25" customHeight="1" x14ac:dyDescent="0.35">
      <c r="A18" s="479" t="s">
        <v>2636</v>
      </c>
      <c r="B18" s="480" t="s">
        <v>71</v>
      </c>
      <c r="C18" s="165" t="s">
        <v>5</v>
      </c>
      <c r="D18" s="141" t="s">
        <v>4</v>
      </c>
      <c r="E18" s="237" t="s">
        <v>27</v>
      </c>
      <c r="F18" s="163" t="s">
        <v>54</v>
      </c>
      <c r="G18" s="238"/>
      <c r="H18" s="141">
        <v>70111</v>
      </c>
      <c r="I18" s="142" t="s">
        <v>900</v>
      </c>
      <c r="J18" s="144">
        <v>20000000</v>
      </c>
      <c r="K18" s="627">
        <v>20000000</v>
      </c>
      <c r="L18" s="702"/>
      <c r="M18" s="702" t="s">
        <v>5133</v>
      </c>
      <c r="N18" s="624">
        <v>20000000</v>
      </c>
      <c r="O18" s="239" t="s">
        <v>71</v>
      </c>
      <c r="P18" s="231">
        <v>1300000000</v>
      </c>
    </row>
    <row r="19" spans="1:16" ht="30" customHeight="1" x14ac:dyDescent="0.35">
      <c r="A19" s="479" t="s">
        <v>2637</v>
      </c>
      <c r="B19" s="480" t="s">
        <v>72</v>
      </c>
      <c r="C19" s="165" t="s">
        <v>5</v>
      </c>
      <c r="D19" s="141" t="s">
        <v>4</v>
      </c>
      <c r="E19" s="237" t="s">
        <v>27</v>
      </c>
      <c r="F19" s="163" t="s">
        <v>54</v>
      </c>
      <c r="G19" s="238"/>
      <c r="H19" s="141">
        <v>70111</v>
      </c>
      <c r="I19" s="142" t="s">
        <v>900</v>
      </c>
      <c r="J19" s="144">
        <v>30000000</v>
      </c>
      <c r="K19" s="627">
        <v>10000000</v>
      </c>
      <c r="L19" s="702"/>
      <c r="M19" s="702" t="s">
        <v>5133</v>
      </c>
      <c r="N19" s="624">
        <v>30000000</v>
      </c>
      <c r="O19" s="239" t="s">
        <v>72</v>
      </c>
      <c r="P19" s="231">
        <f>SUM(P7:P18)</f>
        <v>3120000000</v>
      </c>
    </row>
    <row r="20" spans="1:16" ht="39" customHeight="1" x14ac:dyDescent="0.35">
      <c r="A20" s="479" t="s">
        <v>2638</v>
      </c>
      <c r="B20" s="480" t="s">
        <v>73</v>
      </c>
      <c r="C20" s="165" t="s">
        <v>5</v>
      </c>
      <c r="D20" s="141" t="s">
        <v>4</v>
      </c>
      <c r="E20" s="237" t="s">
        <v>27</v>
      </c>
      <c r="F20" s="163" t="s">
        <v>54</v>
      </c>
      <c r="G20" s="238"/>
      <c r="H20" s="141">
        <v>70111</v>
      </c>
      <c r="I20" s="142" t="s">
        <v>900</v>
      </c>
      <c r="J20" s="144">
        <v>30000000</v>
      </c>
      <c r="K20" s="627">
        <v>10000000</v>
      </c>
      <c r="L20" s="702"/>
      <c r="M20" s="702" t="s">
        <v>5133</v>
      </c>
      <c r="N20" s="624">
        <v>30000000</v>
      </c>
      <c r="O20" s="239" t="s">
        <v>73</v>
      </c>
    </row>
    <row r="21" spans="1:16" ht="23.25" customHeight="1" x14ac:dyDescent="0.35">
      <c r="A21" s="479" t="s">
        <v>2639</v>
      </c>
      <c r="B21" s="480" t="s">
        <v>74</v>
      </c>
      <c r="C21" s="165" t="s">
        <v>5</v>
      </c>
      <c r="D21" s="141" t="s">
        <v>4</v>
      </c>
      <c r="E21" s="237" t="s">
        <v>27</v>
      </c>
      <c r="F21" s="163" t="s">
        <v>54</v>
      </c>
      <c r="G21" s="238"/>
      <c r="H21" s="141">
        <v>70111</v>
      </c>
      <c r="I21" s="142" t="s">
        <v>900</v>
      </c>
      <c r="J21" s="144">
        <v>9000000</v>
      </c>
      <c r="K21" s="627">
        <v>10000000</v>
      </c>
      <c r="L21" s="702"/>
      <c r="M21" s="702" t="s">
        <v>5133</v>
      </c>
      <c r="N21" s="624">
        <v>9000000</v>
      </c>
      <c r="O21" s="239" t="s">
        <v>74</v>
      </c>
    </row>
    <row r="22" spans="1:16" ht="23.25" customHeight="1" x14ac:dyDescent="0.35">
      <c r="A22" s="479" t="s">
        <v>2640</v>
      </c>
      <c r="B22" s="480" t="s">
        <v>70</v>
      </c>
      <c r="C22" s="165" t="s">
        <v>5</v>
      </c>
      <c r="D22" s="141" t="s">
        <v>4</v>
      </c>
      <c r="E22" s="237" t="s">
        <v>27</v>
      </c>
      <c r="F22" s="163" t="s">
        <v>62</v>
      </c>
      <c r="G22" s="238"/>
      <c r="H22" s="141">
        <v>70111</v>
      </c>
      <c r="I22" s="142" t="s">
        <v>904</v>
      </c>
      <c r="J22" s="144">
        <v>100000000</v>
      </c>
      <c r="K22" s="627">
        <v>46000000</v>
      </c>
      <c r="L22" s="702"/>
      <c r="M22" s="702" t="s">
        <v>5133</v>
      </c>
      <c r="N22" s="624">
        <v>100000000</v>
      </c>
      <c r="O22" s="239" t="s">
        <v>70</v>
      </c>
    </row>
    <row r="23" spans="1:16" ht="23.25" customHeight="1" x14ac:dyDescent="0.35">
      <c r="A23" s="479" t="s">
        <v>2641</v>
      </c>
      <c r="B23" s="480" t="s">
        <v>92</v>
      </c>
      <c r="C23" s="165" t="s">
        <v>5</v>
      </c>
      <c r="D23" s="141" t="s">
        <v>4</v>
      </c>
      <c r="E23" s="237" t="s">
        <v>27</v>
      </c>
      <c r="F23" s="163" t="s">
        <v>62</v>
      </c>
      <c r="G23" s="238"/>
      <c r="H23" s="141">
        <v>70111</v>
      </c>
      <c r="I23" s="142" t="s">
        <v>904</v>
      </c>
      <c r="J23" s="144">
        <v>20000000</v>
      </c>
      <c r="K23" s="627">
        <v>10000000</v>
      </c>
      <c r="L23" s="702"/>
      <c r="M23" s="702" t="s">
        <v>5133</v>
      </c>
      <c r="N23" s="624">
        <v>20000000</v>
      </c>
      <c r="O23" s="239" t="s">
        <v>92</v>
      </c>
    </row>
    <row r="24" spans="1:16" ht="23.25" customHeight="1" x14ac:dyDescent="0.35">
      <c r="A24" s="479" t="s">
        <v>2642</v>
      </c>
      <c r="B24" s="480" t="s">
        <v>3128</v>
      </c>
      <c r="C24" s="481" t="s">
        <v>5</v>
      </c>
      <c r="D24" s="482" t="s">
        <v>4</v>
      </c>
      <c r="E24" s="241" t="s">
        <v>89</v>
      </c>
      <c r="F24" s="482" t="s">
        <v>62</v>
      </c>
      <c r="G24" s="241"/>
      <c r="H24" s="482">
        <v>70111</v>
      </c>
      <c r="I24" s="241" t="s">
        <v>904</v>
      </c>
      <c r="J24" s="144">
        <v>20000000</v>
      </c>
      <c r="K24" s="627">
        <v>10000000</v>
      </c>
      <c r="L24" s="702"/>
      <c r="M24" s="702" t="s">
        <v>5133</v>
      </c>
      <c r="N24" s="624"/>
      <c r="O24" s="239" t="s">
        <v>3128</v>
      </c>
    </row>
    <row r="25" spans="1:16" ht="23.25" customHeight="1" x14ac:dyDescent="0.35">
      <c r="A25" s="479" t="s">
        <v>2643</v>
      </c>
      <c r="B25" s="480" t="s">
        <v>83</v>
      </c>
      <c r="C25" s="165" t="s">
        <v>5</v>
      </c>
      <c r="D25" s="141" t="s">
        <v>4</v>
      </c>
      <c r="E25" s="237" t="s">
        <v>27</v>
      </c>
      <c r="F25" s="163" t="s">
        <v>62</v>
      </c>
      <c r="G25" s="238"/>
      <c r="H25" s="141">
        <v>70111</v>
      </c>
      <c r="I25" s="142" t="s">
        <v>904</v>
      </c>
      <c r="J25" s="144">
        <f>20000000+20000000</f>
        <v>40000000</v>
      </c>
      <c r="K25" s="627">
        <v>10000000</v>
      </c>
      <c r="L25" s="702"/>
      <c r="M25" s="702" t="s">
        <v>5133</v>
      </c>
      <c r="N25" s="624">
        <v>20000000</v>
      </c>
      <c r="O25" s="239" t="s">
        <v>83</v>
      </c>
    </row>
    <row r="26" spans="1:16" ht="23.25" customHeight="1" x14ac:dyDescent="0.35">
      <c r="A26" s="479" t="s">
        <v>2644</v>
      </c>
      <c r="B26" s="483" t="s">
        <v>849</v>
      </c>
      <c r="C26" s="165" t="s">
        <v>5</v>
      </c>
      <c r="D26" s="141" t="s">
        <v>4</v>
      </c>
      <c r="E26" s="237" t="s">
        <v>94</v>
      </c>
      <c r="F26" s="163" t="s">
        <v>54</v>
      </c>
      <c r="G26" s="146"/>
      <c r="H26" s="141">
        <v>70111</v>
      </c>
      <c r="I26" s="142" t="s">
        <v>900</v>
      </c>
      <c r="J26" s="144">
        <v>20000000</v>
      </c>
      <c r="K26" s="627">
        <v>10000000</v>
      </c>
      <c r="L26" s="702"/>
      <c r="M26" s="702" t="s">
        <v>5133</v>
      </c>
      <c r="N26" s="624">
        <f>[2]CAPEX!$K$15</f>
        <v>10000000</v>
      </c>
      <c r="O26" s="243" t="s">
        <v>849</v>
      </c>
    </row>
    <row r="27" spans="1:16" ht="23.25" customHeight="1" x14ac:dyDescent="0.35">
      <c r="A27" s="479" t="s">
        <v>2645</v>
      </c>
      <c r="B27" s="480" t="s">
        <v>90</v>
      </c>
      <c r="C27" s="481" t="s">
        <v>5</v>
      </c>
      <c r="D27" s="482" t="s">
        <v>4</v>
      </c>
      <c r="E27" s="241" t="s">
        <v>89</v>
      </c>
      <c r="F27" s="482" t="s">
        <v>62</v>
      </c>
      <c r="G27" s="241"/>
      <c r="H27" s="482">
        <v>70111</v>
      </c>
      <c r="I27" s="241" t="s">
        <v>904</v>
      </c>
      <c r="J27" s="144">
        <v>20000000</v>
      </c>
      <c r="K27" s="627">
        <v>10000000</v>
      </c>
      <c r="L27" s="702"/>
      <c r="M27" s="702" t="s">
        <v>5133</v>
      </c>
      <c r="N27" s="484">
        <v>20000000</v>
      </c>
      <c r="O27" s="239" t="s">
        <v>90</v>
      </c>
    </row>
    <row r="28" spans="1:16" ht="23.25" customHeight="1" x14ac:dyDescent="0.35">
      <c r="A28" s="479" t="s">
        <v>2646</v>
      </c>
      <c r="B28" s="480" t="s">
        <v>84</v>
      </c>
      <c r="C28" s="481" t="s">
        <v>5</v>
      </c>
      <c r="D28" s="482" t="s">
        <v>4</v>
      </c>
      <c r="E28" s="241" t="s">
        <v>79</v>
      </c>
      <c r="F28" s="482" t="s">
        <v>62</v>
      </c>
      <c r="G28" s="241"/>
      <c r="H28" s="482">
        <v>70111</v>
      </c>
      <c r="I28" s="241" t="s">
        <v>904</v>
      </c>
      <c r="J28" s="144">
        <v>20000000</v>
      </c>
      <c r="K28" s="627">
        <v>10000000</v>
      </c>
      <c r="L28" s="702"/>
      <c r="M28" s="702" t="s">
        <v>5133</v>
      </c>
      <c r="N28" s="484">
        <v>5000000</v>
      </c>
      <c r="O28" s="239" t="s">
        <v>84</v>
      </c>
    </row>
    <row r="29" spans="1:16" ht="23.25" customHeight="1" x14ac:dyDescent="0.35">
      <c r="A29" s="479" t="s">
        <v>3064</v>
      </c>
      <c r="B29" s="480" t="s">
        <v>88</v>
      </c>
      <c r="C29" s="165" t="s">
        <v>5</v>
      </c>
      <c r="D29" s="141" t="s">
        <v>4</v>
      </c>
      <c r="E29" s="237" t="s">
        <v>87</v>
      </c>
      <c r="F29" s="163" t="s">
        <v>62</v>
      </c>
      <c r="G29" s="238"/>
      <c r="H29" s="141">
        <v>70111</v>
      </c>
      <c r="I29" s="142" t="s">
        <v>904</v>
      </c>
      <c r="J29" s="144">
        <v>20000000</v>
      </c>
      <c r="K29" s="627">
        <v>10000000</v>
      </c>
      <c r="L29" s="702"/>
      <c r="M29" s="702" t="s">
        <v>5133</v>
      </c>
      <c r="N29" s="624">
        <v>20000000</v>
      </c>
      <c r="O29" s="239" t="s">
        <v>88</v>
      </c>
    </row>
    <row r="30" spans="1:16" ht="50.25" customHeight="1" x14ac:dyDescent="0.35">
      <c r="A30" s="479" t="s">
        <v>5089</v>
      </c>
      <c r="B30" s="463" t="s">
        <v>2623</v>
      </c>
      <c r="C30" s="165" t="s">
        <v>5</v>
      </c>
      <c r="D30" s="141" t="s">
        <v>4</v>
      </c>
      <c r="E30" s="237" t="s">
        <v>91</v>
      </c>
      <c r="F30" s="163" t="s">
        <v>62</v>
      </c>
      <c r="G30" s="238"/>
      <c r="H30" s="141">
        <v>70111</v>
      </c>
      <c r="I30" s="142" t="s">
        <v>904</v>
      </c>
      <c r="J30" s="144">
        <v>10000000</v>
      </c>
      <c r="K30" s="627">
        <v>9000000</v>
      </c>
      <c r="L30" s="702"/>
      <c r="M30" s="702" t="s">
        <v>5133</v>
      </c>
      <c r="N30" s="149"/>
    </row>
    <row r="31" spans="1:16" s="247" customFormat="1" ht="36.75" customHeight="1" x14ac:dyDescent="0.3">
      <c r="A31" s="245"/>
      <c r="B31" s="360" t="s">
        <v>1008</v>
      </c>
      <c r="C31" s="188"/>
      <c r="D31" s="257"/>
      <c r="E31" s="258"/>
      <c r="F31" s="257"/>
      <c r="G31" s="258"/>
      <c r="H31" s="257"/>
      <c r="I31" s="258"/>
      <c r="J31" s="259">
        <f>SUM(J4:J29)</f>
        <v>4683574631.29</v>
      </c>
      <c r="K31" s="259">
        <f>SUM(K4:K30)</f>
        <v>4523538217.29</v>
      </c>
      <c r="L31" s="705"/>
      <c r="M31" s="705"/>
      <c r="N31" s="626">
        <f>SUM(N4:N29)</f>
        <v>4369448607</v>
      </c>
      <c r="O31" s="245" t="s">
        <v>1008</v>
      </c>
      <c r="P31" s="246">
        <v>2560000000</v>
      </c>
    </row>
    <row r="32" spans="1:16" s="247" customFormat="1" ht="10.5" customHeight="1" x14ac:dyDescent="0.3">
      <c r="A32" s="342"/>
      <c r="B32" s="361"/>
      <c r="C32" s="338"/>
      <c r="D32" s="339"/>
      <c r="E32" s="456"/>
      <c r="F32" s="339"/>
      <c r="G32" s="456"/>
      <c r="H32" s="339"/>
      <c r="I32" s="456"/>
      <c r="J32" s="341"/>
      <c r="K32" s="628"/>
      <c r="L32" s="706"/>
      <c r="M32" s="706"/>
      <c r="N32" s="341"/>
      <c r="O32" s="248"/>
      <c r="P32" s="246"/>
    </row>
    <row r="33" spans="1:16" ht="27" customHeight="1" x14ac:dyDescent="0.35">
      <c r="A33" s="286"/>
      <c r="B33" s="286"/>
      <c r="C33" s="286"/>
      <c r="D33" s="286"/>
      <c r="E33" s="286"/>
      <c r="F33" s="286"/>
      <c r="G33" s="286"/>
      <c r="H33" s="286"/>
      <c r="I33" s="286"/>
      <c r="J33" s="286"/>
      <c r="K33" s="458"/>
      <c r="L33" s="704"/>
      <c r="M33" s="704"/>
      <c r="N33" s="285"/>
      <c r="O33" s="250"/>
      <c r="P33" s="231">
        <f>K31-P31</f>
        <v>1963538217.29</v>
      </c>
    </row>
    <row r="34" spans="1:16" ht="27" customHeight="1" x14ac:dyDescent="0.35">
      <c r="A34" s="606" t="s">
        <v>1336</v>
      </c>
      <c r="B34" s="245"/>
      <c r="C34" s="245"/>
      <c r="D34" s="245"/>
      <c r="E34" s="245"/>
      <c r="F34" s="245"/>
      <c r="G34" s="245"/>
      <c r="H34" s="245"/>
      <c r="I34" s="245"/>
      <c r="J34" s="245"/>
      <c r="K34" s="627"/>
      <c r="L34" s="394"/>
      <c r="M34" s="394"/>
      <c r="N34" s="245"/>
      <c r="O34" s="250"/>
    </row>
    <row r="35" spans="1:16" s="235" customFormat="1" ht="78" customHeight="1" x14ac:dyDescent="0.35">
      <c r="A35" s="187" t="s">
        <v>1007</v>
      </c>
      <c r="B35" s="360" t="s">
        <v>50</v>
      </c>
      <c r="C35" s="175" t="s">
        <v>898</v>
      </c>
      <c r="D35" s="188" t="s">
        <v>52</v>
      </c>
      <c r="E35" s="232" t="s">
        <v>49</v>
      </c>
      <c r="F35" s="188" t="s">
        <v>1</v>
      </c>
      <c r="G35" s="251"/>
      <c r="H35" s="175" t="s">
        <v>51</v>
      </c>
      <c r="I35" s="187" t="s">
        <v>2</v>
      </c>
      <c r="J35" s="189" t="s">
        <v>4862</v>
      </c>
      <c r="K35" s="189" t="s">
        <v>5140</v>
      </c>
      <c r="L35" s="623" t="s">
        <v>5132</v>
      </c>
      <c r="M35" s="623" t="s">
        <v>5132</v>
      </c>
      <c r="N35" s="189" t="s">
        <v>1006</v>
      </c>
      <c r="O35" s="187" t="s">
        <v>50</v>
      </c>
      <c r="P35" s="234"/>
    </row>
    <row r="36" spans="1:16" ht="28.5" customHeight="1" x14ac:dyDescent="0.35">
      <c r="A36" s="332" t="s">
        <v>1311</v>
      </c>
      <c r="B36" s="485" t="s">
        <v>220</v>
      </c>
      <c r="C36" s="165" t="s">
        <v>5</v>
      </c>
      <c r="D36" s="143" t="s">
        <v>4</v>
      </c>
      <c r="E36" s="237" t="s">
        <v>117</v>
      </c>
      <c r="F36" s="163" t="s">
        <v>62</v>
      </c>
      <c r="G36" s="238"/>
      <c r="H36" s="253">
        <v>70111</v>
      </c>
      <c r="I36" s="142" t="s">
        <v>904</v>
      </c>
      <c r="J36" s="144">
        <v>2000000</v>
      </c>
      <c r="K36" s="627">
        <v>2000000</v>
      </c>
      <c r="L36" s="702"/>
      <c r="M36" s="702" t="s">
        <v>5133</v>
      </c>
      <c r="N36" s="166">
        <v>20000000</v>
      </c>
      <c r="O36" s="254" t="s">
        <v>220</v>
      </c>
    </row>
    <row r="37" spans="1:16" ht="28.5" customHeight="1" x14ac:dyDescent="0.35">
      <c r="A37" s="332" t="s">
        <v>1312</v>
      </c>
      <c r="B37" s="485" t="s">
        <v>96</v>
      </c>
      <c r="C37" s="165" t="s">
        <v>5</v>
      </c>
      <c r="D37" s="141" t="s">
        <v>4</v>
      </c>
      <c r="E37" s="237" t="s">
        <v>94</v>
      </c>
      <c r="F37" s="163" t="s">
        <v>54</v>
      </c>
      <c r="G37" s="146"/>
      <c r="H37" s="141">
        <v>70111</v>
      </c>
      <c r="I37" s="142" t="s">
        <v>900</v>
      </c>
      <c r="J37" s="144">
        <v>3000000</v>
      </c>
      <c r="K37" s="627">
        <v>1500000</v>
      </c>
      <c r="L37" s="702"/>
      <c r="M37" s="702" t="s">
        <v>5133</v>
      </c>
      <c r="N37" s="166"/>
      <c r="O37" s="254" t="s">
        <v>96</v>
      </c>
    </row>
    <row r="38" spans="1:16" ht="26.25" customHeight="1" x14ac:dyDescent="0.35">
      <c r="A38" s="332" t="s">
        <v>1313</v>
      </c>
      <c r="B38" s="485" t="s">
        <v>1264</v>
      </c>
      <c r="C38" s="165" t="s">
        <v>5</v>
      </c>
      <c r="D38" s="141" t="s">
        <v>4</v>
      </c>
      <c r="E38" s="237" t="s">
        <v>6</v>
      </c>
      <c r="F38" s="163" t="s">
        <v>62</v>
      </c>
      <c r="G38" s="146"/>
      <c r="H38" s="141">
        <v>70112</v>
      </c>
      <c r="I38" s="142" t="s">
        <v>904</v>
      </c>
      <c r="J38" s="144">
        <v>2000000</v>
      </c>
      <c r="K38" s="627">
        <v>2000000</v>
      </c>
      <c r="L38" s="702"/>
      <c r="M38" s="702" t="s">
        <v>5133</v>
      </c>
      <c r="N38" s="166"/>
      <c r="O38" s="254" t="s">
        <v>1264</v>
      </c>
    </row>
    <row r="39" spans="1:16" ht="27" customHeight="1" x14ac:dyDescent="0.35">
      <c r="A39" s="332" t="s">
        <v>1314</v>
      </c>
      <c r="B39" s="485" t="s">
        <v>60</v>
      </c>
      <c r="C39" s="165" t="s">
        <v>5</v>
      </c>
      <c r="D39" s="141" t="s">
        <v>4</v>
      </c>
      <c r="E39" s="237" t="s">
        <v>27</v>
      </c>
      <c r="F39" s="163" t="s">
        <v>983</v>
      </c>
      <c r="G39" s="238"/>
      <c r="H39" s="141">
        <v>70111</v>
      </c>
      <c r="I39" s="142" t="s">
        <v>902</v>
      </c>
      <c r="J39" s="144">
        <v>2000000</v>
      </c>
      <c r="K39" s="627">
        <v>2000000</v>
      </c>
      <c r="L39" s="702"/>
      <c r="M39" s="702" t="s">
        <v>5133</v>
      </c>
      <c r="N39" s="166"/>
      <c r="O39" s="254" t="s">
        <v>60</v>
      </c>
      <c r="P39" s="231">
        <v>13617093</v>
      </c>
    </row>
    <row r="40" spans="1:16" ht="21.75" customHeight="1" x14ac:dyDescent="0.35">
      <c r="A40" s="332" t="s">
        <v>1315</v>
      </c>
      <c r="B40" s="539" t="s">
        <v>1265</v>
      </c>
      <c r="C40" s="165" t="s">
        <v>5</v>
      </c>
      <c r="D40" s="143" t="s">
        <v>4</v>
      </c>
      <c r="E40" s="237" t="s">
        <v>117</v>
      </c>
      <c r="F40" s="163" t="s">
        <v>147</v>
      </c>
      <c r="G40" s="238"/>
      <c r="H40" s="253">
        <v>70111</v>
      </c>
      <c r="I40" s="142" t="s">
        <v>148</v>
      </c>
      <c r="J40" s="144">
        <v>6000000</v>
      </c>
      <c r="K40" s="627">
        <f>5406136+710957</f>
        <v>6117093</v>
      </c>
      <c r="L40" s="702"/>
      <c r="M40" s="702" t="s">
        <v>5133</v>
      </c>
      <c r="N40" s="166">
        <v>0</v>
      </c>
      <c r="O40" s="142" t="s">
        <v>1265</v>
      </c>
    </row>
    <row r="41" spans="1:16" ht="30" customHeight="1" x14ac:dyDescent="0.35">
      <c r="A41" s="332" t="s">
        <v>1386</v>
      </c>
      <c r="B41" s="577" t="s">
        <v>1266</v>
      </c>
      <c r="C41" s="165" t="s">
        <v>5</v>
      </c>
      <c r="D41" s="141" t="s">
        <v>4</v>
      </c>
      <c r="E41" s="237" t="s">
        <v>27</v>
      </c>
      <c r="F41" s="163" t="s">
        <v>110</v>
      </c>
      <c r="G41" s="238"/>
      <c r="H41" s="141" t="s">
        <v>19</v>
      </c>
      <c r="I41" s="142" t="s">
        <v>906</v>
      </c>
      <c r="J41" s="166">
        <v>5000000</v>
      </c>
      <c r="K41" s="627"/>
      <c r="L41" s="702"/>
      <c r="M41" s="702" t="s">
        <v>5133</v>
      </c>
      <c r="N41" s="166"/>
      <c r="O41" s="255" t="s">
        <v>1266</v>
      </c>
    </row>
    <row r="42" spans="1:16" ht="27" customHeight="1" x14ac:dyDescent="0.35">
      <c r="A42" s="256"/>
      <c r="B42" s="578" t="s">
        <v>1008</v>
      </c>
      <c r="C42" s="188"/>
      <c r="D42" s="257"/>
      <c r="E42" s="258"/>
      <c r="F42" s="257"/>
      <c r="G42" s="258"/>
      <c r="H42" s="257"/>
      <c r="I42" s="258"/>
      <c r="J42" s="259">
        <f>SUM(J36:J41)</f>
        <v>20000000</v>
      </c>
      <c r="K42" s="259">
        <f>SUM(K36:K41)</f>
        <v>13617093</v>
      </c>
      <c r="L42" s="707"/>
      <c r="M42" s="707"/>
      <c r="N42" s="259">
        <v>20000000</v>
      </c>
      <c r="O42" s="256" t="s">
        <v>1008</v>
      </c>
    </row>
    <row r="43" spans="1:16" ht="27" customHeight="1" x14ac:dyDescent="0.35">
      <c r="A43" s="260"/>
      <c r="B43" s="579"/>
      <c r="C43" s="261"/>
      <c r="D43" s="262"/>
      <c r="E43" s="263"/>
      <c r="F43" s="262"/>
      <c r="G43" s="263"/>
      <c r="H43" s="262"/>
      <c r="I43" s="263"/>
      <c r="J43" s="249"/>
      <c r="K43" s="458"/>
      <c r="L43" s="704"/>
      <c r="M43" s="704"/>
      <c r="N43" s="249"/>
      <c r="O43" s="264"/>
      <c r="P43" s="231">
        <f>P39-K42</f>
        <v>0</v>
      </c>
    </row>
    <row r="44" spans="1:16" ht="38.25" customHeight="1" x14ac:dyDescent="0.35">
      <c r="A44" s="622" t="s">
        <v>1241</v>
      </c>
      <c r="B44" s="622"/>
      <c r="C44" s="622"/>
      <c r="D44" s="622"/>
      <c r="E44" s="622"/>
      <c r="F44" s="622"/>
      <c r="G44" s="622"/>
      <c r="H44" s="622"/>
      <c r="I44" s="622"/>
      <c r="J44" s="622"/>
      <c r="K44" s="458"/>
      <c r="L44" s="704"/>
      <c r="M44" s="704"/>
      <c r="N44" s="622"/>
      <c r="O44" s="266"/>
    </row>
    <row r="45" spans="1:16" s="235" customFormat="1" ht="75" customHeight="1" x14ac:dyDescent="0.35">
      <c r="A45" s="187" t="s">
        <v>1007</v>
      </c>
      <c r="B45" s="360" t="s">
        <v>50</v>
      </c>
      <c r="C45" s="175" t="s">
        <v>898</v>
      </c>
      <c r="D45" s="188" t="s">
        <v>52</v>
      </c>
      <c r="E45" s="232" t="s">
        <v>49</v>
      </c>
      <c r="F45" s="188" t="s">
        <v>1</v>
      </c>
      <c r="G45" s="251"/>
      <c r="H45" s="175" t="s">
        <v>51</v>
      </c>
      <c r="I45" s="187" t="s">
        <v>2</v>
      </c>
      <c r="J45" s="189" t="s">
        <v>4862</v>
      </c>
      <c r="K45" s="189" t="s">
        <v>5140</v>
      </c>
      <c r="L45" s="623" t="s">
        <v>5132</v>
      </c>
      <c r="M45" s="623" t="s">
        <v>5132</v>
      </c>
      <c r="N45" s="189" t="s">
        <v>1006</v>
      </c>
      <c r="O45" s="187" t="s">
        <v>50</v>
      </c>
      <c r="P45" s="234"/>
    </row>
    <row r="46" spans="1:16" ht="31.5" customHeight="1" x14ac:dyDescent="0.35">
      <c r="A46" s="332" t="s">
        <v>1242</v>
      </c>
      <c r="B46" s="463" t="s">
        <v>1243</v>
      </c>
      <c r="C46" s="165" t="s">
        <v>5</v>
      </c>
      <c r="D46" s="141" t="s">
        <v>4</v>
      </c>
      <c r="E46" s="237" t="s">
        <v>85</v>
      </c>
      <c r="F46" s="163" t="s">
        <v>913</v>
      </c>
      <c r="G46" s="146"/>
      <c r="H46" s="141">
        <v>70111</v>
      </c>
      <c r="I46" s="142" t="s">
        <v>914</v>
      </c>
      <c r="J46" s="149">
        <f>1080909939.49824+500000000</f>
        <v>1580909939.49824</v>
      </c>
      <c r="K46" s="655">
        <v>1380000000</v>
      </c>
      <c r="L46" s="655">
        <v>1380000000</v>
      </c>
      <c r="M46" s="703" t="s">
        <v>5123</v>
      </c>
      <c r="N46" s="149">
        <v>1100000000</v>
      </c>
      <c r="O46" s="180" t="s">
        <v>1243</v>
      </c>
    </row>
    <row r="47" spans="1:16" ht="31.5" customHeight="1" x14ac:dyDescent="0.35">
      <c r="A47" s="256"/>
      <c r="B47" s="578" t="s">
        <v>1008</v>
      </c>
      <c r="C47" s="188"/>
      <c r="D47" s="257"/>
      <c r="E47" s="258"/>
      <c r="F47" s="257"/>
      <c r="G47" s="258"/>
      <c r="H47" s="257"/>
      <c r="I47" s="258"/>
      <c r="J47" s="259">
        <f>SUM(J46:J46)</f>
        <v>1580909939.49824</v>
      </c>
      <c r="K47" s="259">
        <f>SUM(K46:K46)</f>
        <v>1380000000</v>
      </c>
      <c r="L47" s="707"/>
      <c r="M47" s="707"/>
      <c r="N47" s="259">
        <f>SUM(N46:N46)</f>
        <v>1100000000</v>
      </c>
      <c r="O47" s="256" t="s">
        <v>1008</v>
      </c>
      <c r="P47" s="231">
        <f>41+42</f>
        <v>83</v>
      </c>
    </row>
    <row r="48" spans="1:16" ht="31.5" customHeight="1" x14ac:dyDescent="0.35">
      <c r="B48" s="580"/>
      <c r="C48" s="267"/>
      <c r="D48" s="268"/>
      <c r="E48" s="269"/>
      <c r="F48" s="268"/>
      <c r="G48" s="269"/>
      <c r="H48" s="268"/>
      <c r="I48" s="269"/>
      <c r="J48" s="270"/>
      <c r="K48" s="458"/>
      <c r="L48" s="704"/>
      <c r="M48" s="704"/>
      <c r="N48" s="486"/>
      <c r="O48" s="271"/>
    </row>
    <row r="49" spans="1:15" ht="43.5" customHeight="1" x14ac:dyDescent="0.35">
      <c r="A49" s="620" t="s">
        <v>4718</v>
      </c>
      <c r="B49" s="265"/>
      <c r="C49" s="265"/>
      <c r="D49" s="265"/>
      <c r="E49" s="265"/>
      <c r="F49" s="265"/>
      <c r="G49" s="265"/>
      <c r="H49" s="265"/>
      <c r="I49" s="265"/>
      <c r="J49" s="265"/>
      <c r="K49" s="458"/>
      <c r="L49" s="704"/>
      <c r="M49" s="704"/>
      <c r="N49" s="265"/>
      <c r="O49" s="266"/>
    </row>
    <row r="50" spans="1:15" ht="3" hidden="1" customHeight="1" x14ac:dyDescent="0.35">
      <c r="A50" s="621" t="s">
        <v>93</v>
      </c>
      <c r="B50" s="622"/>
      <c r="C50" s="622"/>
      <c r="D50" s="622"/>
      <c r="E50" s="622"/>
      <c r="F50" s="622"/>
      <c r="G50" s="622"/>
      <c r="H50" s="622"/>
      <c r="I50" s="291"/>
      <c r="J50" s="486"/>
      <c r="K50" s="458"/>
      <c r="L50" s="704"/>
      <c r="M50" s="704"/>
      <c r="N50" s="486"/>
      <c r="O50" s="266"/>
    </row>
    <row r="51" spans="1:15" ht="86.25" customHeight="1" x14ac:dyDescent="0.35">
      <c r="A51" s="187" t="s">
        <v>1007</v>
      </c>
      <c r="B51" s="360" t="s">
        <v>50</v>
      </c>
      <c r="C51" s="175" t="s">
        <v>898</v>
      </c>
      <c r="D51" s="175" t="s">
        <v>52</v>
      </c>
      <c r="E51" s="187" t="s">
        <v>49</v>
      </c>
      <c r="F51" s="175" t="s">
        <v>1</v>
      </c>
      <c r="G51" s="187"/>
      <c r="H51" s="175" t="s">
        <v>51</v>
      </c>
      <c r="I51" s="187" t="s">
        <v>2</v>
      </c>
      <c r="J51" s="189" t="s">
        <v>4862</v>
      </c>
      <c r="K51" s="189" t="s">
        <v>5140</v>
      </c>
      <c r="L51" s="623" t="s">
        <v>5132</v>
      </c>
      <c r="M51" s="623" t="s">
        <v>5132</v>
      </c>
      <c r="N51" s="189" t="s">
        <v>1006</v>
      </c>
      <c r="O51" s="187" t="s">
        <v>50</v>
      </c>
    </row>
    <row r="52" spans="1:15" ht="24.75" customHeight="1" x14ac:dyDescent="0.35">
      <c r="A52" s="272" t="s">
        <v>1226</v>
      </c>
      <c r="B52" s="463" t="s">
        <v>102</v>
      </c>
      <c r="C52" s="165" t="s">
        <v>5</v>
      </c>
      <c r="D52" s="141" t="s">
        <v>4</v>
      </c>
      <c r="E52" s="237" t="s">
        <v>94</v>
      </c>
      <c r="F52" s="163" t="s">
        <v>56</v>
      </c>
      <c r="G52" s="146"/>
      <c r="H52" s="141">
        <v>70111</v>
      </c>
      <c r="I52" s="142" t="s">
        <v>901</v>
      </c>
      <c r="J52" s="144">
        <v>3000000</v>
      </c>
      <c r="K52" s="627">
        <v>2000000</v>
      </c>
      <c r="L52" s="394"/>
      <c r="M52" s="394" t="s">
        <v>5133</v>
      </c>
      <c r="N52" s="277">
        <f>[2]CAPEX!$K$59</f>
        <v>2000000</v>
      </c>
      <c r="O52" s="180" t="s">
        <v>102</v>
      </c>
    </row>
    <row r="53" spans="1:15" ht="36" customHeight="1" x14ac:dyDescent="0.35">
      <c r="A53" s="272" t="s">
        <v>1227</v>
      </c>
      <c r="B53" s="463" t="s">
        <v>97</v>
      </c>
      <c r="C53" s="165" t="s">
        <v>5</v>
      </c>
      <c r="D53" s="141" t="s">
        <v>4</v>
      </c>
      <c r="E53" s="237" t="s">
        <v>94</v>
      </c>
      <c r="F53" s="163" t="s">
        <v>98</v>
      </c>
      <c r="G53" s="146"/>
      <c r="H53" s="141">
        <v>70111</v>
      </c>
      <c r="I53" s="142" t="s">
        <v>99</v>
      </c>
      <c r="J53" s="144">
        <v>10000000</v>
      </c>
      <c r="K53" s="627">
        <v>5000000</v>
      </c>
      <c r="L53" s="394"/>
      <c r="M53" s="394" t="s">
        <v>5133</v>
      </c>
      <c r="N53" s="277">
        <v>5000000</v>
      </c>
      <c r="O53" s="180" t="s">
        <v>97</v>
      </c>
    </row>
    <row r="54" spans="1:15" ht="31.5" customHeight="1" x14ac:dyDescent="0.35">
      <c r="A54" s="272" t="s">
        <v>1228</v>
      </c>
      <c r="B54" s="463" t="s">
        <v>57</v>
      </c>
      <c r="C54" s="165" t="s">
        <v>5</v>
      </c>
      <c r="D54" s="141" t="s">
        <v>4</v>
      </c>
      <c r="E54" s="237" t="s">
        <v>94</v>
      </c>
      <c r="F54" s="163" t="s">
        <v>108</v>
      </c>
      <c r="G54" s="146"/>
      <c r="H54" s="141">
        <v>70111</v>
      </c>
      <c r="I54" s="142" t="s">
        <v>907</v>
      </c>
      <c r="J54" s="144">
        <v>10000000</v>
      </c>
      <c r="K54" s="627">
        <v>1249420</v>
      </c>
      <c r="L54" s="394"/>
      <c r="M54" s="394" t="s">
        <v>5133</v>
      </c>
      <c r="N54" s="277">
        <v>1000000</v>
      </c>
      <c r="O54" s="180" t="s">
        <v>57</v>
      </c>
    </row>
    <row r="55" spans="1:15" ht="47.25" customHeight="1" x14ac:dyDescent="0.35">
      <c r="A55" s="272" t="s">
        <v>1229</v>
      </c>
      <c r="B55" s="463" t="s">
        <v>112</v>
      </c>
      <c r="C55" s="165" t="s">
        <v>5</v>
      </c>
      <c r="D55" s="141" t="s">
        <v>4</v>
      </c>
      <c r="E55" s="237" t="s">
        <v>94</v>
      </c>
      <c r="F55" s="163" t="s">
        <v>982</v>
      </c>
      <c r="G55" s="146"/>
      <c r="H55" s="141">
        <v>70111</v>
      </c>
      <c r="I55" s="142" t="s">
        <v>902</v>
      </c>
      <c r="J55" s="144">
        <v>30414868</v>
      </c>
      <c r="K55" s="627">
        <v>10000000</v>
      </c>
      <c r="L55" s="394"/>
      <c r="M55" s="394" t="s">
        <v>5133</v>
      </c>
      <c r="N55" s="277">
        <v>40000000</v>
      </c>
      <c r="O55" s="180" t="s">
        <v>112</v>
      </c>
    </row>
    <row r="56" spans="1:15" ht="37.5" customHeight="1" x14ac:dyDescent="0.35">
      <c r="A56" s="272" t="s">
        <v>1230</v>
      </c>
      <c r="B56" s="463" t="s">
        <v>60</v>
      </c>
      <c r="C56" s="165" t="s">
        <v>5</v>
      </c>
      <c r="D56" s="141" t="s">
        <v>4</v>
      </c>
      <c r="E56" s="237" t="s">
        <v>94</v>
      </c>
      <c r="F56" s="163" t="s">
        <v>983</v>
      </c>
      <c r="G56" s="146"/>
      <c r="H56" s="141">
        <v>70111</v>
      </c>
      <c r="I56" s="142" t="s">
        <v>902</v>
      </c>
      <c r="J56" s="144">
        <v>20000000</v>
      </c>
      <c r="K56" s="627">
        <v>6750580</v>
      </c>
      <c r="L56" s="394"/>
      <c r="M56" s="394" t="s">
        <v>5133</v>
      </c>
      <c r="N56" s="277">
        <v>10000000</v>
      </c>
      <c r="O56" s="180" t="s">
        <v>60</v>
      </c>
    </row>
    <row r="57" spans="1:15" ht="36.75" customHeight="1" x14ac:dyDescent="0.35">
      <c r="A57" s="272" t="s">
        <v>2647</v>
      </c>
      <c r="B57" s="463" t="s">
        <v>115</v>
      </c>
      <c r="C57" s="165" t="s">
        <v>5</v>
      </c>
      <c r="D57" s="141" t="s">
        <v>4</v>
      </c>
      <c r="E57" s="237" t="s">
        <v>94</v>
      </c>
      <c r="F57" s="163" t="s">
        <v>983</v>
      </c>
      <c r="G57" s="146"/>
      <c r="H57" s="141">
        <v>70111</v>
      </c>
      <c r="I57" s="142" t="s">
        <v>902</v>
      </c>
      <c r="J57" s="144">
        <v>10000000</v>
      </c>
      <c r="K57" s="627">
        <v>10000000</v>
      </c>
      <c r="L57" s="394"/>
      <c r="M57" s="394" t="s">
        <v>5133</v>
      </c>
      <c r="N57" s="277">
        <v>3000000</v>
      </c>
      <c r="O57" s="180" t="s">
        <v>115</v>
      </c>
    </row>
    <row r="58" spans="1:15" ht="31.5" customHeight="1" x14ac:dyDescent="0.35">
      <c r="A58" s="272" t="s">
        <v>2648</v>
      </c>
      <c r="B58" s="463" t="s">
        <v>100</v>
      </c>
      <c r="C58" s="165" t="s">
        <v>5</v>
      </c>
      <c r="D58" s="141" t="s">
        <v>4</v>
      </c>
      <c r="E58" s="237" t="s">
        <v>94</v>
      </c>
      <c r="F58" s="163" t="s">
        <v>101</v>
      </c>
      <c r="G58" s="146"/>
      <c r="H58" s="141">
        <v>70111</v>
      </c>
      <c r="I58" s="142" t="s">
        <v>900</v>
      </c>
      <c r="J58" s="144">
        <v>1000000</v>
      </c>
      <c r="K58" s="627">
        <v>1000000</v>
      </c>
      <c r="L58" s="394"/>
      <c r="M58" s="394" t="s">
        <v>5133</v>
      </c>
      <c r="N58" s="277">
        <v>1000000</v>
      </c>
      <c r="O58" s="180" t="s">
        <v>100</v>
      </c>
    </row>
    <row r="59" spans="1:15" ht="30" customHeight="1" x14ac:dyDescent="0.35">
      <c r="A59" s="272" t="s">
        <v>2649</v>
      </c>
      <c r="B59" s="463" t="s">
        <v>104</v>
      </c>
      <c r="C59" s="165" t="s">
        <v>5</v>
      </c>
      <c r="D59" s="141" t="s">
        <v>4</v>
      </c>
      <c r="E59" s="237" t="s">
        <v>94</v>
      </c>
      <c r="F59" s="163" t="s">
        <v>105</v>
      </c>
      <c r="G59" s="146"/>
      <c r="H59" s="141">
        <v>70111</v>
      </c>
      <c r="I59" s="142" t="s">
        <v>59</v>
      </c>
      <c r="J59" s="144">
        <v>3000000</v>
      </c>
      <c r="K59" s="627">
        <v>1000000</v>
      </c>
      <c r="L59" s="394"/>
      <c r="M59" s="394" t="s">
        <v>5133</v>
      </c>
      <c r="N59" s="277">
        <v>1802700</v>
      </c>
      <c r="O59" s="180" t="s">
        <v>104</v>
      </c>
    </row>
    <row r="60" spans="1:15" ht="41.25" customHeight="1" x14ac:dyDescent="0.35">
      <c r="A60" s="272" t="s">
        <v>2650</v>
      </c>
      <c r="B60" s="463" t="s">
        <v>107</v>
      </c>
      <c r="C60" s="165" t="s">
        <v>5</v>
      </c>
      <c r="D60" s="141" t="s">
        <v>4</v>
      </c>
      <c r="E60" s="237" t="s">
        <v>94</v>
      </c>
      <c r="F60" s="163" t="s">
        <v>105</v>
      </c>
      <c r="G60" s="146"/>
      <c r="H60" s="141">
        <v>70111</v>
      </c>
      <c r="I60" s="142" t="s">
        <v>59</v>
      </c>
      <c r="J60" s="144">
        <v>10000000</v>
      </c>
      <c r="K60" s="627">
        <v>5000000</v>
      </c>
      <c r="L60" s="394"/>
      <c r="M60" s="394" t="s">
        <v>5133</v>
      </c>
      <c r="N60" s="277">
        <v>5000000</v>
      </c>
      <c r="O60" s="180" t="s">
        <v>107</v>
      </c>
    </row>
    <row r="61" spans="1:15" ht="30.75" customHeight="1" x14ac:dyDescent="0.35">
      <c r="A61" s="272" t="s">
        <v>2651</v>
      </c>
      <c r="B61" s="463" t="s">
        <v>109</v>
      </c>
      <c r="C61" s="165" t="s">
        <v>5</v>
      </c>
      <c r="D61" s="141" t="s">
        <v>4</v>
      </c>
      <c r="E61" s="237" t="s">
        <v>94</v>
      </c>
      <c r="F61" s="163" t="s">
        <v>110</v>
      </c>
      <c r="G61" s="146"/>
      <c r="H61" s="141">
        <v>70111</v>
      </c>
      <c r="I61" s="142" t="s">
        <v>906</v>
      </c>
      <c r="J61" s="144">
        <v>20000000</v>
      </c>
      <c r="K61" s="627">
        <v>12500000</v>
      </c>
      <c r="L61" s="394"/>
      <c r="M61" s="394" t="s">
        <v>5133</v>
      </c>
      <c r="N61" s="277">
        <v>20000000</v>
      </c>
      <c r="O61" s="180" t="s">
        <v>109</v>
      </c>
    </row>
    <row r="62" spans="1:15" ht="30" customHeight="1" x14ac:dyDescent="0.35">
      <c r="A62" s="272" t="s">
        <v>2652</v>
      </c>
      <c r="B62" s="463" t="s">
        <v>113</v>
      </c>
      <c r="C62" s="165" t="s">
        <v>5</v>
      </c>
      <c r="D62" s="141" t="s">
        <v>4</v>
      </c>
      <c r="E62" s="237" t="s">
        <v>94</v>
      </c>
      <c r="F62" s="163" t="s">
        <v>110</v>
      </c>
      <c r="G62" s="146"/>
      <c r="H62" s="141">
        <v>70111</v>
      </c>
      <c r="I62" s="142" t="s">
        <v>906</v>
      </c>
      <c r="J62" s="144">
        <v>30000000</v>
      </c>
      <c r="K62" s="627">
        <v>12500000</v>
      </c>
      <c r="L62" s="394"/>
      <c r="M62" s="394" t="s">
        <v>5133</v>
      </c>
      <c r="N62" s="277">
        <v>15000000</v>
      </c>
      <c r="O62" s="180" t="s">
        <v>113</v>
      </c>
    </row>
    <row r="63" spans="1:15" ht="39.75" customHeight="1" x14ac:dyDescent="0.35">
      <c r="A63" s="272" t="s">
        <v>2653</v>
      </c>
      <c r="B63" s="463" t="s">
        <v>96</v>
      </c>
      <c r="C63" s="165" t="s">
        <v>5</v>
      </c>
      <c r="D63" s="141" t="s">
        <v>4</v>
      </c>
      <c r="E63" s="237" t="s">
        <v>94</v>
      </c>
      <c r="F63" s="163" t="s">
        <v>54</v>
      </c>
      <c r="G63" s="146"/>
      <c r="H63" s="141">
        <v>70111</v>
      </c>
      <c r="I63" s="142" t="s">
        <v>900</v>
      </c>
      <c r="J63" s="144">
        <v>30000000</v>
      </c>
      <c r="K63" s="627">
        <v>10000000</v>
      </c>
      <c r="L63" s="394"/>
      <c r="M63" s="394" t="s">
        <v>5133</v>
      </c>
      <c r="N63" s="277">
        <v>20000000</v>
      </c>
      <c r="O63" s="180" t="s">
        <v>96</v>
      </c>
    </row>
    <row r="64" spans="1:15" ht="27.75" customHeight="1" x14ac:dyDescent="0.35">
      <c r="A64" s="272" t="s">
        <v>2654</v>
      </c>
      <c r="B64" s="463" t="s">
        <v>103</v>
      </c>
      <c r="C64" s="165" t="s">
        <v>5</v>
      </c>
      <c r="D64" s="141" t="s">
        <v>4</v>
      </c>
      <c r="E64" s="237" t="s">
        <v>94</v>
      </c>
      <c r="F64" s="163" t="s">
        <v>54</v>
      </c>
      <c r="G64" s="146"/>
      <c r="H64" s="141">
        <v>70111</v>
      </c>
      <c r="I64" s="142" t="s">
        <v>900</v>
      </c>
      <c r="J64" s="144">
        <v>2000000</v>
      </c>
      <c r="K64" s="627">
        <v>1000000</v>
      </c>
      <c r="L64" s="394"/>
      <c r="M64" s="394" t="s">
        <v>5133</v>
      </c>
      <c r="N64" s="277">
        <v>1000000</v>
      </c>
      <c r="O64" s="180" t="s">
        <v>103</v>
      </c>
    </row>
    <row r="65" spans="1:16" ht="27.75" customHeight="1" x14ac:dyDescent="0.35">
      <c r="A65" s="272" t="s">
        <v>2655</v>
      </c>
      <c r="B65" s="463" t="s">
        <v>106</v>
      </c>
      <c r="C65" s="165" t="s">
        <v>5</v>
      </c>
      <c r="D65" s="141" t="s">
        <v>4</v>
      </c>
      <c r="E65" s="237" t="s">
        <v>94</v>
      </c>
      <c r="F65" s="163" t="s">
        <v>54</v>
      </c>
      <c r="G65" s="146"/>
      <c r="H65" s="141" t="s">
        <v>19</v>
      </c>
      <c r="I65" s="142" t="s">
        <v>900</v>
      </c>
      <c r="J65" s="144">
        <v>10000000</v>
      </c>
      <c r="K65" s="627">
        <v>5000000</v>
      </c>
      <c r="L65" s="394"/>
      <c r="M65" s="394" t="s">
        <v>5133</v>
      </c>
      <c r="N65" s="277">
        <v>5000000</v>
      </c>
      <c r="O65" s="180" t="s">
        <v>106</v>
      </c>
    </row>
    <row r="66" spans="1:16" ht="28.5" customHeight="1" x14ac:dyDescent="0.35">
      <c r="A66" s="272" t="s">
        <v>2656</v>
      </c>
      <c r="B66" s="463" t="s">
        <v>111</v>
      </c>
      <c r="C66" s="165" t="s">
        <v>5</v>
      </c>
      <c r="D66" s="141" t="s">
        <v>4</v>
      </c>
      <c r="E66" s="237" t="s">
        <v>94</v>
      </c>
      <c r="F66" s="163" t="s">
        <v>54</v>
      </c>
      <c r="G66" s="146"/>
      <c r="H66" s="141">
        <v>70111</v>
      </c>
      <c r="I66" s="142" t="s">
        <v>900</v>
      </c>
      <c r="J66" s="144">
        <v>15000000</v>
      </c>
      <c r="K66" s="627">
        <v>5000000</v>
      </c>
      <c r="L66" s="394"/>
      <c r="M66" s="394" t="s">
        <v>5133</v>
      </c>
      <c r="N66" s="277">
        <v>10000000</v>
      </c>
      <c r="O66" s="180" t="s">
        <v>111</v>
      </c>
    </row>
    <row r="67" spans="1:16" ht="48" customHeight="1" x14ac:dyDescent="0.35">
      <c r="A67" s="272" t="s">
        <v>2657</v>
      </c>
      <c r="B67" s="463" t="s">
        <v>114</v>
      </c>
      <c r="C67" s="165" t="s">
        <v>5</v>
      </c>
      <c r="D67" s="141" t="s">
        <v>4</v>
      </c>
      <c r="E67" s="237" t="s">
        <v>94</v>
      </c>
      <c r="F67" s="163" t="s">
        <v>54</v>
      </c>
      <c r="G67" s="146"/>
      <c r="H67" s="141">
        <v>70111</v>
      </c>
      <c r="I67" s="142" t="s">
        <v>900</v>
      </c>
      <c r="J67" s="144">
        <v>7000000</v>
      </c>
      <c r="K67" s="627">
        <v>7000000</v>
      </c>
      <c r="L67" s="394"/>
      <c r="M67" s="394" t="s">
        <v>5133</v>
      </c>
      <c r="N67" s="277">
        <v>2000000</v>
      </c>
      <c r="O67" s="180" t="s">
        <v>114</v>
      </c>
    </row>
    <row r="68" spans="1:16" ht="29.25" customHeight="1" x14ac:dyDescent="0.35">
      <c r="A68" s="272" t="s">
        <v>2658</v>
      </c>
      <c r="B68" s="463" t="s">
        <v>272</v>
      </c>
      <c r="C68" s="165" t="s">
        <v>5</v>
      </c>
      <c r="D68" s="141" t="s">
        <v>4</v>
      </c>
      <c r="E68" s="237" t="s">
        <v>94</v>
      </c>
      <c r="F68" s="163" t="s">
        <v>62</v>
      </c>
      <c r="G68" s="146"/>
      <c r="H68" s="141">
        <v>70111</v>
      </c>
      <c r="I68" s="142" t="s">
        <v>904</v>
      </c>
      <c r="J68" s="144">
        <v>30000000</v>
      </c>
      <c r="K68" s="627">
        <f>10000000+350000</f>
        <v>10350000</v>
      </c>
      <c r="L68" s="394"/>
      <c r="M68" s="394" t="s">
        <v>5133</v>
      </c>
      <c r="N68" s="277">
        <v>20000000</v>
      </c>
      <c r="O68" s="180" t="s">
        <v>272</v>
      </c>
    </row>
    <row r="69" spans="1:16" ht="29.25" customHeight="1" x14ac:dyDescent="0.35">
      <c r="A69" s="272" t="s">
        <v>2659</v>
      </c>
      <c r="B69" s="463" t="s">
        <v>2622</v>
      </c>
      <c r="C69" s="165" t="s">
        <v>5</v>
      </c>
      <c r="D69" s="141" t="s">
        <v>4</v>
      </c>
      <c r="E69" s="237" t="s">
        <v>94</v>
      </c>
      <c r="F69" s="163" t="s">
        <v>62</v>
      </c>
      <c r="G69" s="146"/>
      <c r="H69" s="141">
        <v>70111</v>
      </c>
      <c r="I69" s="142" t="s">
        <v>904</v>
      </c>
      <c r="J69" s="144">
        <v>30000000</v>
      </c>
      <c r="K69" s="627">
        <v>15000000</v>
      </c>
      <c r="L69" s="394"/>
      <c r="M69" s="394" t="s">
        <v>5133</v>
      </c>
      <c r="N69" s="277">
        <v>10000000</v>
      </c>
      <c r="O69" s="180" t="s">
        <v>2622</v>
      </c>
    </row>
    <row r="70" spans="1:16" ht="51" customHeight="1" x14ac:dyDescent="0.35">
      <c r="A70" s="272" t="s">
        <v>2660</v>
      </c>
      <c r="B70" s="463" t="s">
        <v>2623</v>
      </c>
      <c r="C70" s="165" t="s">
        <v>5</v>
      </c>
      <c r="D70" s="141" t="s">
        <v>4</v>
      </c>
      <c r="E70" s="237" t="s">
        <v>91</v>
      </c>
      <c r="F70" s="163" t="s">
        <v>62</v>
      </c>
      <c r="G70" s="238"/>
      <c r="H70" s="141">
        <v>70111</v>
      </c>
      <c r="I70" s="142" t="s">
        <v>904</v>
      </c>
      <c r="J70" s="144">
        <f>N70</f>
        <v>10000000</v>
      </c>
      <c r="K70" s="627"/>
      <c r="L70" s="394"/>
      <c r="M70" s="394" t="s">
        <v>5133</v>
      </c>
      <c r="N70" s="149">
        <v>10000000</v>
      </c>
      <c r="O70" s="150" t="s">
        <v>2623</v>
      </c>
    </row>
    <row r="71" spans="1:16" s="247" customFormat="1" ht="47.25" customHeight="1" x14ac:dyDescent="0.3">
      <c r="A71" s="245"/>
      <c r="B71" s="360" t="s">
        <v>1008</v>
      </c>
      <c r="C71" s="188"/>
      <c r="D71" s="171"/>
      <c r="E71" s="273"/>
      <c r="F71" s="257"/>
      <c r="G71" s="274"/>
      <c r="H71" s="171"/>
      <c r="I71" s="275"/>
      <c r="J71" s="259">
        <f>SUM(J52:J70)</f>
        <v>281414868</v>
      </c>
      <c r="K71" s="259">
        <f>SUM(K52:K70)</f>
        <v>120350000</v>
      </c>
      <c r="L71" s="707"/>
      <c r="M71" s="707"/>
      <c r="N71" s="259">
        <f>SUM(N52:N70)</f>
        <v>181802700</v>
      </c>
      <c r="O71" s="276" t="s">
        <v>1008</v>
      </c>
      <c r="P71" s="246">
        <f>[2]CAPEX!$K$73</f>
        <v>171802700</v>
      </c>
    </row>
    <row r="72" spans="1:16" ht="37.5" customHeight="1" x14ac:dyDescent="0.35">
      <c r="B72" s="580"/>
      <c r="C72" s="297"/>
      <c r="D72" s="297"/>
      <c r="E72" s="297"/>
      <c r="F72" s="297"/>
      <c r="G72" s="297"/>
      <c r="H72" s="297"/>
      <c r="I72" s="297"/>
      <c r="J72" s="297"/>
      <c r="K72" s="458"/>
      <c r="L72" s="704"/>
      <c r="M72" s="704"/>
      <c r="N72" s="297"/>
      <c r="O72" s="615"/>
    </row>
    <row r="73" spans="1:16" ht="29.25" customHeight="1" x14ac:dyDescent="0.35">
      <c r="A73" s="600" t="s">
        <v>4716</v>
      </c>
      <c r="B73" s="600"/>
      <c r="C73" s="600"/>
      <c r="D73" s="600"/>
      <c r="E73" s="600"/>
      <c r="F73" s="600"/>
      <c r="G73" s="600"/>
      <c r="H73" s="600"/>
      <c r="I73" s="600"/>
      <c r="J73" s="600"/>
      <c r="K73" s="458"/>
      <c r="L73" s="704"/>
      <c r="M73" s="704"/>
      <c r="N73" s="600"/>
      <c r="O73" s="601"/>
    </row>
    <row r="74" spans="1:16" ht="27.75" hidden="1" customHeight="1" x14ac:dyDescent="0.35">
      <c r="A74" s="357" t="s">
        <v>116</v>
      </c>
      <c r="B74" s="357"/>
      <c r="C74" s="357"/>
      <c r="D74" s="357"/>
      <c r="E74" s="357"/>
      <c r="F74" s="357"/>
      <c r="G74" s="357"/>
      <c r="H74" s="357"/>
      <c r="I74" s="357"/>
      <c r="J74" s="357"/>
      <c r="K74" s="458"/>
      <c r="L74" s="704"/>
      <c r="M74" s="704"/>
      <c r="N74" s="357"/>
      <c r="O74" s="605"/>
    </row>
    <row r="75" spans="1:16" s="235" customFormat="1" ht="72" customHeight="1" x14ac:dyDescent="0.35">
      <c r="A75" s="187" t="s">
        <v>1007</v>
      </c>
      <c r="B75" s="360" t="s">
        <v>50</v>
      </c>
      <c r="C75" s="175" t="s">
        <v>898</v>
      </c>
      <c r="D75" s="175" t="s">
        <v>52</v>
      </c>
      <c r="E75" s="187" t="s">
        <v>49</v>
      </c>
      <c r="F75" s="175" t="s">
        <v>1</v>
      </c>
      <c r="G75" s="187"/>
      <c r="H75" s="175" t="s">
        <v>51</v>
      </c>
      <c r="I75" s="187" t="s">
        <v>2</v>
      </c>
      <c r="J75" s="189" t="s">
        <v>4862</v>
      </c>
      <c r="K75" s="189" t="s">
        <v>5140</v>
      </c>
      <c r="L75" s="623" t="s">
        <v>5132</v>
      </c>
      <c r="M75" s="623" t="s">
        <v>5132</v>
      </c>
      <c r="N75" s="189" t="s">
        <v>1006</v>
      </c>
      <c r="O75" s="187" t="s">
        <v>50</v>
      </c>
      <c r="P75" s="234"/>
    </row>
    <row r="76" spans="1:16" ht="31.5" customHeight="1" x14ac:dyDescent="0.35">
      <c r="A76" s="272" t="s">
        <v>2661</v>
      </c>
      <c r="B76" s="463" t="s">
        <v>136</v>
      </c>
      <c r="C76" s="165" t="s">
        <v>5</v>
      </c>
      <c r="D76" s="143" t="s">
        <v>4</v>
      </c>
      <c r="E76" s="237" t="s">
        <v>117</v>
      </c>
      <c r="F76" s="163" t="s">
        <v>137</v>
      </c>
      <c r="G76" s="146"/>
      <c r="H76" s="253">
        <v>70111</v>
      </c>
      <c r="I76" s="146" t="s">
        <v>908</v>
      </c>
      <c r="J76" s="147">
        <v>250000000</v>
      </c>
      <c r="K76" s="627">
        <v>5000000</v>
      </c>
      <c r="L76" s="394"/>
      <c r="M76" s="394" t="s">
        <v>5133</v>
      </c>
      <c r="N76" s="277">
        <v>6309406</v>
      </c>
      <c r="O76" s="180" t="s">
        <v>136</v>
      </c>
    </row>
    <row r="77" spans="1:16" ht="31.5" customHeight="1" x14ac:dyDescent="0.35">
      <c r="A77" s="272" t="s">
        <v>2662</v>
      </c>
      <c r="B77" s="463" t="s">
        <v>125</v>
      </c>
      <c r="C77" s="165" t="s">
        <v>5</v>
      </c>
      <c r="D77" s="143" t="s">
        <v>4</v>
      </c>
      <c r="E77" s="237" t="s">
        <v>117</v>
      </c>
      <c r="F77" s="163">
        <v>22020309</v>
      </c>
      <c r="G77" s="146"/>
      <c r="H77" s="253">
        <v>70111</v>
      </c>
      <c r="I77" s="146" t="s">
        <v>901</v>
      </c>
      <c r="J77" s="147">
        <v>5855978</v>
      </c>
      <c r="K77" s="627">
        <v>1000000</v>
      </c>
      <c r="L77" s="394"/>
      <c r="M77" s="394" t="s">
        <v>5133</v>
      </c>
      <c r="N77" s="277">
        <v>5855978</v>
      </c>
      <c r="O77" s="180" t="s">
        <v>125</v>
      </c>
    </row>
    <row r="78" spans="1:16" ht="33.75" customHeight="1" x14ac:dyDescent="0.35">
      <c r="A78" s="272" t="s">
        <v>2663</v>
      </c>
      <c r="B78" s="463" t="s">
        <v>166</v>
      </c>
      <c r="C78" s="165" t="s">
        <v>5</v>
      </c>
      <c r="D78" s="143" t="s">
        <v>4</v>
      </c>
      <c r="E78" s="237" t="s">
        <v>117</v>
      </c>
      <c r="F78" s="163" t="s">
        <v>98</v>
      </c>
      <c r="G78" s="146"/>
      <c r="H78" s="253">
        <v>70111</v>
      </c>
      <c r="I78" s="146" t="s">
        <v>99</v>
      </c>
      <c r="J78" s="147">
        <v>10000000</v>
      </c>
      <c r="K78" s="627">
        <v>10000000</v>
      </c>
      <c r="L78" s="394"/>
      <c r="M78" s="394" t="s">
        <v>5133</v>
      </c>
      <c r="N78" s="277">
        <v>10000000</v>
      </c>
      <c r="O78" s="180" t="s">
        <v>166</v>
      </c>
    </row>
    <row r="79" spans="1:16" ht="33.75" customHeight="1" x14ac:dyDescent="0.35">
      <c r="A79" s="272" t="s">
        <v>2664</v>
      </c>
      <c r="B79" s="463" t="s">
        <v>122</v>
      </c>
      <c r="C79" s="165" t="s">
        <v>5</v>
      </c>
      <c r="D79" s="143" t="s">
        <v>4</v>
      </c>
      <c r="E79" s="237" t="s">
        <v>117</v>
      </c>
      <c r="F79" s="163" t="s">
        <v>108</v>
      </c>
      <c r="G79" s="146"/>
      <c r="H79" s="253">
        <v>70111</v>
      </c>
      <c r="I79" s="167" t="s">
        <v>123</v>
      </c>
      <c r="J79" s="277">
        <v>20000000</v>
      </c>
      <c r="K79" s="627">
        <v>10000000</v>
      </c>
      <c r="L79" s="394"/>
      <c r="M79" s="394" t="s">
        <v>5133</v>
      </c>
      <c r="N79" s="277">
        <v>20000000</v>
      </c>
      <c r="O79" s="180" t="s">
        <v>122</v>
      </c>
    </row>
    <row r="80" spans="1:16" ht="30" customHeight="1" x14ac:dyDescent="0.35">
      <c r="A80" s="272" t="s">
        <v>2665</v>
      </c>
      <c r="B80" s="463" t="s">
        <v>149</v>
      </c>
      <c r="C80" s="165" t="s">
        <v>5</v>
      </c>
      <c r="D80" s="143" t="s">
        <v>4</v>
      </c>
      <c r="E80" s="237" t="s">
        <v>117</v>
      </c>
      <c r="F80" s="163" t="s">
        <v>150</v>
      </c>
      <c r="G80" s="146"/>
      <c r="H80" s="253">
        <v>70111</v>
      </c>
      <c r="I80" s="278" t="s">
        <v>900</v>
      </c>
      <c r="J80" s="147">
        <v>20000000</v>
      </c>
      <c r="K80" s="627">
        <v>20000000</v>
      </c>
      <c r="L80" s="394"/>
      <c r="M80" s="394" t="s">
        <v>5133</v>
      </c>
      <c r="N80" s="277">
        <v>13072481</v>
      </c>
      <c r="O80" s="180" t="s">
        <v>149</v>
      </c>
    </row>
    <row r="81" spans="1:16" ht="45" customHeight="1" x14ac:dyDescent="0.35">
      <c r="A81" s="272" t="s">
        <v>2666</v>
      </c>
      <c r="B81" s="463" t="s">
        <v>130</v>
      </c>
      <c r="C81" s="165" t="s">
        <v>5</v>
      </c>
      <c r="D81" s="143" t="s">
        <v>4</v>
      </c>
      <c r="E81" s="237" t="s">
        <v>117</v>
      </c>
      <c r="F81" s="163" t="s">
        <v>131</v>
      </c>
      <c r="G81" s="146"/>
      <c r="H81" s="253">
        <v>70111</v>
      </c>
      <c r="I81" s="146" t="s">
        <v>903</v>
      </c>
      <c r="J81" s="147">
        <v>5000000</v>
      </c>
      <c r="K81" s="627">
        <v>5000000</v>
      </c>
      <c r="L81" s="394"/>
      <c r="M81" s="394" t="s">
        <v>5133</v>
      </c>
      <c r="N81" s="277">
        <v>5000000</v>
      </c>
      <c r="O81" s="180" t="s">
        <v>130</v>
      </c>
    </row>
    <row r="82" spans="1:16" ht="31.5" customHeight="1" x14ac:dyDescent="0.35">
      <c r="A82" s="272" t="s">
        <v>2667</v>
      </c>
      <c r="B82" s="463" t="s">
        <v>134</v>
      </c>
      <c r="C82" s="165" t="s">
        <v>5</v>
      </c>
      <c r="D82" s="143" t="s">
        <v>4</v>
      </c>
      <c r="E82" s="237" t="s">
        <v>117</v>
      </c>
      <c r="F82" s="163" t="s">
        <v>131</v>
      </c>
      <c r="G82" s="146"/>
      <c r="H82" s="253">
        <v>70111</v>
      </c>
      <c r="I82" s="146" t="s">
        <v>903</v>
      </c>
      <c r="J82" s="147">
        <v>10309406</v>
      </c>
      <c r="K82" s="147">
        <v>10309406</v>
      </c>
      <c r="L82" s="394"/>
      <c r="M82" s="394" t="s">
        <v>5133</v>
      </c>
      <c r="N82" s="277">
        <v>10309406</v>
      </c>
      <c r="O82" s="180" t="s">
        <v>134</v>
      </c>
    </row>
    <row r="83" spans="1:16" ht="27" customHeight="1" x14ac:dyDescent="0.35">
      <c r="A83" s="272" t="s">
        <v>2668</v>
      </c>
      <c r="B83" s="463" t="s">
        <v>138</v>
      </c>
      <c r="C83" s="165" t="s">
        <v>5</v>
      </c>
      <c r="D83" s="143" t="s">
        <v>4</v>
      </c>
      <c r="E83" s="237" t="s">
        <v>117</v>
      </c>
      <c r="F83" s="163" t="s">
        <v>131</v>
      </c>
      <c r="G83" s="146"/>
      <c r="H83" s="253">
        <v>70111</v>
      </c>
      <c r="I83" s="146" t="s">
        <v>903</v>
      </c>
      <c r="J83" s="147">
        <v>5000000</v>
      </c>
      <c r="K83" s="627">
        <v>1000000</v>
      </c>
      <c r="L83" s="394"/>
      <c r="M83" s="394" t="s">
        <v>5133</v>
      </c>
      <c r="N83" s="277">
        <v>5000000</v>
      </c>
      <c r="O83" s="180" t="s">
        <v>138</v>
      </c>
      <c r="P83" s="231">
        <f>83+42</f>
        <v>125</v>
      </c>
    </row>
    <row r="84" spans="1:16" ht="34.5" customHeight="1" x14ac:dyDescent="0.35">
      <c r="A84" s="272" t="s">
        <v>2669</v>
      </c>
      <c r="B84" s="463" t="s">
        <v>171</v>
      </c>
      <c r="C84" s="165" t="s">
        <v>5</v>
      </c>
      <c r="D84" s="143" t="s">
        <v>4</v>
      </c>
      <c r="E84" s="237" t="s">
        <v>117</v>
      </c>
      <c r="F84" s="163" t="s">
        <v>131</v>
      </c>
      <c r="G84" s="146"/>
      <c r="H84" s="253">
        <v>70111</v>
      </c>
      <c r="I84" s="146" t="s">
        <v>903</v>
      </c>
      <c r="J84" s="147">
        <v>1000000</v>
      </c>
      <c r="K84" s="627">
        <v>1000000</v>
      </c>
      <c r="L84" s="394"/>
      <c r="M84" s="394" t="s">
        <v>5133</v>
      </c>
      <c r="N84" s="277">
        <v>1000000</v>
      </c>
      <c r="O84" s="180" t="s">
        <v>171</v>
      </c>
    </row>
    <row r="85" spans="1:16" ht="28.5" customHeight="1" x14ac:dyDescent="0.35">
      <c r="A85" s="272" t="s">
        <v>2670</v>
      </c>
      <c r="B85" s="463" t="s">
        <v>143</v>
      </c>
      <c r="C85" s="165" t="s">
        <v>5</v>
      </c>
      <c r="D85" s="143" t="s">
        <v>4</v>
      </c>
      <c r="E85" s="237" t="s">
        <v>117</v>
      </c>
      <c r="F85" s="163" t="s">
        <v>144</v>
      </c>
      <c r="G85" s="238"/>
      <c r="H85" s="253">
        <v>70111</v>
      </c>
      <c r="I85" s="146" t="s">
        <v>903</v>
      </c>
      <c r="J85" s="147">
        <v>3000000</v>
      </c>
      <c r="K85" s="147">
        <v>3000000</v>
      </c>
      <c r="L85" s="394"/>
      <c r="M85" s="394" t="s">
        <v>5133</v>
      </c>
      <c r="N85" s="277">
        <v>12965597</v>
      </c>
      <c r="O85" s="180" t="s">
        <v>143</v>
      </c>
    </row>
    <row r="86" spans="1:16" ht="29.25" customHeight="1" x14ac:dyDescent="0.35">
      <c r="A86" s="272" t="s">
        <v>2671</v>
      </c>
      <c r="B86" s="463" t="s">
        <v>157</v>
      </c>
      <c r="C86" s="165" t="s">
        <v>5</v>
      </c>
      <c r="D86" s="143" t="s">
        <v>4</v>
      </c>
      <c r="E86" s="237" t="s">
        <v>117</v>
      </c>
      <c r="F86" s="163" t="s">
        <v>158</v>
      </c>
      <c r="G86" s="146"/>
      <c r="H86" s="253">
        <v>70111</v>
      </c>
      <c r="I86" s="146" t="s">
        <v>903</v>
      </c>
      <c r="J86" s="147">
        <v>120000000</v>
      </c>
      <c r="K86" s="627">
        <v>5000000</v>
      </c>
      <c r="L86" s="394"/>
      <c r="M86" s="394" t="s">
        <v>5133</v>
      </c>
      <c r="N86" s="277">
        <v>100000000</v>
      </c>
      <c r="O86" s="180" t="s">
        <v>157</v>
      </c>
    </row>
    <row r="87" spans="1:16" ht="41.25" customHeight="1" x14ac:dyDescent="0.35">
      <c r="A87" s="272" t="s">
        <v>2672</v>
      </c>
      <c r="B87" s="463" t="s">
        <v>920</v>
      </c>
      <c r="C87" s="165" t="s">
        <v>5</v>
      </c>
      <c r="D87" s="143" t="s">
        <v>4</v>
      </c>
      <c r="E87" s="279" t="s">
        <v>117</v>
      </c>
      <c r="F87" s="145" t="s">
        <v>981</v>
      </c>
      <c r="G87" s="240"/>
      <c r="H87" s="253">
        <v>70111</v>
      </c>
      <c r="I87" s="146" t="s">
        <v>160</v>
      </c>
      <c r="J87" s="147">
        <v>35000000</v>
      </c>
      <c r="K87" s="627">
        <v>35000000</v>
      </c>
      <c r="L87" s="394"/>
      <c r="M87" s="394" t="s">
        <v>5133</v>
      </c>
      <c r="N87" s="277">
        <v>10000000</v>
      </c>
      <c r="O87" s="180" t="s">
        <v>920</v>
      </c>
    </row>
    <row r="88" spans="1:16" ht="33" customHeight="1" x14ac:dyDescent="0.35">
      <c r="A88" s="272" t="s">
        <v>2673</v>
      </c>
      <c r="B88" s="463" t="s">
        <v>163</v>
      </c>
      <c r="C88" s="165" t="s">
        <v>5</v>
      </c>
      <c r="D88" s="143" t="s">
        <v>4</v>
      </c>
      <c r="E88" s="279" t="s">
        <v>117</v>
      </c>
      <c r="F88" s="145" t="s">
        <v>980</v>
      </c>
      <c r="G88" s="280"/>
      <c r="H88" s="253">
        <v>70111</v>
      </c>
      <c r="I88" s="146" t="s">
        <v>165</v>
      </c>
      <c r="J88" s="147">
        <v>20000000</v>
      </c>
      <c r="K88" s="627">
        <v>20000000</v>
      </c>
      <c r="L88" s="394"/>
      <c r="M88" s="394" t="s">
        <v>5133</v>
      </c>
      <c r="N88" s="277">
        <v>20000000</v>
      </c>
      <c r="O88" s="180" t="s">
        <v>163</v>
      </c>
    </row>
    <row r="89" spans="1:16" ht="45.75" customHeight="1" x14ac:dyDescent="0.35">
      <c r="A89" s="272" t="s">
        <v>2674</v>
      </c>
      <c r="B89" s="463" t="s">
        <v>167</v>
      </c>
      <c r="C89" s="165" t="s">
        <v>5</v>
      </c>
      <c r="D89" s="143" t="s">
        <v>4</v>
      </c>
      <c r="E89" s="237" t="s">
        <v>117</v>
      </c>
      <c r="F89" s="163" t="s">
        <v>985</v>
      </c>
      <c r="G89" s="146"/>
      <c r="H89" s="253">
        <v>70111</v>
      </c>
      <c r="I89" s="146" t="s">
        <v>168</v>
      </c>
      <c r="J89" s="147">
        <v>1000000</v>
      </c>
      <c r="K89" s="627">
        <v>1000000</v>
      </c>
      <c r="L89" s="394"/>
      <c r="M89" s="394" t="s">
        <v>5133</v>
      </c>
      <c r="N89" s="277">
        <v>1000000</v>
      </c>
      <c r="O89" s="180" t="s">
        <v>167</v>
      </c>
    </row>
    <row r="90" spans="1:16" ht="39" customHeight="1" x14ac:dyDescent="0.35">
      <c r="A90" s="272" t="s">
        <v>2675</v>
      </c>
      <c r="B90" s="463" t="s">
        <v>169</v>
      </c>
      <c r="C90" s="165" t="s">
        <v>5</v>
      </c>
      <c r="D90" s="143" t="s">
        <v>4</v>
      </c>
      <c r="E90" s="237" t="s">
        <v>117</v>
      </c>
      <c r="F90" s="163" t="s">
        <v>986</v>
      </c>
      <c r="G90" s="238"/>
      <c r="H90" s="253">
        <v>70111</v>
      </c>
      <c r="I90" s="146" t="s">
        <v>902</v>
      </c>
      <c r="J90" s="147">
        <v>3000000</v>
      </c>
      <c r="K90" s="147">
        <v>3000000</v>
      </c>
      <c r="L90" s="394"/>
      <c r="M90" s="394" t="s">
        <v>5133</v>
      </c>
      <c r="N90" s="277">
        <v>1000000</v>
      </c>
      <c r="O90" s="180" t="s">
        <v>169</v>
      </c>
    </row>
    <row r="91" spans="1:16" ht="36" customHeight="1" x14ac:dyDescent="0.35">
      <c r="A91" s="272" t="s">
        <v>2676</v>
      </c>
      <c r="B91" s="463" t="s">
        <v>126</v>
      </c>
      <c r="C91" s="165" t="s">
        <v>5</v>
      </c>
      <c r="D91" s="143" t="s">
        <v>4</v>
      </c>
      <c r="E91" s="237" t="s">
        <v>117</v>
      </c>
      <c r="F91" s="163" t="s">
        <v>983</v>
      </c>
      <c r="G91" s="146"/>
      <c r="H91" s="253">
        <v>70111</v>
      </c>
      <c r="I91" s="146" t="s">
        <v>902</v>
      </c>
      <c r="J91" s="147">
        <v>80000000</v>
      </c>
      <c r="K91" s="627">
        <v>50000000</v>
      </c>
      <c r="L91" s="394"/>
      <c r="M91" s="394" t="s">
        <v>5133</v>
      </c>
      <c r="N91" s="277">
        <v>73339922</v>
      </c>
      <c r="O91" s="180" t="s">
        <v>126</v>
      </c>
    </row>
    <row r="92" spans="1:16" ht="27" customHeight="1" x14ac:dyDescent="0.35">
      <c r="A92" s="272" t="s">
        <v>2677</v>
      </c>
      <c r="B92" s="463" t="s">
        <v>129</v>
      </c>
      <c r="C92" s="165" t="s">
        <v>5</v>
      </c>
      <c r="D92" s="143" t="s">
        <v>4</v>
      </c>
      <c r="E92" s="237" t="s">
        <v>117</v>
      </c>
      <c r="F92" s="163" t="s">
        <v>983</v>
      </c>
      <c r="G92" s="146"/>
      <c r="H92" s="253">
        <v>70111</v>
      </c>
      <c r="I92" s="146" t="s">
        <v>902</v>
      </c>
      <c r="J92" s="147">
        <v>15000000</v>
      </c>
      <c r="K92" s="627">
        <f>50000000-7781035</f>
        <v>42218965</v>
      </c>
      <c r="L92" s="394"/>
      <c r="M92" s="394" t="s">
        <v>5133</v>
      </c>
      <c r="N92" s="277">
        <v>8618813</v>
      </c>
      <c r="O92" s="180" t="s">
        <v>129</v>
      </c>
    </row>
    <row r="93" spans="1:16" ht="31.5" customHeight="1" x14ac:dyDescent="0.35">
      <c r="A93" s="272" t="s">
        <v>2678</v>
      </c>
      <c r="B93" s="463" t="s">
        <v>132</v>
      </c>
      <c r="C93" s="165" t="s">
        <v>5</v>
      </c>
      <c r="D93" s="143" t="s">
        <v>4</v>
      </c>
      <c r="E93" s="237" t="s">
        <v>117</v>
      </c>
      <c r="F93" s="163" t="s">
        <v>983</v>
      </c>
      <c r="G93" s="146"/>
      <c r="H93" s="253">
        <v>70111</v>
      </c>
      <c r="I93" s="146" t="s">
        <v>902</v>
      </c>
      <c r="J93" s="147">
        <v>5000000</v>
      </c>
      <c r="K93" s="627">
        <v>1000000</v>
      </c>
      <c r="L93" s="394"/>
      <c r="M93" s="394" t="s">
        <v>5133</v>
      </c>
      <c r="N93" s="277">
        <v>1855978</v>
      </c>
      <c r="O93" s="180" t="s">
        <v>132</v>
      </c>
    </row>
    <row r="94" spans="1:16" ht="30.75" customHeight="1" x14ac:dyDescent="0.35">
      <c r="A94" s="272" t="s">
        <v>2679</v>
      </c>
      <c r="B94" s="463" t="s">
        <v>133</v>
      </c>
      <c r="C94" s="165" t="s">
        <v>5</v>
      </c>
      <c r="D94" s="143" t="s">
        <v>4</v>
      </c>
      <c r="E94" s="237" t="s">
        <v>117</v>
      </c>
      <c r="F94" s="163" t="s">
        <v>983</v>
      </c>
      <c r="G94" s="238"/>
      <c r="H94" s="253">
        <v>70111</v>
      </c>
      <c r="I94" s="146" t="s">
        <v>902</v>
      </c>
      <c r="J94" s="147">
        <v>15979397</v>
      </c>
      <c r="K94" s="147">
        <v>1979397</v>
      </c>
      <c r="L94" s="394"/>
      <c r="M94" s="394" t="s">
        <v>5133</v>
      </c>
      <c r="N94" s="277">
        <v>15979397</v>
      </c>
      <c r="O94" s="180" t="s">
        <v>133</v>
      </c>
    </row>
    <row r="95" spans="1:16" ht="29.25" customHeight="1" x14ac:dyDescent="0.35">
      <c r="A95" s="272" t="s">
        <v>2680</v>
      </c>
      <c r="B95" s="463" t="s">
        <v>60</v>
      </c>
      <c r="C95" s="165" t="s">
        <v>5</v>
      </c>
      <c r="D95" s="143" t="s">
        <v>4</v>
      </c>
      <c r="E95" s="237" t="s">
        <v>117</v>
      </c>
      <c r="F95" s="163" t="s">
        <v>983</v>
      </c>
      <c r="G95" s="146"/>
      <c r="H95" s="253">
        <v>70111</v>
      </c>
      <c r="I95" s="146" t="s">
        <v>902</v>
      </c>
      <c r="J95" s="147">
        <v>5000000</v>
      </c>
      <c r="K95" s="147">
        <v>5000000</v>
      </c>
      <c r="L95" s="394"/>
      <c r="M95" s="394" t="s">
        <v>5133</v>
      </c>
      <c r="N95" s="277">
        <v>2837290</v>
      </c>
      <c r="O95" s="180" t="s">
        <v>60</v>
      </c>
    </row>
    <row r="96" spans="1:16" ht="51.75" customHeight="1" x14ac:dyDescent="0.35">
      <c r="A96" s="272" t="s">
        <v>2681</v>
      </c>
      <c r="B96" s="463" t="s">
        <v>142</v>
      </c>
      <c r="C96" s="165" t="s">
        <v>5</v>
      </c>
      <c r="D96" s="143" t="s">
        <v>4</v>
      </c>
      <c r="E96" s="237" t="s">
        <v>117</v>
      </c>
      <c r="F96" s="163" t="s">
        <v>983</v>
      </c>
      <c r="G96" s="238"/>
      <c r="H96" s="253">
        <v>70111</v>
      </c>
      <c r="I96" s="146" t="s">
        <v>902</v>
      </c>
      <c r="J96" s="147">
        <v>5711956</v>
      </c>
      <c r="K96" s="147">
        <v>5711956</v>
      </c>
      <c r="L96" s="394"/>
      <c r="M96" s="394" t="s">
        <v>5133</v>
      </c>
      <c r="N96" s="277">
        <v>5711956</v>
      </c>
      <c r="O96" s="180" t="s">
        <v>142</v>
      </c>
    </row>
    <row r="97" spans="1:15" ht="58.5" customHeight="1" x14ac:dyDescent="0.35">
      <c r="A97" s="272" t="s">
        <v>2682</v>
      </c>
      <c r="B97" s="463" t="s">
        <v>142</v>
      </c>
      <c r="C97" s="165" t="s">
        <v>5</v>
      </c>
      <c r="D97" s="143" t="s">
        <v>4</v>
      </c>
      <c r="E97" s="237" t="s">
        <v>117</v>
      </c>
      <c r="F97" s="163" t="s">
        <v>983</v>
      </c>
      <c r="G97" s="238"/>
      <c r="H97" s="253">
        <v>70111</v>
      </c>
      <c r="I97" s="146" t="s">
        <v>902</v>
      </c>
      <c r="J97" s="147">
        <v>10000000</v>
      </c>
      <c r="K97" s="627">
        <v>1000000</v>
      </c>
      <c r="L97" s="394"/>
      <c r="M97" s="394" t="s">
        <v>5133</v>
      </c>
      <c r="N97" s="277"/>
      <c r="O97" s="180"/>
    </row>
    <row r="98" spans="1:15" ht="37.5" customHeight="1" x14ac:dyDescent="0.35">
      <c r="A98" s="272" t="s">
        <v>2683</v>
      </c>
      <c r="B98" s="463" t="s">
        <v>145</v>
      </c>
      <c r="C98" s="165" t="s">
        <v>5</v>
      </c>
      <c r="D98" s="143" t="s">
        <v>4</v>
      </c>
      <c r="E98" s="237" t="s">
        <v>117</v>
      </c>
      <c r="F98" s="163" t="s">
        <v>983</v>
      </c>
      <c r="G98" s="238"/>
      <c r="H98" s="253">
        <v>70111</v>
      </c>
      <c r="I98" s="146" t="s">
        <v>902</v>
      </c>
      <c r="J98" s="147">
        <v>10000000</v>
      </c>
      <c r="K98" s="627">
        <v>1000000</v>
      </c>
      <c r="L98" s="394"/>
      <c r="M98" s="394" t="s">
        <v>5133</v>
      </c>
      <c r="N98" s="277">
        <v>13136169</v>
      </c>
      <c r="O98" s="180" t="s">
        <v>145</v>
      </c>
    </row>
    <row r="99" spans="1:15" ht="51" customHeight="1" x14ac:dyDescent="0.35">
      <c r="A99" s="272" t="s">
        <v>2684</v>
      </c>
      <c r="B99" s="463" t="s">
        <v>161</v>
      </c>
      <c r="C99" s="165" t="s">
        <v>5</v>
      </c>
      <c r="D99" s="143" t="s">
        <v>4</v>
      </c>
      <c r="E99" s="237" t="s">
        <v>117</v>
      </c>
      <c r="F99" s="163" t="s">
        <v>983</v>
      </c>
      <c r="G99" s="146"/>
      <c r="H99" s="253">
        <v>70111</v>
      </c>
      <c r="I99" s="146" t="s">
        <v>902</v>
      </c>
      <c r="J99" s="147">
        <v>50000000</v>
      </c>
      <c r="K99" s="627">
        <v>20000000</v>
      </c>
      <c r="L99" s="394"/>
      <c r="M99" s="394" t="s">
        <v>5133</v>
      </c>
      <c r="N99" s="277">
        <v>50000000</v>
      </c>
      <c r="O99" s="180" t="s">
        <v>161</v>
      </c>
    </row>
    <row r="100" spans="1:15" ht="32.25" customHeight="1" x14ac:dyDescent="0.35">
      <c r="A100" s="272" t="s">
        <v>2685</v>
      </c>
      <c r="B100" s="463" t="s">
        <v>162</v>
      </c>
      <c r="C100" s="165" t="s">
        <v>5</v>
      </c>
      <c r="D100" s="143" t="s">
        <v>4</v>
      </c>
      <c r="E100" s="237" t="s">
        <v>117</v>
      </c>
      <c r="F100" s="163" t="s">
        <v>983</v>
      </c>
      <c r="G100" s="238"/>
      <c r="H100" s="253">
        <v>70111</v>
      </c>
      <c r="I100" s="146" t="s">
        <v>902</v>
      </c>
      <c r="J100" s="147">
        <v>50000000</v>
      </c>
      <c r="K100" s="627">
        <v>20000000</v>
      </c>
      <c r="L100" s="394"/>
      <c r="M100" s="394" t="s">
        <v>5133</v>
      </c>
      <c r="N100" s="277">
        <v>350000000</v>
      </c>
      <c r="O100" s="180" t="s">
        <v>162</v>
      </c>
    </row>
    <row r="101" spans="1:15" ht="34.5" customHeight="1" x14ac:dyDescent="0.35">
      <c r="A101" s="272" t="s">
        <v>2686</v>
      </c>
      <c r="B101" s="463" t="s">
        <v>152</v>
      </c>
      <c r="C101" s="165" t="s">
        <v>5</v>
      </c>
      <c r="D101" s="143" t="s">
        <v>4</v>
      </c>
      <c r="E101" s="237" t="s">
        <v>117</v>
      </c>
      <c r="F101" s="163" t="s">
        <v>101</v>
      </c>
      <c r="G101" s="146"/>
      <c r="H101" s="253">
        <v>70111</v>
      </c>
      <c r="I101" s="278" t="s">
        <v>900</v>
      </c>
      <c r="J101" s="147">
        <v>5000000</v>
      </c>
      <c r="K101" s="627">
        <v>2000000</v>
      </c>
      <c r="L101" s="394"/>
      <c r="M101" s="394" t="s">
        <v>5133</v>
      </c>
      <c r="N101" s="277">
        <v>5000000</v>
      </c>
      <c r="O101" s="180" t="s">
        <v>152</v>
      </c>
    </row>
    <row r="102" spans="1:15" ht="54.75" customHeight="1" x14ac:dyDescent="0.35">
      <c r="A102" s="272" t="s">
        <v>2687</v>
      </c>
      <c r="B102" s="463" t="s">
        <v>146</v>
      </c>
      <c r="C102" s="165" t="s">
        <v>5</v>
      </c>
      <c r="D102" s="143" t="s">
        <v>4</v>
      </c>
      <c r="E102" s="237" t="s">
        <v>117</v>
      </c>
      <c r="F102" s="163" t="s">
        <v>147</v>
      </c>
      <c r="G102" s="238"/>
      <c r="H102" s="253">
        <v>70111</v>
      </c>
      <c r="I102" s="146" t="s">
        <v>148</v>
      </c>
      <c r="J102" s="147">
        <v>180000000</v>
      </c>
      <c r="K102" s="147">
        <v>150000000</v>
      </c>
      <c r="L102" s="394"/>
      <c r="M102" s="394" t="s">
        <v>5133</v>
      </c>
      <c r="N102" s="277">
        <v>180000000</v>
      </c>
      <c r="O102" s="180" t="s">
        <v>146</v>
      </c>
    </row>
    <row r="103" spans="1:15" ht="34.5" customHeight="1" x14ac:dyDescent="0.35">
      <c r="A103" s="272" t="s">
        <v>2688</v>
      </c>
      <c r="B103" s="463" t="s">
        <v>151</v>
      </c>
      <c r="C103" s="165" t="s">
        <v>5</v>
      </c>
      <c r="D103" s="143" t="s">
        <v>4</v>
      </c>
      <c r="E103" s="237" t="s">
        <v>117</v>
      </c>
      <c r="F103" s="163" t="s">
        <v>105</v>
      </c>
      <c r="G103" s="238"/>
      <c r="H103" s="253">
        <v>70111</v>
      </c>
      <c r="I103" s="146" t="s">
        <v>59</v>
      </c>
      <c r="J103" s="147">
        <v>13000000</v>
      </c>
      <c r="K103" s="147">
        <v>13000000</v>
      </c>
      <c r="L103" s="394"/>
      <c r="M103" s="394" t="s">
        <v>5133</v>
      </c>
      <c r="N103" s="277">
        <v>13000000</v>
      </c>
      <c r="O103" s="180" t="s">
        <v>151</v>
      </c>
    </row>
    <row r="104" spans="1:15" ht="27" customHeight="1" x14ac:dyDescent="0.35">
      <c r="A104" s="272" t="s">
        <v>2689</v>
      </c>
      <c r="B104" s="463" t="s">
        <v>153</v>
      </c>
      <c r="C104" s="165" t="s">
        <v>5</v>
      </c>
      <c r="D104" s="143" t="s">
        <v>4</v>
      </c>
      <c r="E104" s="237" t="s">
        <v>117</v>
      </c>
      <c r="F104" s="163" t="s">
        <v>105</v>
      </c>
      <c r="G104" s="146"/>
      <c r="H104" s="253">
        <v>70111</v>
      </c>
      <c r="I104" s="146" t="s">
        <v>59</v>
      </c>
      <c r="J104" s="147">
        <v>12000000</v>
      </c>
      <c r="K104" s="627">
        <v>2000000</v>
      </c>
      <c r="L104" s="394"/>
      <c r="M104" s="394" t="s">
        <v>5133</v>
      </c>
      <c r="N104" s="277">
        <v>12000000</v>
      </c>
      <c r="O104" s="180" t="s">
        <v>153</v>
      </c>
    </row>
    <row r="105" spans="1:15" ht="37.5" customHeight="1" x14ac:dyDescent="0.35">
      <c r="A105" s="272" t="s">
        <v>2690</v>
      </c>
      <c r="B105" s="463" t="s">
        <v>170</v>
      </c>
      <c r="C105" s="165" t="s">
        <v>5</v>
      </c>
      <c r="D105" s="143" t="s">
        <v>4</v>
      </c>
      <c r="E105" s="237" t="s">
        <v>117</v>
      </c>
      <c r="F105" s="163" t="s">
        <v>105</v>
      </c>
      <c r="G105" s="238"/>
      <c r="H105" s="253">
        <v>70111</v>
      </c>
      <c r="I105" s="146" t="s">
        <v>59</v>
      </c>
      <c r="J105" s="147">
        <v>20000000</v>
      </c>
      <c r="K105" s="627">
        <v>10000000</v>
      </c>
      <c r="L105" s="394"/>
      <c r="M105" s="394" t="s">
        <v>5133</v>
      </c>
      <c r="N105" s="277">
        <v>20000000</v>
      </c>
      <c r="O105" s="180" t="s">
        <v>170</v>
      </c>
    </row>
    <row r="106" spans="1:15" ht="31.5" customHeight="1" x14ac:dyDescent="0.35">
      <c r="A106" s="272" t="s">
        <v>2691</v>
      </c>
      <c r="B106" s="463" t="s">
        <v>127</v>
      </c>
      <c r="C106" s="165" t="s">
        <v>5</v>
      </c>
      <c r="D106" s="143" t="s">
        <v>4</v>
      </c>
      <c r="E106" s="237" t="s">
        <v>117</v>
      </c>
      <c r="F106" s="163" t="s">
        <v>128</v>
      </c>
      <c r="G106" s="146"/>
      <c r="H106" s="253">
        <v>70111</v>
      </c>
      <c r="I106" s="278" t="s">
        <v>900</v>
      </c>
      <c r="J106" s="147">
        <v>25000000</v>
      </c>
      <c r="K106" s="627">
        <v>5000000</v>
      </c>
      <c r="L106" s="394"/>
      <c r="M106" s="394" t="s">
        <v>5133</v>
      </c>
      <c r="N106" s="277">
        <v>25000000</v>
      </c>
      <c r="O106" s="180" t="s">
        <v>127</v>
      </c>
    </row>
    <row r="107" spans="1:15" ht="29.25" customHeight="1" x14ac:dyDescent="0.35">
      <c r="A107" s="272" t="s">
        <v>2692</v>
      </c>
      <c r="B107" s="463" t="s">
        <v>139</v>
      </c>
      <c r="C107" s="165" t="s">
        <v>5</v>
      </c>
      <c r="D107" s="143" t="s">
        <v>4</v>
      </c>
      <c r="E107" s="237" t="s">
        <v>117</v>
      </c>
      <c r="F107" s="163" t="s">
        <v>110</v>
      </c>
      <c r="G107" s="146"/>
      <c r="H107" s="253">
        <v>70111</v>
      </c>
      <c r="I107" s="146" t="s">
        <v>906</v>
      </c>
      <c r="J107" s="147">
        <v>100000000</v>
      </c>
      <c r="K107" s="627">
        <v>35000000</v>
      </c>
      <c r="L107" s="394"/>
      <c r="M107" s="394" t="s">
        <v>5133</v>
      </c>
      <c r="N107" s="277">
        <v>1465985577</v>
      </c>
      <c r="O107" s="180" t="s">
        <v>139</v>
      </c>
    </row>
    <row r="108" spans="1:15" ht="32.25" customHeight="1" x14ac:dyDescent="0.35">
      <c r="A108" s="272" t="s">
        <v>2693</v>
      </c>
      <c r="B108" s="463" t="s">
        <v>154</v>
      </c>
      <c r="C108" s="165" t="s">
        <v>5</v>
      </c>
      <c r="D108" s="143" t="s">
        <v>4</v>
      </c>
      <c r="E108" s="237" t="s">
        <v>117</v>
      </c>
      <c r="F108" s="163" t="s">
        <v>110</v>
      </c>
      <c r="G108" s="146"/>
      <c r="H108" s="253">
        <v>70111</v>
      </c>
      <c r="I108" s="146" t="s">
        <v>906</v>
      </c>
      <c r="J108" s="147">
        <v>16000000</v>
      </c>
      <c r="K108" s="627">
        <v>1000000</v>
      </c>
      <c r="L108" s="394"/>
      <c r="M108" s="394" t="s">
        <v>5133</v>
      </c>
      <c r="N108" s="277">
        <v>16000000</v>
      </c>
      <c r="O108" s="180" t="s">
        <v>154</v>
      </c>
    </row>
    <row r="109" spans="1:15" ht="29.25" customHeight="1" x14ac:dyDescent="0.35">
      <c r="A109" s="272" t="s">
        <v>2694</v>
      </c>
      <c r="B109" s="463" t="s">
        <v>155</v>
      </c>
      <c r="C109" s="165" t="s">
        <v>5</v>
      </c>
      <c r="D109" s="143" t="s">
        <v>4</v>
      </c>
      <c r="E109" s="237" t="s">
        <v>117</v>
      </c>
      <c r="F109" s="163" t="s">
        <v>110</v>
      </c>
      <c r="G109" s="146"/>
      <c r="H109" s="253">
        <v>70111</v>
      </c>
      <c r="I109" s="146" t="s">
        <v>906</v>
      </c>
      <c r="J109" s="147">
        <v>15000000</v>
      </c>
      <c r="K109" s="627">
        <v>1000000</v>
      </c>
      <c r="L109" s="394"/>
      <c r="M109" s="394" t="s">
        <v>5133</v>
      </c>
      <c r="N109" s="277">
        <v>15000000</v>
      </c>
      <c r="O109" s="180" t="s">
        <v>155</v>
      </c>
    </row>
    <row r="110" spans="1:15" ht="27.75" customHeight="1" x14ac:dyDescent="0.35">
      <c r="A110" s="272" t="s">
        <v>2695</v>
      </c>
      <c r="B110" s="463" t="s">
        <v>156</v>
      </c>
      <c r="C110" s="165" t="s">
        <v>5</v>
      </c>
      <c r="D110" s="143" t="s">
        <v>4</v>
      </c>
      <c r="E110" s="237" t="s">
        <v>117</v>
      </c>
      <c r="F110" s="163" t="s">
        <v>110</v>
      </c>
      <c r="G110" s="238"/>
      <c r="H110" s="253">
        <v>70111</v>
      </c>
      <c r="I110" s="146" t="s">
        <v>906</v>
      </c>
      <c r="J110" s="147">
        <v>100000000</v>
      </c>
      <c r="K110" s="627">
        <v>5000000</v>
      </c>
      <c r="L110" s="394"/>
      <c r="M110" s="394" t="s">
        <v>5133</v>
      </c>
      <c r="N110" s="277">
        <v>45000000</v>
      </c>
      <c r="O110" s="180" t="s">
        <v>156</v>
      </c>
    </row>
    <row r="111" spans="1:15" ht="25.5" customHeight="1" x14ac:dyDescent="0.35">
      <c r="A111" s="272" t="s">
        <v>2696</v>
      </c>
      <c r="B111" s="463" t="s">
        <v>119</v>
      </c>
      <c r="C111" s="165" t="s">
        <v>5</v>
      </c>
      <c r="D111" s="143" t="s">
        <v>4</v>
      </c>
      <c r="E111" s="237" t="s">
        <v>117</v>
      </c>
      <c r="F111" s="163" t="s">
        <v>54</v>
      </c>
      <c r="G111" s="238"/>
      <c r="H111" s="253">
        <v>70111</v>
      </c>
      <c r="I111" s="278" t="s">
        <v>900</v>
      </c>
      <c r="J111" s="147">
        <v>30000000</v>
      </c>
      <c r="K111" s="627">
        <v>5000000</v>
      </c>
      <c r="L111" s="394"/>
      <c r="M111" s="394" t="s">
        <v>5133</v>
      </c>
      <c r="N111" s="277">
        <v>30000000</v>
      </c>
      <c r="O111" s="180" t="s">
        <v>119</v>
      </c>
    </row>
    <row r="112" spans="1:15" ht="27.75" customHeight="1" x14ac:dyDescent="0.35">
      <c r="A112" s="272" t="s">
        <v>2697</v>
      </c>
      <c r="B112" s="463" t="s">
        <v>120</v>
      </c>
      <c r="C112" s="165" t="s">
        <v>5</v>
      </c>
      <c r="D112" s="143" t="s">
        <v>4</v>
      </c>
      <c r="E112" s="237" t="s">
        <v>117</v>
      </c>
      <c r="F112" s="163" t="s">
        <v>54</v>
      </c>
      <c r="G112" s="146"/>
      <c r="H112" s="253">
        <v>70111</v>
      </c>
      <c r="I112" s="278" t="s">
        <v>900</v>
      </c>
      <c r="J112" s="147">
        <v>22000000</v>
      </c>
      <c r="K112" s="627">
        <v>2000000</v>
      </c>
      <c r="L112" s="394"/>
      <c r="M112" s="394" t="s">
        <v>5133</v>
      </c>
      <c r="N112" s="277">
        <v>19216264</v>
      </c>
      <c r="O112" s="180" t="s">
        <v>120</v>
      </c>
    </row>
    <row r="113" spans="1:16" ht="30" customHeight="1" x14ac:dyDescent="0.35">
      <c r="A113" s="272" t="s">
        <v>2698</v>
      </c>
      <c r="B113" s="463" t="s">
        <v>121</v>
      </c>
      <c r="C113" s="165" t="s">
        <v>5</v>
      </c>
      <c r="D113" s="143" t="s">
        <v>4</v>
      </c>
      <c r="E113" s="237" t="s">
        <v>117</v>
      </c>
      <c r="F113" s="163" t="s">
        <v>54</v>
      </c>
      <c r="G113" s="146"/>
      <c r="H113" s="253">
        <v>70111</v>
      </c>
      <c r="I113" s="278" t="s">
        <v>900</v>
      </c>
      <c r="J113" s="147">
        <v>8309406</v>
      </c>
      <c r="K113" s="147">
        <v>3309406</v>
      </c>
      <c r="L113" s="394"/>
      <c r="M113" s="394" t="s">
        <v>5133</v>
      </c>
      <c r="N113" s="277">
        <v>8309406</v>
      </c>
      <c r="O113" s="180" t="s">
        <v>121</v>
      </c>
    </row>
    <row r="114" spans="1:16" ht="34.5" customHeight="1" x14ac:dyDescent="0.35">
      <c r="A114" s="272" t="s">
        <v>2699</v>
      </c>
      <c r="B114" s="463" t="s">
        <v>124</v>
      </c>
      <c r="C114" s="165" t="s">
        <v>5</v>
      </c>
      <c r="D114" s="143" t="s">
        <v>4</v>
      </c>
      <c r="E114" s="237" t="s">
        <v>117</v>
      </c>
      <c r="F114" s="163" t="s">
        <v>54</v>
      </c>
      <c r="G114" s="146"/>
      <c r="H114" s="253">
        <v>70111</v>
      </c>
      <c r="I114" s="278" t="s">
        <v>900</v>
      </c>
      <c r="J114" s="147">
        <v>35000000</v>
      </c>
      <c r="K114" s="627">
        <v>5000000</v>
      </c>
      <c r="L114" s="394"/>
      <c r="M114" s="394" t="s">
        <v>5133</v>
      </c>
      <c r="N114" s="277">
        <v>35000000</v>
      </c>
      <c r="O114" s="180" t="s">
        <v>124</v>
      </c>
    </row>
    <row r="115" spans="1:16" ht="34.5" customHeight="1" x14ac:dyDescent="0.35">
      <c r="A115" s="272" t="s">
        <v>2700</v>
      </c>
      <c r="B115" s="463" t="s">
        <v>135</v>
      </c>
      <c r="C115" s="165" t="s">
        <v>5</v>
      </c>
      <c r="D115" s="143" t="s">
        <v>4</v>
      </c>
      <c r="E115" s="237" t="s">
        <v>117</v>
      </c>
      <c r="F115" s="163" t="s">
        <v>54</v>
      </c>
      <c r="G115" s="238"/>
      <c r="H115" s="253">
        <v>70111</v>
      </c>
      <c r="I115" s="278" t="s">
        <v>900</v>
      </c>
      <c r="J115" s="147">
        <v>5000000</v>
      </c>
      <c r="K115" s="627">
        <v>2000000</v>
      </c>
      <c r="L115" s="394"/>
      <c r="M115" s="394" t="s">
        <v>5133</v>
      </c>
      <c r="N115" s="277">
        <v>10090930</v>
      </c>
      <c r="O115" s="180" t="s">
        <v>135</v>
      </c>
    </row>
    <row r="116" spans="1:16" ht="34.5" customHeight="1" x14ac:dyDescent="0.35">
      <c r="A116" s="272" t="s">
        <v>2701</v>
      </c>
      <c r="B116" s="463" t="s">
        <v>140</v>
      </c>
      <c r="C116" s="165" t="s">
        <v>5</v>
      </c>
      <c r="D116" s="143" t="s">
        <v>4</v>
      </c>
      <c r="E116" s="237" t="s">
        <v>117</v>
      </c>
      <c r="F116" s="163" t="s">
        <v>54</v>
      </c>
      <c r="G116" s="238"/>
      <c r="H116" s="253">
        <v>70111</v>
      </c>
      <c r="I116" s="278" t="s">
        <v>900</v>
      </c>
      <c r="J116" s="147">
        <v>45131028</v>
      </c>
      <c r="K116" s="147">
        <v>30000000</v>
      </c>
      <c r="L116" s="394"/>
      <c r="M116" s="394" t="s">
        <v>5133</v>
      </c>
      <c r="N116" s="277">
        <v>45131028</v>
      </c>
      <c r="O116" s="180" t="s">
        <v>140</v>
      </c>
    </row>
    <row r="117" spans="1:16" ht="34.5" customHeight="1" x14ac:dyDescent="0.35">
      <c r="A117" s="272" t="s">
        <v>2702</v>
      </c>
      <c r="B117" s="463" t="s">
        <v>106</v>
      </c>
      <c r="C117" s="165" t="s">
        <v>5</v>
      </c>
      <c r="D117" s="143" t="s">
        <v>4</v>
      </c>
      <c r="E117" s="237" t="s">
        <v>117</v>
      </c>
      <c r="F117" s="163" t="s">
        <v>54</v>
      </c>
      <c r="G117" s="146"/>
      <c r="H117" s="253">
        <v>70111</v>
      </c>
      <c r="I117" s="278" t="s">
        <v>900</v>
      </c>
      <c r="J117" s="147">
        <v>10000000</v>
      </c>
      <c r="K117" s="627">
        <v>5000000</v>
      </c>
      <c r="L117" s="394"/>
      <c r="M117" s="394" t="s">
        <v>5133</v>
      </c>
      <c r="N117" s="277">
        <v>8000000</v>
      </c>
      <c r="O117" s="180" t="s">
        <v>106</v>
      </c>
    </row>
    <row r="118" spans="1:16" ht="30.75" customHeight="1" x14ac:dyDescent="0.35">
      <c r="A118" s="272" t="s">
        <v>2703</v>
      </c>
      <c r="B118" s="463" t="s">
        <v>172</v>
      </c>
      <c r="C118" s="165" t="s">
        <v>5</v>
      </c>
      <c r="D118" s="143" t="s">
        <v>4</v>
      </c>
      <c r="E118" s="237" t="s">
        <v>117</v>
      </c>
      <c r="F118" s="163" t="s">
        <v>54</v>
      </c>
      <c r="G118" s="238"/>
      <c r="H118" s="253">
        <v>70111</v>
      </c>
      <c r="I118" s="278" t="s">
        <v>900</v>
      </c>
      <c r="J118" s="147">
        <v>5000000</v>
      </c>
      <c r="K118" s="147">
        <v>5000000</v>
      </c>
      <c r="L118" s="394"/>
      <c r="M118" s="394" t="s">
        <v>5133</v>
      </c>
      <c r="N118" s="277">
        <v>1500000</v>
      </c>
      <c r="O118" s="180" t="s">
        <v>172</v>
      </c>
    </row>
    <row r="119" spans="1:16" ht="30.75" customHeight="1" x14ac:dyDescent="0.35">
      <c r="A119" s="272" t="s">
        <v>2704</v>
      </c>
      <c r="B119" s="463" t="s">
        <v>173</v>
      </c>
      <c r="C119" s="165" t="s">
        <v>5</v>
      </c>
      <c r="D119" s="143" t="s">
        <v>4</v>
      </c>
      <c r="E119" s="237" t="s">
        <v>117</v>
      </c>
      <c r="F119" s="163" t="s">
        <v>54</v>
      </c>
      <c r="G119" s="238"/>
      <c r="H119" s="253">
        <v>70111</v>
      </c>
      <c r="I119" s="278" t="s">
        <v>900</v>
      </c>
      <c r="J119" s="147">
        <v>10000000</v>
      </c>
      <c r="K119" s="627">
        <v>5000000</v>
      </c>
      <c r="L119" s="394"/>
      <c r="M119" s="394" t="s">
        <v>5133</v>
      </c>
      <c r="N119" s="277">
        <v>8000000</v>
      </c>
      <c r="O119" s="180" t="s">
        <v>173</v>
      </c>
    </row>
    <row r="120" spans="1:16" ht="30.75" customHeight="1" x14ac:dyDescent="0.35">
      <c r="A120" s="272" t="s">
        <v>2705</v>
      </c>
      <c r="B120" s="463" t="s">
        <v>174</v>
      </c>
      <c r="C120" s="165" t="s">
        <v>5</v>
      </c>
      <c r="D120" s="143" t="s">
        <v>4</v>
      </c>
      <c r="E120" s="237" t="s">
        <v>117</v>
      </c>
      <c r="F120" s="163" t="s">
        <v>54</v>
      </c>
      <c r="G120" s="238"/>
      <c r="H120" s="253">
        <v>70111</v>
      </c>
      <c r="I120" s="278" t="s">
        <v>900</v>
      </c>
      <c r="J120" s="147">
        <v>3000000</v>
      </c>
      <c r="K120" s="147">
        <v>3000000</v>
      </c>
      <c r="L120" s="394"/>
      <c r="M120" s="394" t="s">
        <v>5133</v>
      </c>
      <c r="N120" s="277">
        <v>1500000</v>
      </c>
      <c r="O120" s="180" t="s">
        <v>174</v>
      </c>
    </row>
    <row r="121" spans="1:16" ht="30.75" customHeight="1" x14ac:dyDescent="0.35">
      <c r="A121" s="272" t="s">
        <v>2706</v>
      </c>
      <c r="B121" s="463" t="s">
        <v>175</v>
      </c>
      <c r="C121" s="165" t="s">
        <v>5</v>
      </c>
      <c r="D121" s="143" t="s">
        <v>4</v>
      </c>
      <c r="E121" s="237" t="s">
        <v>117</v>
      </c>
      <c r="F121" s="163" t="s">
        <v>54</v>
      </c>
      <c r="G121" s="238"/>
      <c r="H121" s="253">
        <v>70111</v>
      </c>
      <c r="I121" s="278" t="s">
        <v>900</v>
      </c>
      <c r="J121" s="147">
        <v>1000000</v>
      </c>
      <c r="K121" s="627">
        <v>1000000</v>
      </c>
      <c r="L121" s="394"/>
      <c r="M121" s="394" t="s">
        <v>5133</v>
      </c>
      <c r="N121" s="277">
        <v>1000000</v>
      </c>
      <c r="O121" s="150" t="s">
        <v>175</v>
      </c>
    </row>
    <row r="122" spans="1:16" ht="30.75" customHeight="1" x14ac:dyDescent="0.35">
      <c r="A122" s="272" t="s">
        <v>2707</v>
      </c>
      <c r="B122" s="463" t="s">
        <v>118</v>
      </c>
      <c r="C122" s="165" t="s">
        <v>5</v>
      </c>
      <c r="D122" s="143" t="s">
        <v>4</v>
      </c>
      <c r="E122" s="237" t="s">
        <v>117</v>
      </c>
      <c r="F122" s="163" t="s">
        <v>62</v>
      </c>
      <c r="G122" s="238"/>
      <c r="H122" s="253">
        <v>70111</v>
      </c>
      <c r="I122" s="146" t="s">
        <v>904</v>
      </c>
      <c r="J122" s="147">
        <v>150000000</v>
      </c>
      <c r="K122" s="627">
        <v>50000000</v>
      </c>
      <c r="L122" s="394"/>
      <c r="M122" s="394" t="s">
        <v>5133</v>
      </c>
      <c r="N122" s="277">
        <v>250000000</v>
      </c>
      <c r="O122" s="180" t="s">
        <v>118</v>
      </c>
    </row>
    <row r="123" spans="1:16" ht="51" customHeight="1" x14ac:dyDescent="0.35">
      <c r="A123" s="272" t="s">
        <v>2708</v>
      </c>
      <c r="B123" s="463" t="s">
        <v>141</v>
      </c>
      <c r="C123" s="165" t="s">
        <v>5</v>
      </c>
      <c r="D123" s="143" t="s">
        <v>4</v>
      </c>
      <c r="E123" s="237" t="s">
        <v>117</v>
      </c>
      <c r="F123" s="163" t="s">
        <v>62</v>
      </c>
      <c r="G123" s="238"/>
      <c r="H123" s="253">
        <v>70111</v>
      </c>
      <c r="I123" s="146" t="s">
        <v>904</v>
      </c>
      <c r="J123" s="147">
        <v>5711956</v>
      </c>
      <c r="K123" s="147">
        <v>5342984</v>
      </c>
      <c r="L123" s="394"/>
      <c r="M123" s="394" t="s">
        <v>5133</v>
      </c>
      <c r="N123" s="277">
        <v>5711956</v>
      </c>
      <c r="O123" s="180" t="s">
        <v>141</v>
      </c>
    </row>
    <row r="124" spans="1:16" s="247" customFormat="1" ht="33.75" customHeight="1" x14ac:dyDescent="0.3">
      <c r="A124" s="256"/>
      <c r="B124" s="578" t="s">
        <v>1008</v>
      </c>
      <c r="C124" s="188"/>
      <c r="D124" s="257"/>
      <c r="E124" s="258"/>
      <c r="F124" s="257"/>
      <c r="G124" s="258"/>
      <c r="H124" s="257"/>
      <c r="I124" s="258"/>
      <c r="J124" s="259">
        <f>SUM(J76:J123)</f>
        <v>1572009127</v>
      </c>
      <c r="K124" s="259">
        <f>SUM(K76:K123)</f>
        <v>623872114</v>
      </c>
      <c r="L124" s="707"/>
      <c r="M124" s="707"/>
      <c r="N124" s="259">
        <f>SUM(N76:N123)</f>
        <v>2963437554</v>
      </c>
      <c r="O124" s="256" t="s">
        <v>1008</v>
      </c>
      <c r="P124" s="246"/>
    </row>
    <row r="125" spans="1:16" s="247" customFormat="1" ht="32.25" customHeight="1" x14ac:dyDescent="0.3">
      <c r="A125" s="595"/>
      <c r="B125" s="596"/>
      <c r="C125" s="338"/>
      <c r="D125" s="339"/>
      <c r="E125" s="456"/>
      <c r="F125" s="339"/>
      <c r="G125" s="456"/>
      <c r="H125" s="339"/>
      <c r="I125" s="456"/>
      <c r="J125" s="341"/>
      <c r="K125" s="628"/>
      <c r="L125" s="706"/>
      <c r="M125" s="706"/>
      <c r="N125" s="341"/>
      <c r="O125" s="595" t="s">
        <v>5120</v>
      </c>
      <c r="P125" s="246">
        <f>K124-O125</f>
        <v>0</v>
      </c>
    </row>
    <row r="126" spans="1:16" ht="23.25" hidden="1" customHeight="1" x14ac:dyDescent="0.35">
      <c r="A126" s="286"/>
      <c r="B126" s="492"/>
      <c r="C126" s="282"/>
      <c r="D126" s="283"/>
      <c r="E126" s="284"/>
      <c r="F126" s="283"/>
      <c r="G126" s="284"/>
      <c r="H126" s="283"/>
      <c r="I126" s="284"/>
      <c r="J126" s="285"/>
      <c r="K126" s="458"/>
      <c r="L126" s="704"/>
      <c r="M126" s="704"/>
      <c r="N126" s="285"/>
      <c r="O126" s="286"/>
    </row>
    <row r="127" spans="1:16" ht="29.25" hidden="1" customHeight="1" x14ac:dyDescent="0.35">
      <c r="A127" s="600" t="s">
        <v>176</v>
      </c>
      <c r="B127" s="600"/>
      <c r="C127" s="600"/>
      <c r="D127" s="600"/>
      <c r="E127" s="600"/>
      <c r="F127" s="600"/>
      <c r="G127" s="600"/>
      <c r="H127" s="600"/>
      <c r="I127" s="600"/>
      <c r="J127" s="600"/>
      <c r="K127" s="458"/>
      <c r="L127" s="704"/>
      <c r="M127" s="704"/>
      <c r="N127" s="600"/>
      <c r="O127" s="601"/>
    </row>
    <row r="128" spans="1:16" ht="20.25" customHeight="1" x14ac:dyDescent="0.35">
      <c r="A128" s="357" t="s">
        <v>4604</v>
      </c>
      <c r="B128" s="357"/>
      <c r="C128" s="357"/>
      <c r="D128" s="357"/>
      <c r="E128" s="357"/>
      <c r="F128" s="357"/>
      <c r="G128" s="357"/>
      <c r="H128" s="357"/>
      <c r="I128" s="357"/>
      <c r="J128" s="357"/>
      <c r="K128" s="458"/>
      <c r="L128" s="704"/>
      <c r="M128" s="704"/>
      <c r="N128" s="357"/>
      <c r="O128" s="605"/>
    </row>
    <row r="129" spans="1:17" s="288" customFormat="1" ht="72.75" customHeight="1" x14ac:dyDescent="0.35">
      <c r="A129" s="176" t="s">
        <v>1007</v>
      </c>
      <c r="B129" s="360" t="s">
        <v>50</v>
      </c>
      <c r="C129" s="171" t="s">
        <v>898</v>
      </c>
      <c r="D129" s="171" t="s">
        <v>52</v>
      </c>
      <c r="E129" s="176" t="s">
        <v>49</v>
      </c>
      <c r="F129" s="171" t="s">
        <v>1</v>
      </c>
      <c r="G129" s="176"/>
      <c r="H129" s="171" t="s">
        <v>51</v>
      </c>
      <c r="I129" s="176" t="s">
        <v>2</v>
      </c>
      <c r="J129" s="177" t="s">
        <v>4862</v>
      </c>
      <c r="K129" s="189" t="s">
        <v>5140</v>
      </c>
      <c r="L129" s="623" t="s">
        <v>5132</v>
      </c>
      <c r="M129" s="623" t="s">
        <v>5132</v>
      </c>
      <c r="N129" s="177" t="s">
        <v>1006</v>
      </c>
      <c r="O129" s="176" t="s">
        <v>50</v>
      </c>
      <c r="P129" s="287"/>
    </row>
    <row r="130" spans="1:17" ht="31.5" customHeight="1" x14ac:dyDescent="0.35">
      <c r="A130" s="272" t="s">
        <v>2709</v>
      </c>
      <c r="B130" s="463" t="s">
        <v>182</v>
      </c>
      <c r="C130" s="165" t="s">
        <v>5</v>
      </c>
      <c r="D130" s="141" t="s">
        <v>4</v>
      </c>
      <c r="E130" s="237" t="s">
        <v>26</v>
      </c>
      <c r="F130" s="163" t="s">
        <v>183</v>
      </c>
      <c r="G130" s="146"/>
      <c r="H130" s="163" t="s">
        <v>19</v>
      </c>
      <c r="I130" s="142" t="s">
        <v>909</v>
      </c>
      <c r="J130" s="144">
        <v>725000000</v>
      </c>
      <c r="K130" s="627">
        <v>420000000</v>
      </c>
      <c r="L130" s="394"/>
      <c r="M130" s="394" t="s">
        <v>5133</v>
      </c>
      <c r="N130" s="149">
        <v>25000000</v>
      </c>
      <c r="O130" s="150" t="s">
        <v>182</v>
      </c>
    </row>
    <row r="131" spans="1:17" ht="26.25" customHeight="1" x14ac:dyDescent="0.35">
      <c r="A131" s="272" t="s">
        <v>2710</v>
      </c>
      <c r="B131" s="463" t="s">
        <v>179</v>
      </c>
      <c r="C131" s="165" t="s">
        <v>5</v>
      </c>
      <c r="D131" s="141" t="s">
        <v>4</v>
      </c>
      <c r="E131" s="237" t="s">
        <v>26</v>
      </c>
      <c r="F131" s="163" t="s">
        <v>108</v>
      </c>
      <c r="G131" s="146"/>
      <c r="H131" s="163" t="s">
        <v>19</v>
      </c>
      <c r="I131" s="142" t="s">
        <v>907</v>
      </c>
      <c r="J131" s="144">
        <v>10000000</v>
      </c>
      <c r="K131" s="627">
        <v>1400000</v>
      </c>
      <c r="L131" s="394"/>
      <c r="M131" s="394" t="s">
        <v>5133</v>
      </c>
      <c r="N131" s="149">
        <v>5000000</v>
      </c>
      <c r="O131" s="150" t="s">
        <v>179</v>
      </c>
      <c r="P131" s="289"/>
      <c r="Q131" s="271"/>
    </row>
    <row r="132" spans="1:17" ht="31.5" customHeight="1" x14ac:dyDescent="0.35">
      <c r="A132" s="272" t="s">
        <v>2711</v>
      </c>
      <c r="B132" s="463" t="s">
        <v>180</v>
      </c>
      <c r="C132" s="165" t="s">
        <v>5</v>
      </c>
      <c r="D132" s="141" t="s">
        <v>4</v>
      </c>
      <c r="E132" s="237" t="s">
        <v>26</v>
      </c>
      <c r="F132" s="163" t="s">
        <v>983</v>
      </c>
      <c r="G132" s="146"/>
      <c r="H132" s="163" t="s">
        <v>19</v>
      </c>
      <c r="I132" s="142" t="s">
        <v>902</v>
      </c>
      <c r="J132" s="144">
        <v>25000000</v>
      </c>
      <c r="K132" s="627">
        <v>20000000</v>
      </c>
      <c r="L132" s="394"/>
      <c r="M132" s="394" t="s">
        <v>5133</v>
      </c>
      <c r="N132" s="149">
        <v>20000000</v>
      </c>
      <c r="O132" s="180" t="s">
        <v>180</v>
      </c>
      <c r="P132" s="289"/>
      <c r="Q132" s="271"/>
    </row>
    <row r="133" spans="1:17" ht="33.75" customHeight="1" x14ac:dyDescent="0.35">
      <c r="A133" s="272" t="s">
        <v>2712</v>
      </c>
      <c r="B133" s="463" t="s">
        <v>2462</v>
      </c>
      <c r="C133" s="165" t="s">
        <v>5</v>
      </c>
      <c r="D133" s="141" t="s">
        <v>4</v>
      </c>
      <c r="E133" s="237" t="s">
        <v>26</v>
      </c>
      <c r="F133" s="163" t="s">
        <v>63</v>
      </c>
      <c r="G133" s="146"/>
      <c r="H133" s="163" t="s">
        <v>181</v>
      </c>
      <c r="I133" s="142" t="s">
        <v>905</v>
      </c>
      <c r="J133" s="144">
        <v>10000000</v>
      </c>
      <c r="K133" s="627">
        <v>8000000</v>
      </c>
      <c r="L133" s="394"/>
      <c r="M133" s="394" t="s">
        <v>5133</v>
      </c>
      <c r="N133" s="149">
        <v>5000000</v>
      </c>
      <c r="O133" s="150" t="s">
        <v>2462</v>
      </c>
    </row>
    <row r="134" spans="1:17" ht="38.25" customHeight="1" x14ac:dyDescent="0.35">
      <c r="A134" s="272" t="s">
        <v>2713</v>
      </c>
      <c r="B134" s="463" t="s">
        <v>4705</v>
      </c>
      <c r="C134" s="165" t="s">
        <v>5</v>
      </c>
      <c r="D134" s="141" t="s">
        <v>4</v>
      </c>
      <c r="E134" s="237" t="s">
        <v>26</v>
      </c>
      <c r="F134" s="163" t="s">
        <v>110</v>
      </c>
      <c r="G134" s="146"/>
      <c r="H134" s="163" t="s">
        <v>186</v>
      </c>
      <c r="I134" s="142" t="s">
        <v>906</v>
      </c>
      <c r="J134" s="144">
        <v>50000000</v>
      </c>
      <c r="K134" s="627">
        <v>29500000</v>
      </c>
      <c r="L134" s="394"/>
      <c r="M134" s="394" t="s">
        <v>5133</v>
      </c>
      <c r="N134" s="149">
        <v>50000000</v>
      </c>
      <c r="O134" s="150" t="s">
        <v>185</v>
      </c>
    </row>
    <row r="135" spans="1:17" ht="34.5" customHeight="1" x14ac:dyDescent="0.35">
      <c r="A135" s="272" t="s">
        <v>2714</v>
      </c>
      <c r="B135" s="463" t="s">
        <v>177</v>
      </c>
      <c r="C135" s="165" t="s">
        <v>5</v>
      </c>
      <c r="D135" s="141" t="s">
        <v>4</v>
      </c>
      <c r="E135" s="237" t="s">
        <v>26</v>
      </c>
      <c r="F135" s="163" t="s">
        <v>54</v>
      </c>
      <c r="G135" s="146"/>
      <c r="H135" s="163" t="s">
        <v>19</v>
      </c>
      <c r="I135" s="142" t="s">
        <v>900</v>
      </c>
      <c r="J135" s="144">
        <v>7500000</v>
      </c>
      <c r="K135" s="627">
        <v>12000000</v>
      </c>
      <c r="L135" s="394"/>
      <c r="M135" s="394" t="s">
        <v>5133</v>
      </c>
      <c r="N135" s="149">
        <v>10000000</v>
      </c>
      <c r="O135" s="150" t="s">
        <v>177</v>
      </c>
    </row>
    <row r="136" spans="1:17" ht="30.75" customHeight="1" x14ac:dyDescent="0.35">
      <c r="A136" s="272" t="s">
        <v>2715</v>
      </c>
      <c r="B136" s="463" t="s">
        <v>95</v>
      </c>
      <c r="C136" s="165" t="s">
        <v>5</v>
      </c>
      <c r="D136" s="141" t="s">
        <v>4</v>
      </c>
      <c r="E136" s="237" t="s">
        <v>26</v>
      </c>
      <c r="F136" s="163" t="s">
        <v>62</v>
      </c>
      <c r="G136" s="146"/>
      <c r="H136" s="163" t="s">
        <v>19</v>
      </c>
      <c r="I136" s="142" t="s">
        <v>904</v>
      </c>
      <c r="J136" s="144">
        <v>25000000</v>
      </c>
      <c r="K136" s="627">
        <v>20000000</v>
      </c>
      <c r="L136" s="394"/>
      <c r="M136" s="394" t="s">
        <v>5133</v>
      </c>
      <c r="N136" s="149">
        <v>25000000</v>
      </c>
      <c r="O136" s="150" t="s">
        <v>95</v>
      </c>
    </row>
    <row r="137" spans="1:17" ht="38.25" customHeight="1" x14ac:dyDescent="0.35">
      <c r="A137" s="272" t="s">
        <v>2716</v>
      </c>
      <c r="B137" s="463" t="s">
        <v>178</v>
      </c>
      <c r="C137" s="165" t="s">
        <v>5</v>
      </c>
      <c r="D137" s="141" t="s">
        <v>4</v>
      </c>
      <c r="E137" s="237" t="s">
        <v>26</v>
      </c>
      <c r="F137" s="163" t="s">
        <v>62</v>
      </c>
      <c r="G137" s="146"/>
      <c r="H137" s="163" t="s">
        <v>19</v>
      </c>
      <c r="I137" s="142" t="s">
        <v>904</v>
      </c>
      <c r="J137" s="144">
        <v>150000000</v>
      </c>
      <c r="K137" s="627">
        <v>88500000</v>
      </c>
      <c r="L137" s="394"/>
      <c r="M137" s="394" t="s">
        <v>5133</v>
      </c>
      <c r="N137" s="149">
        <v>100000000</v>
      </c>
      <c r="O137" s="150" t="s">
        <v>178</v>
      </c>
    </row>
    <row r="138" spans="1:17" ht="33" customHeight="1" x14ac:dyDescent="0.35">
      <c r="A138" s="272" t="s">
        <v>2717</v>
      </c>
      <c r="B138" s="463" t="s">
        <v>2463</v>
      </c>
      <c r="C138" s="165" t="s">
        <v>5</v>
      </c>
      <c r="D138" s="141" t="s">
        <v>4</v>
      </c>
      <c r="E138" s="237" t="s">
        <v>26</v>
      </c>
      <c r="F138" s="163" t="s">
        <v>62</v>
      </c>
      <c r="G138" s="146"/>
      <c r="H138" s="163" t="s">
        <v>184</v>
      </c>
      <c r="I138" s="142" t="s">
        <v>904</v>
      </c>
      <c r="J138" s="144">
        <v>370000000</v>
      </c>
      <c r="K138" s="627">
        <v>215050000</v>
      </c>
      <c r="L138" s="394"/>
      <c r="M138" s="394" t="s">
        <v>5133</v>
      </c>
      <c r="N138" s="149">
        <v>80000000</v>
      </c>
      <c r="O138" s="150" t="s">
        <v>2463</v>
      </c>
    </row>
    <row r="139" spans="1:17" ht="28.5" customHeight="1" x14ac:dyDescent="0.35">
      <c r="A139" s="272" t="s">
        <v>2718</v>
      </c>
      <c r="B139" s="463" t="s">
        <v>1385</v>
      </c>
      <c r="C139" s="165" t="s">
        <v>5</v>
      </c>
      <c r="D139" s="141" t="s">
        <v>4</v>
      </c>
      <c r="E139" s="237" t="s">
        <v>26</v>
      </c>
      <c r="F139" s="163" t="s">
        <v>62</v>
      </c>
      <c r="G139" s="146"/>
      <c r="H139" s="163" t="s">
        <v>19</v>
      </c>
      <c r="I139" s="142" t="s">
        <v>904</v>
      </c>
      <c r="J139" s="144">
        <v>5000000</v>
      </c>
      <c r="K139" s="627">
        <v>2950000</v>
      </c>
      <c r="L139" s="394"/>
      <c r="M139" s="394" t="s">
        <v>5133</v>
      </c>
      <c r="N139" s="149">
        <v>2000000</v>
      </c>
      <c r="O139" s="150" t="s">
        <v>1385</v>
      </c>
    </row>
    <row r="140" spans="1:17" ht="29.25" customHeight="1" x14ac:dyDescent="0.35">
      <c r="A140" s="272" t="s">
        <v>2719</v>
      </c>
      <c r="B140" s="463" t="s">
        <v>921</v>
      </c>
      <c r="C140" s="290" t="s">
        <v>666</v>
      </c>
      <c r="D140" s="141" t="s">
        <v>4</v>
      </c>
      <c r="E140" s="237" t="s">
        <v>26</v>
      </c>
      <c r="F140" s="163" t="s">
        <v>62</v>
      </c>
      <c r="G140" s="146"/>
      <c r="H140" s="163" t="s">
        <v>19</v>
      </c>
      <c r="I140" s="142" t="s">
        <v>904</v>
      </c>
      <c r="J140" s="149">
        <v>35000000</v>
      </c>
      <c r="K140" s="627">
        <v>20650000</v>
      </c>
      <c r="L140" s="394"/>
      <c r="M140" s="394" t="s">
        <v>5133</v>
      </c>
      <c r="N140" s="149">
        <v>0</v>
      </c>
      <c r="O140" s="150" t="s">
        <v>921</v>
      </c>
    </row>
    <row r="141" spans="1:17" ht="51" customHeight="1" x14ac:dyDescent="0.35">
      <c r="A141" s="272" t="s">
        <v>2720</v>
      </c>
      <c r="B141" s="463" t="s">
        <v>4890</v>
      </c>
      <c r="C141" s="165" t="s">
        <v>704</v>
      </c>
      <c r="D141" s="141" t="s">
        <v>4</v>
      </c>
      <c r="E141" s="237" t="s">
        <v>26</v>
      </c>
      <c r="F141" s="163" t="s">
        <v>62</v>
      </c>
      <c r="G141" s="146"/>
      <c r="H141" s="163" t="s">
        <v>19</v>
      </c>
      <c r="I141" s="142" t="s">
        <v>904</v>
      </c>
      <c r="J141" s="149">
        <v>30000000</v>
      </c>
      <c r="K141" s="627">
        <v>17700000</v>
      </c>
      <c r="L141" s="394"/>
      <c r="M141" s="394" t="s">
        <v>5133</v>
      </c>
      <c r="N141" s="149">
        <v>0</v>
      </c>
      <c r="O141" s="150" t="s">
        <v>922</v>
      </c>
    </row>
    <row r="142" spans="1:17" ht="27" customHeight="1" x14ac:dyDescent="0.35">
      <c r="A142" s="272" t="s">
        <v>2721</v>
      </c>
      <c r="B142" s="463" t="s">
        <v>923</v>
      </c>
      <c r="C142" s="165" t="s">
        <v>188</v>
      </c>
      <c r="D142" s="141" t="s">
        <v>4</v>
      </c>
      <c r="E142" s="237" t="s">
        <v>26</v>
      </c>
      <c r="F142" s="163" t="s">
        <v>62</v>
      </c>
      <c r="G142" s="146"/>
      <c r="H142" s="163" t="s">
        <v>19</v>
      </c>
      <c r="I142" s="142" t="s">
        <v>904</v>
      </c>
      <c r="J142" s="149">
        <v>20000000</v>
      </c>
      <c r="K142" s="627">
        <v>11800000</v>
      </c>
      <c r="L142" s="394"/>
      <c r="M142" s="394" t="s">
        <v>5133</v>
      </c>
      <c r="N142" s="149"/>
      <c r="O142" s="150" t="s">
        <v>923</v>
      </c>
    </row>
    <row r="143" spans="1:17" ht="31.5" customHeight="1" x14ac:dyDescent="0.35">
      <c r="A143" s="272" t="s">
        <v>2722</v>
      </c>
      <c r="B143" s="463" t="s">
        <v>924</v>
      </c>
      <c r="C143" s="165" t="s">
        <v>188</v>
      </c>
      <c r="D143" s="141" t="s">
        <v>4</v>
      </c>
      <c r="E143" s="237" t="s">
        <v>26</v>
      </c>
      <c r="F143" s="163" t="s">
        <v>62</v>
      </c>
      <c r="G143" s="146"/>
      <c r="H143" s="163" t="s">
        <v>19</v>
      </c>
      <c r="I143" s="142" t="s">
        <v>904</v>
      </c>
      <c r="J143" s="149">
        <v>30000000</v>
      </c>
      <c r="K143" s="627">
        <v>17700000</v>
      </c>
      <c r="L143" s="394"/>
      <c r="M143" s="394" t="s">
        <v>5133</v>
      </c>
      <c r="N143" s="149"/>
      <c r="O143" s="150" t="s">
        <v>924</v>
      </c>
    </row>
    <row r="144" spans="1:17" ht="26.25" customHeight="1" x14ac:dyDescent="0.35">
      <c r="A144" s="272" t="s">
        <v>2723</v>
      </c>
      <c r="B144" s="463" t="s">
        <v>925</v>
      </c>
      <c r="C144" s="165" t="s">
        <v>666</v>
      </c>
      <c r="D144" s="141" t="s">
        <v>4</v>
      </c>
      <c r="E144" s="237" t="s">
        <v>26</v>
      </c>
      <c r="F144" s="163" t="s">
        <v>62</v>
      </c>
      <c r="G144" s="146"/>
      <c r="H144" s="163" t="s">
        <v>19</v>
      </c>
      <c r="I144" s="142" t="s">
        <v>904</v>
      </c>
      <c r="J144" s="149">
        <v>10000000</v>
      </c>
      <c r="K144" s="627">
        <v>5900000</v>
      </c>
      <c r="L144" s="394"/>
      <c r="M144" s="394" t="s">
        <v>5133</v>
      </c>
      <c r="N144" s="149"/>
      <c r="O144" s="150" t="s">
        <v>925</v>
      </c>
    </row>
    <row r="145" spans="1:16" ht="30.75" customHeight="1" x14ac:dyDescent="0.35">
      <c r="A145" s="272" t="s">
        <v>2724</v>
      </c>
      <c r="B145" s="463" t="s">
        <v>926</v>
      </c>
      <c r="C145" s="165" t="s">
        <v>666</v>
      </c>
      <c r="D145" s="141" t="s">
        <v>4</v>
      </c>
      <c r="E145" s="237" t="s">
        <v>26</v>
      </c>
      <c r="F145" s="163" t="s">
        <v>62</v>
      </c>
      <c r="G145" s="146"/>
      <c r="H145" s="163" t="s">
        <v>19</v>
      </c>
      <c r="I145" s="142" t="s">
        <v>904</v>
      </c>
      <c r="J145" s="149">
        <v>15000000</v>
      </c>
      <c r="K145" s="627">
        <v>8850000</v>
      </c>
      <c r="L145" s="394"/>
      <c r="M145" s="394" t="s">
        <v>5133</v>
      </c>
      <c r="N145" s="149"/>
      <c r="O145" s="150" t="s">
        <v>926</v>
      </c>
    </row>
    <row r="146" spans="1:16" ht="30.75" customHeight="1" x14ac:dyDescent="0.35">
      <c r="A146" s="272" t="s">
        <v>5121</v>
      </c>
      <c r="B146" s="463" t="s">
        <v>5122</v>
      </c>
      <c r="C146" s="165"/>
      <c r="D146" s="141"/>
      <c r="E146" s="237"/>
      <c r="F146" s="163"/>
      <c r="G146" s="146"/>
      <c r="H146" s="163"/>
      <c r="I146" s="142"/>
      <c r="J146" s="149"/>
      <c r="K146" s="627">
        <v>500000000</v>
      </c>
      <c r="L146" s="627">
        <v>500000000</v>
      </c>
      <c r="M146" s="394" t="s">
        <v>5123</v>
      </c>
      <c r="N146" s="149"/>
      <c r="O146" s="150"/>
    </row>
    <row r="147" spans="1:16" s="247" customFormat="1" ht="39.75" customHeight="1" x14ac:dyDescent="0.3">
      <c r="A147" s="245"/>
      <c r="B147" s="360" t="s">
        <v>1008</v>
      </c>
      <c r="C147" s="188"/>
      <c r="D147" s="171"/>
      <c r="E147" s="273"/>
      <c r="F147" s="257"/>
      <c r="G147" s="274"/>
      <c r="H147" s="257"/>
      <c r="I147" s="275"/>
      <c r="J147" s="259">
        <f>SUM(J130:J145)</f>
        <v>1517500000</v>
      </c>
      <c r="K147" s="259">
        <f>SUM(K130:K146)</f>
        <v>1400000000</v>
      </c>
      <c r="L147" s="707"/>
      <c r="M147" s="707"/>
      <c r="N147" s="259">
        <f>SUM(N130:N145)</f>
        <v>322000000</v>
      </c>
      <c r="O147" s="276" t="s">
        <v>1008</v>
      </c>
      <c r="P147" s="246">
        <f>K147-900000000</f>
        <v>500000000</v>
      </c>
    </row>
    <row r="148" spans="1:16" s="247" customFormat="1" ht="18" customHeight="1" x14ac:dyDescent="0.3">
      <c r="A148" s="399"/>
      <c r="B148" s="587"/>
      <c r="C148" s="395"/>
      <c r="D148" s="687"/>
      <c r="E148" s="397"/>
      <c r="F148" s="396"/>
      <c r="G148" s="688"/>
      <c r="H148" s="396"/>
      <c r="I148" s="504"/>
      <c r="J148" s="398"/>
      <c r="K148" s="628"/>
      <c r="L148" s="706"/>
      <c r="M148" s="706"/>
      <c r="N148" s="398"/>
      <c r="O148" s="292"/>
      <c r="P148" s="246"/>
    </row>
    <row r="149" spans="1:16" ht="33.75" customHeight="1" x14ac:dyDescent="0.35">
      <c r="A149" s="731" t="s">
        <v>1096</v>
      </c>
      <c r="B149" s="731"/>
      <c r="C149" s="689"/>
      <c r="D149" s="689"/>
      <c r="E149" s="689"/>
      <c r="F149" s="689"/>
      <c r="G149" s="689"/>
      <c r="H149" s="689"/>
      <c r="I149" s="689"/>
      <c r="J149" s="689"/>
      <c r="K149" s="681"/>
      <c r="L149" s="708"/>
      <c r="M149" s="708"/>
      <c r="N149" s="689"/>
      <c r="O149" s="690"/>
    </row>
    <row r="150" spans="1:16" s="235" customFormat="1" ht="89.25" customHeight="1" x14ac:dyDescent="0.35">
      <c r="A150" s="187" t="s">
        <v>1007</v>
      </c>
      <c r="B150" s="360" t="s">
        <v>50</v>
      </c>
      <c r="C150" s="175" t="s">
        <v>898</v>
      </c>
      <c r="D150" s="175" t="s">
        <v>52</v>
      </c>
      <c r="E150" s="187" t="s">
        <v>49</v>
      </c>
      <c r="F150" s="175" t="s">
        <v>1</v>
      </c>
      <c r="G150" s="187"/>
      <c r="H150" s="175" t="s">
        <v>51</v>
      </c>
      <c r="I150" s="187" t="s">
        <v>2</v>
      </c>
      <c r="J150" s="189" t="s">
        <v>4862</v>
      </c>
      <c r="K150" s="189" t="s">
        <v>5140</v>
      </c>
      <c r="L150" s="623" t="s">
        <v>5132</v>
      </c>
      <c r="M150" s="623" t="s">
        <v>5132</v>
      </c>
      <c r="N150" s="189" t="s">
        <v>1006</v>
      </c>
      <c r="O150" s="187" t="s">
        <v>50</v>
      </c>
      <c r="P150" s="234"/>
    </row>
    <row r="151" spans="1:16" ht="34.5" customHeight="1" x14ac:dyDescent="0.35">
      <c r="A151" s="272" t="s">
        <v>2725</v>
      </c>
      <c r="B151" s="463" t="s">
        <v>3157</v>
      </c>
      <c r="C151" s="165" t="s">
        <v>5</v>
      </c>
      <c r="D151" s="141" t="s">
        <v>4</v>
      </c>
      <c r="E151" s="237" t="s">
        <v>187</v>
      </c>
      <c r="F151" s="163" t="s">
        <v>985</v>
      </c>
      <c r="G151" s="293"/>
      <c r="H151" s="163" t="s">
        <v>19</v>
      </c>
      <c r="I151" s="142" t="s">
        <v>168</v>
      </c>
      <c r="J151" s="488">
        <v>786789000</v>
      </c>
      <c r="K151" s="627">
        <f>349462517-148628</f>
        <v>349313889</v>
      </c>
      <c r="L151" s="394"/>
      <c r="M151" s="394" t="s">
        <v>5133</v>
      </c>
      <c r="N151" s="489">
        <v>736456000</v>
      </c>
      <c r="O151" s="150" t="s">
        <v>3157</v>
      </c>
    </row>
    <row r="152" spans="1:16" ht="26.25" customHeight="1" x14ac:dyDescent="0.35">
      <c r="A152" s="272" t="s">
        <v>2726</v>
      </c>
      <c r="B152" s="463" t="s">
        <v>199</v>
      </c>
      <c r="C152" s="165" t="s">
        <v>5</v>
      </c>
      <c r="D152" s="141" t="s">
        <v>4</v>
      </c>
      <c r="E152" s="237" t="s">
        <v>187</v>
      </c>
      <c r="F152" s="145" t="s">
        <v>3158</v>
      </c>
      <c r="G152" s="293"/>
      <c r="H152" s="163" t="s">
        <v>19</v>
      </c>
      <c r="I152" s="142" t="s">
        <v>900</v>
      </c>
      <c r="J152" s="488">
        <f>40000000+40000000</f>
        <v>80000000</v>
      </c>
      <c r="K152" s="627">
        <v>35000000</v>
      </c>
      <c r="L152" s="394"/>
      <c r="M152" s="394" t="s">
        <v>5133</v>
      </c>
      <c r="N152" s="489">
        <v>40000000</v>
      </c>
      <c r="O152" s="150" t="s">
        <v>199</v>
      </c>
    </row>
    <row r="153" spans="1:16" ht="24" customHeight="1" x14ac:dyDescent="0.35">
      <c r="A153" s="272" t="s">
        <v>2727</v>
      </c>
      <c r="B153" s="490" t="s">
        <v>198</v>
      </c>
      <c r="C153" s="294" t="s">
        <v>5</v>
      </c>
      <c r="D153" s="143" t="s">
        <v>4</v>
      </c>
      <c r="E153" s="302" t="s">
        <v>187</v>
      </c>
      <c r="F153" s="295" t="s">
        <v>110</v>
      </c>
      <c r="G153" s="293"/>
      <c r="H153" s="295" t="s">
        <v>19</v>
      </c>
      <c r="I153" s="151" t="s">
        <v>906</v>
      </c>
      <c r="J153" s="488">
        <f>40000000-40000000</f>
        <v>0</v>
      </c>
      <c r="K153" s="627"/>
      <c r="L153" s="394"/>
      <c r="M153" s="394" t="s">
        <v>5133</v>
      </c>
      <c r="N153" s="489">
        <v>40000000</v>
      </c>
      <c r="O153" s="296" t="s">
        <v>198</v>
      </c>
    </row>
    <row r="154" spans="1:16" ht="20.25" customHeight="1" x14ac:dyDescent="0.35">
      <c r="A154" s="272" t="s">
        <v>2728</v>
      </c>
      <c r="B154" s="463" t="s">
        <v>220</v>
      </c>
      <c r="C154" s="165" t="s">
        <v>5</v>
      </c>
      <c r="D154" s="141" t="s">
        <v>4</v>
      </c>
      <c r="E154" s="237" t="s">
        <v>187</v>
      </c>
      <c r="F154" s="163" t="s">
        <v>987</v>
      </c>
      <c r="G154" s="293"/>
      <c r="H154" s="163" t="s">
        <v>19</v>
      </c>
      <c r="I154" s="142" t="s">
        <v>910</v>
      </c>
      <c r="J154" s="488">
        <v>7000000</v>
      </c>
      <c r="K154" s="627">
        <v>5500000</v>
      </c>
      <c r="L154" s="394"/>
      <c r="M154" s="394" t="s">
        <v>5133</v>
      </c>
      <c r="N154" s="277">
        <v>0</v>
      </c>
      <c r="O154" s="150" t="s">
        <v>220</v>
      </c>
    </row>
    <row r="155" spans="1:16" ht="20.25" customHeight="1" x14ac:dyDescent="0.35">
      <c r="A155" s="272" t="s">
        <v>2729</v>
      </c>
      <c r="B155" s="463" t="s">
        <v>3159</v>
      </c>
      <c r="C155" s="165" t="s">
        <v>5</v>
      </c>
      <c r="D155" s="141" t="s">
        <v>4</v>
      </c>
      <c r="E155" s="237" t="s">
        <v>187</v>
      </c>
      <c r="F155" s="163">
        <v>32010501</v>
      </c>
      <c r="G155" s="293"/>
      <c r="H155" s="163" t="s">
        <v>19</v>
      </c>
      <c r="I155" s="142" t="s">
        <v>900</v>
      </c>
      <c r="J155" s="488">
        <v>1500000</v>
      </c>
      <c r="K155" s="627">
        <v>1500000</v>
      </c>
      <c r="L155" s="394"/>
      <c r="M155" s="394" t="s">
        <v>5133</v>
      </c>
      <c r="N155" s="277">
        <v>0</v>
      </c>
      <c r="O155" s="150" t="s">
        <v>3159</v>
      </c>
    </row>
    <row r="156" spans="1:16" ht="25.5" customHeight="1" x14ac:dyDescent="0.35">
      <c r="A156" s="272" t="s">
        <v>2730</v>
      </c>
      <c r="B156" s="463" t="s">
        <v>106</v>
      </c>
      <c r="C156" s="165" t="s">
        <v>5</v>
      </c>
      <c r="D156" s="141" t="s">
        <v>4</v>
      </c>
      <c r="E156" s="237" t="s">
        <v>210</v>
      </c>
      <c r="F156" s="145" t="s">
        <v>54</v>
      </c>
      <c r="G156" s="146"/>
      <c r="H156" s="253">
        <v>70111</v>
      </c>
      <c r="I156" s="278" t="s">
        <v>900</v>
      </c>
      <c r="J156" s="144">
        <v>1500000</v>
      </c>
      <c r="K156" s="627"/>
      <c r="L156" s="394"/>
      <c r="M156" s="394" t="s">
        <v>5133</v>
      </c>
      <c r="N156" s="277">
        <v>0</v>
      </c>
      <c r="O156" s="180" t="s">
        <v>106</v>
      </c>
    </row>
    <row r="157" spans="1:16" ht="29.25" customHeight="1" x14ac:dyDescent="0.35">
      <c r="A157" s="272" t="s">
        <v>2731</v>
      </c>
      <c r="B157" s="463" t="s">
        <v>3161</v>
      </c>
      <c r="C157" s="165" t="s">
        <v>5</v>
      </c>
      <c r="D157" s="143" t="s">
        <v>4</v>
      </c>
      <c r="E157" s="237" t="s">
        <v>3160</v>
      </c>
      <c r="F157" s="163" t="s">
        <v>56</v>
      </c>
      <c r="G157" s="142"/>
      <c r="H157" s="253">
        <v>70111</v>
      </c>
      <c r="I157" s="146" t="s">
        <v>901</v>
      </c>
      <c r="J157" s="147">
        <v>2000000</v>
      </c>
      <c r="K157" s="627"/>
      <c r="L157" s="394"/>
      <c r="M157" s="394" t="s">
        <v>5133</v>
      </c>
      <c r="N157" s="277">
        <v>0</v>
      </c>
      <c r="O157" s="180" t="s">
        <v>3161</v>
      </c>
    </row>
    <row r="158" spans="1:16" ht="31.5" customHeight="1" x14ac:dyDescent="0.35">
      <c r="A158" s="272" t="s">
        <v>2732</v>
      </c>
      <c r="B158" s="463" t="s">
        <v>119</v>
      </c>
      <c r="C158" s="165" t="s">
        <v>5</v>
      </c>
      <c r="D158" s="143" t="s">
        <v>4</v>
      </c>
      <c r="E158" s="237" t="s">
        <v>3160</v>
      </c>
      <c r="F158" s="163" t="s">
        <v>54</v>
      </c>
      <c r="G158" s="142"/>
      <c r="H158" s="253">
        <v>70111</v>
      </c>
      <c r="I158" s="278" t="s">
        <v>900</v>
      </c>
      <c r="J158" s="147">
        <v>5000000</v>
      </c>
      <c r="K158" s="627"/>
      <c r="L158" s="394"/>
      <c r="M158" s="394" t="s">
        <v>5133</v>
      </c>
      <c r="N158" s="149">
        <v>0</v>
      </c>
      <c r="O158" s="180" t="s">
        <v>119</v>
      </c>
    </row>
    <row r="159" spans="1:16" s="247" customFormat="1" ht="36" customHeight="1" x14ac:dyDescent="0.3">
      <c r="A159" s="245"/>
      <c r="B159" s="578" t="s">
        <v>1008</v>
      </c>
      <c r="C159" s="188"/>
      <c r="D159" s="257"/>
      <c r="E159" s="258"/>
      <c r="F159" s="257"/>
      <c r="G159" s="258"/>
      <c r="H159" s="257"/>
      <c r="I159" s="258"/>
      <c r="J159" s="259">
        <f>SUM(J151:J158)</f>
        <v>883789000</v>
      </c>
      <c r="K159" s="259">
        <f>SUM(K151:K158)</f>
        <v>391313889</v>
      </c>
      <c r="L159" s="707"/>
      <c r="M159" s="707"/>
      <c r="N159" s="259">
        <f>SUM(N151:N158)</f>
        <v>816456000</v>
      </c>
      <c r="O159" s="256" t="s">
        <v>1008</v>
      </c>
      <c r="P159" s="246">
        <v>391313889</v>
      </c>
    </row>
    <row r="160" spans="1:16" ht="36" customHeight="1" x14ac:dyDescent="0.35">
      <c r="A160" s="286"/>
      <c r="B160" s="581"/>
      <c r="C160" s="282"/>
      <c r="D160" s="283"/>
      <c r="E160" s="284"/>
      <c r="F160" s="283"/>
      <c r="G160" s="284"/>
      <c r="H160" s="283"/>
      <c r="I160" s="284"/>
      <c r="J160" s="285"/>
      <c r="K160" s="458"/>
      <c r="L160" s="704"/>
      <c r="M160" s="704"/>
      <c r="N160" s="285"/>
      <c r="O160" s="297"/>
      <c r="P160" s="231">
        <f>P159-K159</f>
        <v>0</v>
      </c>
    </row>
    <row r="161" spans="1:16" ht="29.25" hidden="1" customHeight="1" x14ac:dyDescent="0.35">
      <c r="A161" s="600" t="s">
        <v>201</v>
      </c>
      <c r="B161" s="600"/>
      <c r="C161" s="600"/>
      <c r="D161" s="600"/>
      <c r="E161" s="600"/>
      <c r="F161" s="600"/>
      <c r="G161" s="600"/>
      <c r="H161" s="600"/>
      <c r="I161" s="600"/>
      <c r="J161" s="600"/>
      <c r="K161" s="458"/>
      <c r="L161" s="704"/>
      <c r="M161" s="704"/>
      <c r="N161" s="600"/>
      <c r="O161" s="600"/>
    </row>
    <row r="162" spans="1:16" ht="27.75" customHeight="1" x14ac:dyDescent="0.35">
      <c r="A162" s="357" t="s">
        <v>1116</v>
      </c>
      <c r="B162" s="357"/>
      <c r="C162" s="357"/>
      <c r="D162" s="357"/>
      <c r="E162" s="357"/>
      <c r="F162" s="357"/>
      <c r="G162" s="357"/>
      <c r="H162" s="357"/>
      <c r="I162" s="357"/>
      <c r="J162" s="357"/>
      <c r="K162" s="458"/>
      <c r="L162" s="704"/>
      <c r="M162" s="704"/>
      <c r="N162" s="357"/>
      <c r="O162" s="605"/>
    </row>
    <row r="163" spans="1:16" s="235" customFormat="1" ht="83.25" customHeight="1" x14ac:dyDescent="0.35">
      <c r="A163" s="187" t="s">
        <v>1007</v>
      </c>
      <c r="B163" s="360" t="s">
        <v>50</v>
      </c>
      <c r="C163" s="298" t="s">
        <v>898</v>
      </c>
      <c r="D163" s="299" t="s">
        <v>52</v>
      </c>
      <c r="E163" s="232" t="s">
        <v>49</v>
      </c>
      <c r="F163" s="188" t="s">
        <v>1</v>
      </c>
      <c r="G163" s="300"/>
      <c r="H163" s="298" t="s">
        <v>51</v>
      </c>
      <c r="I163" s="300" t="s">
        <v>2</v>
      </c>
      <c r="J163" s="189" t="s">
        <v>4862</v>
      </c>
      <c r="K163" s="189" t="s">
        <v>5140</v>
      </c>
      <c r="L163" s="623" t="s">
        <v>5132</v>
      </c>
      <c r="M163" s="623" t="s">
        <v>5132</v>
      </c>
      <c r="N163" s="301" t="s">
        <v>1006</v>
      </c>
      <c r="O163" s="187" t="s">
        <v>50</v>
      </c>
      <c r="P163" s="234"/>
    </row>
    <row r="164" spans="1:16" ht="23.25" customHeight="1" x14ac:dyDescent="0.35">
      <c r="A164" s="272" t="s">
        <v>2733</v>
      </c>
      <c r="B164" s="463" t="s">
        <v>55</v>
      </c>
      <c r="C164" s="165" t="s">
        <v>5</v>
      </c>
      <c r="D164" s="143" t="s">
        <v>4</v>
      </c>
      <c r="E164" s="237" t="s">
        <v>44</v>
      </c>
      <c r="F164" s="163" t="s">
        <v>56</v>
      </c>
      <c r="G164" s="142"/>
      <c r="H164" s="253">
        <v>70111</v>
      </c>
      <c r="I164" s="146" t="s">
        <v>901</v>
      </c>
      <c r="J164" s="147">
        <v>1000000</v>
      </c>
      <c r="K164" s="147"/>
      <c r="L164" s="394"/>
      <c r="M164" s="394" t="s">
        <v>5133</v>
      </c>
      <c r="N164" s="149">
        <v>1000000</v>
      </c>
      <c r="O164" s="180" t="s">
        <v>55</v>
      </c>
      <c r="P164" s="655">
        <v>41000000</v>
      </c>
    </row>
    <row r="165" spans="1:16" ht="23.25" customHeight="1" x14ac:dyDescent="0.35">
      <c r="A165" s="272" t="s">
        <v>2734</v>
      </c>
      <c r="B165" s="463" t="s">
        <v>203</v>
      </c>
      <c r="C165" s="165" t="s">
        <v>5</v>
      </c>
      <c r="D165" s="143" t="s">
        <v>4</v>
      </c>
      <c r="E165" s="237" t="s">
        <v>44</v>
      </c>
      <c r="F165" s="163" t="s">
        <v>54</v>
      </c>
      <c r="G165" s="142"/>
      <c r="H165" s="253">
        <v>70111</v>
      </c>
      <c r="I165" s="278" t="s">
        <v>900</v>
      </c>
      <c r="J165" s="147">
        <v>60662</v>
      </c>
      <c r="K165" s="147"/>
      <c r="L165" s="394"/>
      <c r="M165" s="394" t="s">
        <v>5133</v>
      </c>
      <c r="N165" s="149">
        <v>40411</v>
      </c>
      <c r="O165" s="180" t="s">
        <v>203</v>
      </c>
    </row>
    <row r="166" spans="1:16" ht="24" customHeight="1" x14ac:dyDescent="0.35">
      <c r="A166" s="272" t="s">
        <v>2735</v>
      </c>
      <c r="B166" s="463" t="s">
        <v>57</v>
      </c>
      <c r="C166" s="165" t="s">
        <v>5</v>
      </c>
      <c r="D166" s="143" t="s">
        <v>4</v>
      </c>
      <c r="E166" s="237" t="s">
        <v>44</v>
      </c>
      <c r="F166" s="163" t="s">
        <v>108</v>
      </c>
      <c r="G166" s="142"/>
      <c r="H166" s="253">
        <v>70111</v>
      </c>
      <c r="I166" s="167" t="s">
        <v>123</v>
      </c>
      <c r="J166" s="277">
        <v>2500000</v>
      </c>
      <c r="K166" s="277"/>
      <c r="L166" s="394"/>
      <c r="M166" s="394" t="s">
        <v>5133</v>
      </c>
      <c r="N166" s="149">
        <v>3000000</v>
      </c>
      <c r="O166" s="180" t="s">
        <v>57</v>
      </c>
    </row>
    <row r="167" spans="1:16" ht="27" customHeight="1" x14ac:dyDescent="0.35">
      <c r="A167" s="272" t="s">
        <v>2736</v>
      </c>
      <c r="B167" s="463" t="s">
        <v>204</v>
      </c>
      <c r="C167" s="165" t="s">
        <v>5</v>
      </c>
      <c r="D167" s="143" t="s">
        <v>4</v>
      </c>
      <c r="E167" s="237" t="s">
        <v>44</v>
      </c>
      <c r="F167" s="163" t="s">
        <v>105</v>
      </c>
      <c r="G167" s="142"/>
      <c r="H167" s="253">
        <v>70111</v>
      </c>
      <c r="I167" s="278" t="s">
        <v>900</v>
      </c>
      <c r="J167" s="147">
        <v>5000000</v>
      </c>
      <c r="K167" s="147"/>
      <c r="L167" s="394"/>
      <c r="M167" s="394" t="s">
        <v>5133</v>
      </c>
      <c r="N167" s="149">
        <v>1000000</v>
      </c>
      <c r="O167" s="180" t="s">
        <v>204</v>
      </c>
    </row>
    <row r="168" spans="1:16" ht="21" customHeight="1" x14ac:dyDescent="0.35">
      <c r="A168" s="272" t="s">
        <v>2737</v>
      </c>
      <c r="B168" s="463" t="s">
        <v>205</v>
      </c>
      <c r="C168" s="165" t="s">
        <v>5</v>
      </c>
      <c r="D168" s="143" t="s">
        <v>4</v>
      </c>
      <c r="E168" s="237" t="s">
        <v>44</v>
      </c>
      <c r="F168" s="163" t="s">
        <v>54</v>
      </c>
      <c r="G168" s="142"/>
      <c r="H168" s="253">
        <v>70111</v>
      </c>
      <c r="I168" s="278" t="s">
        <v>900</v>
      </c>
      <c r="J168" s="147">
        <v>5000000</v>
      </c>
      <c r="K168" s="147">
        <f>5000000+30000</f>
        <v>5030000</v>
      </c>
      <c r="L168" s="394"/>
      <c r="M168" s="394" t="s">
        <v>5133</v>
      </c>
      <c r="N168" s="149">
        <v>10000000</v>
      </c>
      <c r="O168" s="180" t="s">
        <v>205</v>
      </c>
    </row>
    <row r="169" spans="1:16" ht="22.5" customHeight="1" x14ac:dyDescent="0.35">
      <c r="A169" s="272" t="s">
        <v>2738</v>
      </c>
      <c r="B169" s="463" t="s">
        <v>206</v>
      </c>
      <c r="C169" s="165" t="s">
        <v>5</v>
      </c>
      <c r="D169" s="143" t="s">
        <v>4</v>
      </c>
      <c r="E169" s="237" t="s">
        <v>44</v>
      </c>
      <c r="F169" s="163" t="s">
        <v>207</v>
      </c>
      <c r="G169" s="142"/>
      <c r="H169" s="253">
        <v>70111</v>
      </c>
      <c r="I169" s="146" t="s">
        <v>909</v>
      </c>
      <c r="J169" s="147">
        <v>500000</v>
      </c>
      <c r="K169" s="147"/>
      <c r="L169" s="394"/>
      <c r="M169" s="394" t="s">
        <v>5133</v>
      </c>
      <c r="N169" s="149">
        <v>500000</v>
      </c>
      <c r="O169" s="180" t="s">
        <v>206</v>
      </c>
    </row>
    <row r="170" spans="1:16" ht="25.5" customHeight="1" x14ac:dyDescent="0.35">
      <c r="A170" s="272" t="s">
        <v>2739</v>
      </c>
      <c r="B170" s="463" t="s">
        <v>208</v>
      </c>
      <c r="C170" s="165" t="s">
        <v>5</v>
      </c>
      <c r="D170" s="143" t="s">
        <v>4</v>
      </c>
      <c r="E170" s="237" t="s">
        <v>44</v>
      </c>
      <c r="F170" s="163" t="s">
        <v>54</v>
      </c>
      <c r="G170" s="142"/>
      <c r="H170" s="253">
        <v>70111</v>
      </c>
      <c r="I170" s="278" t="s">
        <v>900</v>
      </c>
      <c r="J170" s="147">
        <v>7000000</v>
      </c>
      <c r="K170" s="147">
        <v>3000000</v>
      </c>
      <c r="L170" s="394"/>
      <c r="M170" s="394" t="s">
        <v>5133</v>
      </c>
      <c r="N170" s="149">
        <v>2500000</v>
      </c>
      <c r="O170" s="180" t="s">
        <v>208</v>
      </c>
    </row>
    <row r="171" spans="1:16" ht="21.75" customHeight="1" x14ac:dyDescent="0.35">
      <c r="A171" s="272" t="s">
        <v>2740</v>
      </c>
      <c r="B171" s="463" t="s">
        <v>60</v>
      </c>
      <c r="C171" s="165" t="s">
        <v>5</v>
      </c>
      <c r="D171" s="143" t="s">
        <v>4</v>
      </c>
      <c r="E171" s="237" t="s">
        <v>44</v>
      </c>
      <c r="F171" s="163" t="s">
        <v>983</v>
      </c>
      <c r="G171" s="142"/>
      <c r="H171" s="253">
        <v>70111</v>
      </c>
      <c r="I171" s="146" t="s">
        <v>902</v>
      </c>
      <c r="J171" s="147">
        <v>6000000</v>
      </c>
      <c r="K171" s="147">
        <v>6000000</v>
      </c>
      <c r="L171" s="394"/>
      <c r="M171" s="394" t="s">
        <v>5133</v>
      </c>
      <c r="N171" s="149">
        <v>6000000</v>
      </c>
      <c r="O171" s="180" t="s">
        <v>60</v>
      </c>
    </row>
    <row r="172" spans="1:16" ht="22.5" customHeight="1" x14ac:dyDescent="0.35">
      <c r="A172" s="272" t="s">
        <v>2741</v>
      </c>
      <c r="B172" s="463" t="s">
        <v>119</v>
      </c>
      <c r="C172" s="165" t="s">
        <v>5</v>
      </c>
      <c r="D172" s="143" t="s">
        <v>4</v>
      </c>
      <c r="E172" s="237" t="s">
        <v>44</v>
      </c>
      <c r="F172" s="163" t="s">
        <v>54</v>
      </c>
      <c r="G172" s="142"/>
      <c r="H172" s="253">
        <v>70111</v>
      </c>
      <c r="I172" s="278" t="s">
        <v>900</v>
      </c>
      <c r="J172" s="147">
        <v>20000000</v>
      </c>
      <c r="K172" s="147">
        <v>5000000</v>
      </c>
      <c r="L172" s="394"/>
      <c r="M172" s="394" t="s">
        <v>5133</v>
      </c>
      <c r="N172" s="149">
        <v>5000000</v>
      </c>
      <c r="O172" s="180" t="s">
        <v>119</v>
      </c>
    </row>
    <row r="173" spans="1:16" ht="21.75" customHeight="1" x14ac:dyDescent="0.35">
      <c r="A173" s="272" t="s">
        <v>2742</v>
      </c>
      <c r="B173" s="463" t="s">
        <v>118</v>
      </c>
      <c r="C173" s="294" t="s">
        <v>5</v>
      </c>
      <c r="D173" s="143" t="s">
        <v>4</v>
      </c>
      <c r="E173" s="302" t="s">
        <v>44</v>
      </c>
      <c r="F173" s="295" t="s">
        <v>62</v>
      </c>
      <c r="G173" s="151"/>
      <c r="H173" s="303">
        <v>70111</v>
      </c>
      <c r="I173" s="304" t="s">
        <v>904</v>
      </c>
      <c r="J173" s="305">
        <v>5000000</v>
      </c>
      <c r="K173" s="305">
        <v>15000000</v>
      </c>
      <c r="L173" s="394"/>
      <c r="M173" s="394" t="s">
        <v>5133</v>
      </c>
      <c r="N173" s="306">
        <v>18500000</v>
      </c>
      <c r="O173" s="180" t="s">
        <v>202</v>
      </c>
    </row>
    <row r="174" spans="1:16" ht="34.5" customHeight="1" x14ac:dyDescent="0.35">
      <c r="A174" s="310"/>
      <c r="B174" s="582" t="s">
        <v>1008</v>
      </c>
      <c r="C174" s="307"/>
      <c r="D174" s="308"/>
      <c r="E174" s="309"/>
      <c r="F174" s="308"/>
      <c r="G174" s="309"/>
      <c r="H174" s="308"/>
      <c r="I174" s="309"/>
      <c r="J174" s="259">
        <f>SUM(J164:J173)</f>
        <v>52060662</v>
      </c>
      <c r="K174" s="259">
        <f>SUM(K164:K173)</f>
        <v>34030000</v>
      </c>
      <c r="L174" s="707"/>
      <c r="M174" s="707"/>
      <c r="N174" s="259">
        <f>SUM(N164:N173)</f>
        <v>47540411</v>
      </c>
      <c r="O174" s="310" t="s">
        <v>1008</v>
      </c>
    </row>
    <row r="175" spans="1:16" ht="13.5" customHeight="1" x14ac:dyDescent="0.35">
      <c r="A175" s="286"/>
      <c r="B175" s="492"/>
      <c r="C175" s="311"/>
      <c r="D175" s="312"/>
      <c r="E175" s="313"/>
      <c r="F175" s="312"/>
      <c r="G175" s="313"/>
      <c r="H175" s="312"/>
      <c r="I175" s="313"/>
      <c r="J175" s="314"/>
      <c r="K175" s="458"/>
      <c r="L175" s="704"/>
      <c r="M175" s="704"/>
      <c r="N175" s="314"/>
      <c r="O175" s="286"/>
    </row>
    <row r="176" spans="1:16" x14ac:dyDescent="0.35">
      <c r="A176" s="600" t="s">
        <v>1231</v>
      </c>
      <c r="B176" s="600"/>
      <c r="C176" s="600"/>
      <c r="D176" s="600"/>
      <c r="E176" s="600"/>
      <c r="F176" s="600"/>
      <c r="G176" s="600"/>
      <c r="H176" s="600"/>
      <c r="I176" s="600"/>
      <c r="J176" s="600"/>
      <c r="K176" s="458"/>
      <c r="L176" s="704"/>
      <c r="M176" s="704"/>
      <c r="N176" s="600"/>
      <c r="O176" s="600"/>
    </row>
    <row r="177" spans="1:16" ht="27.75" hidden="1" customHeight="1" x14ac:dyDescent="0.35">
      <c r="A177" s="357" t="s">
        <v>209</v>
      </c>
      <c r="B177" s="357"/>
      <c r="C177" s="357"/>
      <c r="D177" s="357"/>
      <c r="E177" s="357"/>
      <c r="F177" s="357"/>
      <c r="G177" s="357"/>
      <c r="H177" s="357"/>
      <c r="I177" s="357"/>
      <c r="J177" s="357"/>
      <c r="K177" s="458"/>
      <c r="L177" s="704"/>
      <c r="M177" s="704"/>
      <c r="N177" s="357"/>
      <c r="O177" s="605"/>
    </row>
    <row r="178" spans="1:16" s="235" customFormat="1" ht="72.75" customHeight="1" x14ac:dyDescent="0.35">
      <c r="A178" s="187" t="s">
        <v>1007</v>
      </c>
      <c r="B178" s="360" t="s">
        <v>50</v>
      </c>
      <c r="C178" s="298" t="s">
        <v>898</v>
      </c>
      <c r="D178" s="315" t="s">
        <v>52</v>
      </c>
      <c r="E178" s="273" t="s">
        <v>49</v>
      </c>
      <c r="F178" s="257" t="s">
        <v>1</v>
      </c>
      <c r="G178" s="316"/>
      <c r="H178" s="317" t="s">
        <v>51</v>
      </c>
      <c r="I178" s="316" t="s">
        <v>2</v>
      </c>
      <c r="J178" s="177" t="s">
        <v>4862</v>
      </c>
      <c r="K178" s="189" t="s">
        <v>5140</v>
      </c>
      <c r="L178" s="623" t="s">
        <v>5132</v>
      </c>
      <c r="M178" s="623" t="s">
        <v>5132</v>
      </c>
      <c r="N178" s="318" t="s">
        <v>1006</v>
      </c>
      <c r="O178" s="178" t="s">
        <v>50</v>
      </c>
      <c r="P178" s="234"/>
    </row>
    <row r="179" spans="1:16" ht="25.5" customHeight="1" x14ac:dyDescent="0.35">
      <c r="A179" s="319" t="s">
        <v>1226</v>
      </c>
      <c r="B179" s="463" t="s">
        <v>57</v>
      </c>
      <c r="C179" s="165" t="s">
        <v>5</v>
      </c>
      <c r="D179" s="141" t="s">
        <v>4</v>
      </c>
      <c r="E179" s="237" t="s">
        <v>210</v>
      </c>
      <c r="F179" s="163" t="s">
        <v>108</v>
      </c>
      <c r="G179" s="146"/>
      <c r="H179" s="253">
        <v>70111</v>
      </c>
      <c r="I179" s="142" t="s">
        <v>907</v>
      </c>
      <c r="J179" s="144">
        <v>648530</v>
      </c>
      <c r="K179" s="627">
        <v>600000</v>
      </c>
      <c r="L179" s="394"/>
      <c r="M179" s="394" t="s">
        <v>5133</v>
      </c>
      <c r="N179" s="144">
        <v>400000</v>
      </c>
      <c r="O179" s="180" t="s">
        <v>57</v>
      </c>
    </row>
    <row r="180" spans="1:16" x14ac:dyDescent="0.35">
      <c r="A180" s="319" t="s">
        <v>1227</v>
      </c>
      <c r="B180" s="463" t="s">
        <v>60</v>
      </c>
      <c r="C180" s="165" t="s">
        <v>5</v>
      </c>
      <c r="D180" s="141" t="s">
        <v>4</v>
      </c>
      <c r="E180" s="237" t="s">
        <v>210</v>
      </c>
      <c r="F180" s="163" t="s">
        <v>983</v>
      </c>
      <c r="G180" s="146"/>
      <c r="H180" s="253">
        <v>70111</v>
      </c>
      <c r="I180" s="142" t="s">
        <v>902</v>
      </c>
      <c r="J180" s="144">
        <v>5000000</v>
      </c>
      <c r="K180" s="627">
        <f>2400000+320000</f>
        <v>2720000</v>
      </c>
      <c r="L180" s="394"/>
      <c r="M180" s="394" t="s">
        <v>5133</v>
      </c>
      <c r="N180" s="144">
        <v>5000000</v>
      </c>
      <c r="O180" s="180" t="s">
        <v>60</v>
      </c>
    </row>
    <row r="181" spans="1:16" ht="22.5" customHeight="1" x14ac:dyDescent="0.35">
      <c r="A181" s="319" t="s">
        <v>1228</v>
      </c>
      <c r="B181" s="463" t="s">
        <v>106</v>
      </c>
      <c r="C181" s="165" t="s">
        <v>5</v>
      </c>
      <c r="D181" s="141" t="s">
        <v>4</v>
      </c>
      <c r="E181" s="237" t="s">
        <v>210</v>
      </c>
      <c r="F181" s="145" t="s">
        <v>54</v>
      </c>
      <c r="G181" s="146"/>
      <c r="H181" s="253">
        <v>70111</v>
      </c>
      <c r="I181" s="278" t="s">
        <v>900</v>
      </c>
      <c r="J181" s="144">
        <v>7000000</v>
      </c>
      <c r="K181" s="627">
        <v>4000000</v>
      </c>
      <c r="L181" s="394"/>
      <c r="M181" s="394" t="s">
        <v>5133</v>
      </c>
      <c r="N181" s="144">
        <v>4788432</v>
      </c>
      <c r="O181" s="180" t="s">
        <v>106</v>
      </c>
    </row>
    <row r="182" spans="1:16" ht="20.25" customHeight="1" x14ac:dyDescent="0.35">
      <c r="A182" s="319" t="s">
        <v>1229</v>
      </c>
      <c r="B182" s="463" t="s">
        <v>211</v>
      </c>
      <c r="C182" s="165" t="s">
        <v>5</v>
      </c>
      <c r="D182" s="141" t="s">
        <v>4</v>
      </c>
      <c r="E182" s="237" t="s">
        <v>210</v>
      </c>
      <c r="F182" s="163" t="s">
        <v>62</v>
      </c>
      <c r="G182" s="146"/>
      <c r="H182" s="253">
        <v>70111</v>
      </c>
      <c r="I182" s="146" t="s">
        <v>904</v>
      </c>
      <c r="J182" s="144">
        <v>8000000</v>
      </c>
      <c r="K182" s="627">
        <v>7000000</v>
      </c>
      <c r="L182" s="394"/>
      <c r="M182" s="394" t="s">
        <v>5133</v>
      </c>
      <c r="N182" s="144">
        <v>5300000</v>
      </c>
      <c r="O182" s="180" t="s">
        <v>211</v>
      </c>
    </row>
    <row r="183" spans="1:16" ht="21.75" customHeight="1" x14ac:dyDescent="0.35">
      <c r="A183" s="319" t="s">
        <v>1230</v>
      </c>
      <c r="B183" s="463" t="s">
        <v>4947</v>
      </c>
      <c r="C183" s="165" t="s">
        <v>5</v>
      </c>
      <c r="D183" s="141" t="s">
        <v>4</v>
      </c>
      <c r="E183" s="237" t="s">
        <v>210</v>
      </c>
      <c r="F183" s="163" t="s">
        <v>62</v>
      </c>
      <c r="G183" s="146"/>
      <c r="H183" s="253">
        <v>70111</v>
      </c>
      <c r="I183" s="146" t="s">
        <v>904</v>
      </c>
      <c r="J183" s="144">
        <v>17000000</v>
      </c>
      <c r="K183" s="627">
        <v>6403000</v>
      </c>
      <c r="L183" s="394"/>
      <c r="M183" s="394" t="s">
        <v>5133</v>
      </c>
      <c r="N183" s="144">
        <v>7000000</v>
      </c>
      <c r="O183" s="180" t="s">
        <v>212</v>
      </c>
    </row>
    <row r="184" spans="1:16" s="247" customFormat="1" ht="30" customHeight="1" x14ac:dyDescent="0.35">
      <c r="A184" s="245"/>
      <c r="B184" s="360" t="s">
        <v>1008</v>
      </c>
      <c r="C184" s="188"/>
      <c r="D184" s="171"/>
      <c r="E184" s="273"/>
      <c r="F184" s="257"/>
      <c r="G184" s="274"/>
      <c r="H184" s="321"/>
      <c r="I184" s="274"/>
      <c r="J184" s="259">
        <f>SUM(J179:J183)</f>
        <v>37648530</v>
      </c>
      <c r="K184" s="259">
        <f>SUM(K179:K183)</f>
        <v>20723000</v>
      </c>
      <c r="L184" s="394"/>
      <c r="M184" s="394" t="s">
        <v>5133</v>
      </c>
      <c r="N184" s="259">
        <f>SUM(N179:N183)</f>
        <v>22488432</v>
      </c>
      <c r="O184" s="178" t="s">
        <v>1008</v>
      </c>
      <c r="P184" s="246"/>
    </row>
    <row r="185" spans="1:16" ht="18.75" customHeight="1" x14ac:dyDescent="0.35">
      <c r="A185" s="382"/>
      <c r="B185" s="491"/>
      <c r="C185" s="311"/>
      <c r="D185" s="152"/>
      <c r="E185" s="322"/>
      <c r="F185" s="312"/>
      <c r="G185" s="323"/>
      <c r="H185" s="324"/>
      <c r="I185" s="323"/>
      <c r="J185" s="314"/>
      <c r="K185" s="458"/>
      <c r="L185" s="704"/>
      <c r="M185" s="704"/>
      <c r="N185" s="314"/>
      <c r="O185" s="325"/>
    </row>
    <row r="186" spans="1:16" ht="40.5" hidden="1" customHeight="1" x14ac:dyDescent="0.35">
      <c r="A186" s="383" t="s">
        <v>213</v>
      </c>
      <c r="B186" s="383"/>
      <c r="C186" s="383"/>
      <c r="D186" s="383"/>
      <c r="E186" s="383"/>
      <c r="F186" s="383"/>
      <c r="G186" s="383"/>
      <c r="H186" s="383"/>
      <c r="I186" s="383"/>
      <c r="J186" s="383"/>
      <c r="K186" s="458"/>
      <c r="L186" s="704"/>
      <c r="M186" s="704"/>
      <c r="N186" s="383"/>
      <c r="O186" s="383"/>
    </row>
    <row r="187" spans="1:16" ht="33" customHeight="1" x14ac:dyDescent="0.35">
      <c r="A187" s="357" t="s">
        <v>2743</v>
      </c>
      <c r="B187" s="357"/>
      <c r="C187" s="357"/>
      <c r="D187" s="357"/>
      <c r="E187" s="357"/>
      <c r="F187" s="357"/>
      <c r="G187" s="357"/>
      <c r="H187" s="357"/>
      <c r="I187" s="357"/>
      <c r="J187" s="357"/>
      <c r="K187" s="458"/>
      <c r="L187" s="704"/>
      <c r="M187" s="704"/>
      <c r="N187" s="357"/>
      <c r="O187" s="605"/>
    </row>
    <row r="188" spans="1:16" s="329" customFormat="1" ht="76.5" customHeight="1" x14ac:dyDescent="0.3">
      <c r="A188" s="178" t="s">
        <v>1007</v>
      </c>
      <c r="B188" s="360" t="s">
        <v>50</v>
      </c>
      <c r="C188" s="175" t="s">
        <v>898</v>
      </c>
      <c r="D188" s="326" t="s">
        <v>52</v>
      </c>
      <c r="E188" s="178" t="s">
        <v>49</v>
      </c>
      <c r="F188" s="326" t="s">
        <v>1</v>
      </c>
      <c r="G188" s="178"/>
      <c r="H188" s="326" t="s">
        <v>51</v>
      </c>
      <c r="I188" s="178" t="s">
        <v>2</v>
      </c>
      <c r="J188" s="327" t="s">
        <v>4862</v>
      </c>
      <c r="K188" s="189" t="s">
        <v>5140</v>
      </c>
      <c r="L188" s="623" t="s">
        <v>5132</v>
      </c>
      <c r="M188" s="623" t="s">
        <v>5132</v>
      </c>
      <c r="N188" s="327" t="s">
        <v>1006</v>
      </c>
      <c r="O188" s="178" t="s">
        <v>50</v>
      </c>
      <c r="P188" s="328"/>
    </row>
    <row r="189" spans="1:16" ht="24" customHeight="1" x14ac:dyDescent="0.35">
      <c r="A189" s="272" t="s">
        <v>2744</v>
      </c>
      <c r="B189" s="463" t="s">
        <v>219</v>
      </c>
      <c r="C189" s="165" t="s">
        <v>5</v>
      </c>
      <c r="D189" s="141" t="s">
        <v>4</v>
      </c>
      <c r="E189" s="237" t="s">
        <v>214</v>
      </c>
      <c r="F189" s="163" t="s">
        <v>56</v>
      </c>
      <c r="G189" s="167"/>
      <c r="H189" s="253">
        <v>70111</v>
      </c>
      <c r="I189" s="146" t="s">
        <v>901</v>
      </c>
      <c r="J189" s="147">
        <v>530331</v>
      </c>
      <c r="K189" s="147">
        <v>530331</v>
      </c>
      <c r="L189" s="394"/>
      <c r="M189" s="394" t="s">
        <v>5133</v>
      </c>
      <c r="N189" s="149">
        <v>500000</v>
      </c>
      <c r="O189" s="180" t="s">
        <v>219</v>
      </c>
    </row>
    <row r="190" spans="1:16" ht="24.75" customHeight="1" x14ac:dyDescent="0.35">
      <c r="A190" s="272" t="s">
        <v>2745</v>
      </c>
      <c r="B190" s="463" t="s">
        <v>57</v>
      </c>
      <c r="C190" s="165" t="s">
        <v>5</v>
      </c>
      <c r="D190" s="141" t="s">
        <v>4</v>
      </c>
      <c r="E190" s="237" t="s">
        <v>214</v>
      </c>
      <c r="F190" s="163" t="s">
        <v>108</v>
      </c>
      <c r="G190" s="146"/>
      <c r="H190" s="253">
        <v>70111</v>
      </c>
      <c r="I190" s="142" t="s">
        <v>907</v>
      </c>
      <c r="J190" s="144">
        <v>1000000</v>
      </c>
      <c r="K190" s="144">
        <v>1000000</v>
      </c>
      <c r="L190" s="394"/>
      <c r="M190" s="394" t="s">
        <v>5133</v>
      </c>
      <c r="N190" s="149">
        <v>1000000</v>
      </c>
      <c r="O190" s="180" t="s">
        <v>57</v>
      </c>
    </row>
    <row r="191" spans="1:16" ht="25.5" customHeight="1" x14ac:dyDescent="0.35">
      <c r="A191" s="272" t="s">
        <v>2746</v>
      </c>
      <c r="B191" s="463" t="s">
        <v>216</v>
      </c>
      <c r="C191" s="165" t="s">
        <v>5</v>
      </c>
      <c r="D191" s="141" t="s">
        <v>4</v>
      </c>
      <c r="E191" s="237" t="s">
        <v>214</v>
      </c>
      <c r="F191" s="163" t="s">
        <v>983</v>
      </c>
      <c r="G191" s="167"/>
      <c r="H191" s="253">
        <v>70111</v>
      </c>
      <c r="I191" s="146" t="s">
        <v>902</v>
      </c>
      <c r="J191" s="147">
        <v>8000000</v>
      </c>
      <c r="K191" s="147">
        <v>6000000</v>
      </c>
      <c r="L191" s="394"/>
      <c r="M191" s="394" t="s">
        <v>5133</v>
      </c>
      <c r="N191" s="149">
        <v>5000000</v>
      </c>
      <c r="O191" s="180" t="s">
        <v>216</v>
      </c>
    </row>
    <row r="192" spans="1:16" ht="27.75" customHeight="1" x14ac:dyDescent="0.35">
      <c r="A192" s="272" t="s">
        <v>2747</v>
      </c>
      <c r="B192" s="463" t="s">
        <v>217</v>
      </c>
      <c r="C192" s="165" t="s">
        <v>5</v>
      </c>
      <c r="D192" s="141" t="s">
        <v>4</v>
      </c>
      <c r="E192" s="237" t="s">
        <v>214</v>
      </c>
      <c r="F192" s="163" t="s">
        <v>54</v>
      </c>
      <c r="G192" s="167"/>
      <c r="H192" s="253">
        <v>70111</v>
      </c>
      <c r="I192" s="278" t="s">
        <v>900</v>
      </c>
      <c r="J192" s="147">
        <v>2000000</v>
      </c>
      <c r="K192" s="147">
        <v>500000</v>
      </c>
      <c r="L192" s="394"/>
      <c r="M192" s="394" t="s">
        <v>5133</v>
      </c>
      <c r="N192" s="149">
        <v>5000000</v>
      </c>
      <c r="O192" s="180" t="s">
        <v>217</v>
      </c>
      <c r="P192" s="655">
        <v>25000000</v>
      </c>
    </row>
    <row r="193" spans="1:16" ht="25.5" customHeight="1" x14ac:dyDescent="0.35">
      <c r="A193" s="272" t="s">
        <v>2748</v>
      </c>
      <c r="B193" s="463" t="s">
        <v>119</v>
      </c>
      <c r="C193" s="165" t="s">
        <v>5</v>
      </c>
      <c r="D193" s="141" t="s">
        <v>4</v>
      </c>
      <c r="E193" s="237" t="s">
        <v>214</v>
      </c>
      <c r="F193" s="163" t="s">
        <v>62</v>
      </c>
      <c r="G193" s="167"/>
      <c r="H193" s="253">
        <v>70111</v>
      </c>
      <c r="I193" s="146" t="s">
        <v>904</v>
      </c>
      <c r="J193" s="147">
        <v>6000000</v>
      </c>
      <c r="K193" s="147">
        <v>2000000</v>
      </c>
      <c r="L193" s="394"/>
      <c r="M193" s="394" t="s">
        <v>5133</v>
      </c>
      <c r="N193" s="149">
        <v>6000000</v>
      </c>
      <c r="O193" s="180" t="s">
        <v>119</v>
      </c>
    </row>
    <row r="194" spans="1:16" ht="25.5" customHeight="1" x14ac:dyDescent="0.35">
      <c r="A194" s="272" t="s">
        <v>2749</v>
      </c>
      <c r="B194" s="463" t="s">
        <v>118</v>
      </c>
      <c r="C194" s="165"/>
      <c r="D194" s="141" t="s">
        <v>4</v>
      </c>
      <c r="E194" s="237" t="s">
        <v>210</v>
      </c>
      <c r="F194" s="163" t="s">
        <v>62</v>
      </c>
      <c r="G194" s="146"/>
      <c r="H194" s="253">
        <v>70111</v>
      </c>
      <c r="I194" s="146"/>
      <c r="J194" s="147">
        <v>6000000</v>
      </c>
      <c r="K194" s="147">
        <v>4000000</v>
      </c>
      <c r="L194" s="394"/>
      <c r="M194" s="394" t="s">
        <v>5133</v>
      </c>
      <c r="N194" s="149"/>
      <c r="O194" s="180" t="s">
        <v>118</v>
      </c>
    </row>
    <row r="195" spans="1:16" ht="22.5" customHeight="1" x14ac:dyDescent="0.35">
      <c r="A195" s="272" t="s">
        <v>3059</v>
      </c>
      <c r="B195" s="463" t="s">
        <v>218</v>
      </c>
      <c r="C195" s="165" t="s">
        <v>5</v>
      </c>
      <c r="D195" s="141" t="s">
        <v>4</v>
      </c>
      <c r="E195" s="237" t="s">
        <v>214</v>
      </c>
      <c r="F195" s="163" t="s">
        <v>62</v>
      </c>
      <c r="G195" s="167"/>
      <c r="H195" s="253">
        <v>70111</v>
      </c>
      <c r="I195" s="146" t="s">
        <v>904</v>
      </c>
      <c r="J195" s="147">
        <v>12500000</v>
      </c>
      <c r="K195" s="147">
        <v>6000000</v>
      </c>
      <c r="L195" s="394"/>
      <c r="M195" s="394" t="s">
        <v>5133</v>
      </c>
      <c r="N195" s="149">
        <v>12500000</v>
      </c>
      <c r="O195" s="180" t="s">
        <v>218</v>
      </c>
    </row>
    <row r="196" spans="1:16" s="247" customFormat="1" ht="33.75" customHeight="1" x14ac:dyDescent="0.3">
      <c r="A196" s="245"/>
      <c r="B196" s="360" t="s">
        <v>1008</v>
      </c>
      <c r="C196" s="188"/>
      <c r="D196" s="257"/>
      <c r="E196" s="273"/>
      <c r="F196" s="257" t="s">
        <v>984</v>
      </c>
      <c r="G196" s="273"/>
      <c r="H196" s="257"/>
      <c r="I196" s="273"/>
      <c r="J196" s="259">
        <f>SUM(J189:J195)</f>
        <v>36030331</v>
      </c>
      <c r="K196" s="259">
        <f>SUM(K189:K195)</f>
        <v>20030331</v>
      </c>
      <c r="L196" s="707"/>
      <c r="M196" s="707"/>
      <c r="N196" s="259">
        <f>SUM(N189:N195)</f>
        <v>30000000</v>
      </c>
      <c r="O196" s="599" t="s">
        <v>1008</v>
      </c>
      <c r="P196" s="246"/>
    </row>
    <row r="197" spans="1:16" ht="15" customHeight="1" x14ac:dyDescent="0.35">
      <c r="A197" s="286"/>
      <c r="B197" s="492"/>
      <c r="C197" s="282"/>
      <c r="D197" s="283"/>
      <c r="E197" s="330"/>
      <c r="F197" s="283"/>
      <c r="G197" s="330"/>
      <c r="H197" s="283"/>
      <c r="I197" s="330"/>
      <c r="J197" s="285"/>
      <c r="K197" s="458"/>
      <c r="L197" s="704"/>
      <c r="M197" s="704"/>
      <c r="N197" s="285"/>
      <c r="O197" s="286"/>
    </row>
    <row r="198" spans="1:16" ht="30" customHeight="1" x14ac:dyDescent="0.35">
      <c r="A198" s="600" t="s">
        <v>5087</v>
      </c>
      <c r="B198" s="600"/>
      <c r="C198" s="600"/>
      <c r="D198" s="600"/>
      <c r="E198" s="600"/>
      <c r="F198" s="600"/>
      <c r="G198" s="600"/>
      <c r="H198" s="600"/>
      <c r="I198" s="600"/>
      <c r="J198" s="600"/>
      <c r="K198" s="458"/>
      <c r="L198" s="704"/>
      <c r="M198" s="704"/>
      <c r="N198" s="600"/>
      <c r="O198" s="601"/>
    </row>
    <row r="199" spans="1:16" ht="27.75" hidden="1" customHeight="1" x14ac:dyDescent="0.35">
      <c r="A199" s="357" t="s">
        <v>1116</v>
      </c>
      <c r="B199" s="357"/>
      <c r="C199" s="357"/>
      <c r="D199" s="357"/>
      <c r="E199" s="357"/>
      <c r="F199" s="357"/>
      <c r="G199" s="357"/>
      <c r="H199" s="357"/>
      <c r="I199" s="357"/>
      <c r="J199" s="357"/>
      <c r="K199" s="458"/>
      <c r="L199" s="704"/>
      <c r="M199" s="704"/>
      <c r="N199" s="357"/>
      <c r="O199" s="605"/>
    </row>
    <row r="200" spans="1:16" s="235" customFormat="1" ht="75" customHeight="1" x14ac:dyDescent="0.35">
      <c r="A200" s="187" t="s">
        <v>1007</v>
      </c>
      <c r="B200" s="360" t="s">
        <v>50</v>
      </c>
      <c r="C200" s="175" t="s">
        <v>898</v>
      </c>
      <c r="D200" s="175" t="s">
        <v>52</v>
      </c>
      <c r="E200" s="187" t="s">
        <v>49</v>
      </c>
      <c r="F200" s="175" t="s">
        <v>1</v>
      </c>
      <c r="G200" s="187"/>
      <c r="H200" s="175" t="s">
        <v>51</v>
      </c>
      <c r="I200" s="187" t="s">
        <v>2</v>
      </c>
      <c r="J200" s="189" t="s">
        <v>4862</v>
      </c>
      <c r="K200" s="189" t="s">
        <v>5140</v>
      </c>
      <c r="L200" s="623" t="s">
        <v>5132</v>
      </c>
      <c r="M200" s="623" t="s">
        <v>5132</v>
      </c>
      <c r="N200" s="189" t="s">
        <v>1006</v>
      </c>
      <c r="O200" s="187" t="s">
        <v>50</v>
      </c>
      <c r="P200" s="234"/>
    </row>
    <row r="201" spans="1:16" ht="23.25" customHeight="1" x14ac:dyDescent="0.35">
      <c r="A201" s="331" t="s">
        <v>1251</v>
      </c>
      <c r="B201" s="463" t="s">
        <v>96</v>
      </c>
      <c r="C201" s="165" t="s">
        <v>5</v>
      </c>
      <c r="D201" s="141" t="s">
        <v>4</v>
      </c>
      <c r="E201" s="237" t="s">
        <v>28</v>
      </c>
      <c r="F201" s="163" t="s">
        <v>54</v>
      </c>
      <c r="G201" s="167"/>
      <c r="H201" s="253">
        <v>70111</v>
      </c>
      <c r="I201" s="278" t="s">
        <v>900</v>
      </c>
      <c r="J201" s="147">
        <v>5000000</v>
      </c>
      <c r="K201" s="627">
        <v>2700000</v>
      </c>
      <c r="L201" s="394"/>
      <c r="M201" s="394" t="s">
        <v>5133</v>
      </c>
      <c r="N201" s="149">
        <v>5000000</v>
      </c>
      <c r="O201" s="180" t="s">
        <v>96</v>
      </c>
    </row>
    <row r="202" spans="1:16" ht="24" customHeight="1" x14ac:dyDescent="0.35">
      <c r="A202" s="331" t="s">
        <v>1252</v>
      </c>
      <c r="B202" s="463" t="s">
        <v>220</v>
      </c>
      <c r="C202" s="165" t="s">
        <v>5</v>
      </c>
      <c r="D202" s="141" t="s">
        <v>4</v>
      </c>
      <c r="E202" s="237" t="s">
        <v>28</v>
      </c>
      <c r="F202" s="163" t="s">
        <v>62</v>
      </c>
      <c r="G202" s="167"/>
      <c r="H202" s="253">
        <v>70111</v>
      </c>
      <c r="I202" s="146" t="s">
        <v>904</v>
      </c>
      <c r="J202" s="147">
        <v>5000000</v>
      </c>
      <c r="K202" s="627">
        <v>3000000</v>
      </c>
      <c r="L202" s="394"/>
      <c r="M202" s="394" t="s">
        <v>5133</v>
      </c>
      <c r="N202" s="149">
        <v>10000000</v>
      </c>
      <c r="O202" s="180" t="s">
        <v>220</v>
      </c>
    </row>
    <row r="203" spans="1:16" ht="30" customHeight="1" x14ac:dyDescent="0.35">
      <c r="A203" s="331" t="s">
        <v>1253</v>
      </c>
      <c r="B203" s="463" t="s">
        <v>1249</v>
      </c>
      <c r="C203" s="165" t="s">
        <v>5</v>
      </c>
      <c r="D203" s="141" t="s">
        <v>4</v>
      </c>
      <c r="E203" s="237" t="s">
        <v>28</v>
      </c>
      <c r="F203" s="163" t="s">
        <v>988</v>
      </c>
      <c r="G203" s="167"/>
      <c r="H203" s="253">
        <v>70111</v>
      </c>
      <c r="I203" s="167" t="s">
        <v>123</v>
      </c>
      <c r="J203" s="277">
        <v>15000000</v>
      </c>
      <c r="K203" s="627">
        <v>3000000</v>
      </c>
      <c r="L203" s="394"/>
      <c r="M203" s="394" t="s">
        <v>5133</v>
      </c>
      <c r="N203" s="149">
        <v>1000000</v>
      </c>
      <c r="O203" s="180" t="s">
        <v>1249</v>
      </c>
    </row>
    <row r="204" spans="1:16" ht="29.25" customHeight="1" x14ac:dyDescent="0.35">
      <c r="A204" s="331" t="s">
        <v>1254</v>
      </c>
      <c r="B204" s="463" t="s">
        <v>221</v>
      </c>
      <c r="C204" s="165" t="s">
        <v>5</v>
      </c>
      <c r="D204" s="141" t="s">
        <v>4</v>
      </c>
      <c r="E204" s="237" t="s">
        <v>28</v>
      </c>
      <c r="F204" s="163" t="s">
        <v>137</v>
      </c>
      <c r="G204" s="167"/>
      <c r="H204" s="253">
        <v>70111</v>
      </c>
      <c r="I204" s="146" t="s">
        <v>908</v>
      </c>
      <c r="J204" s="147">
        <v>10000000</v>
      </c>
      <c r="K204" s="627">
        <v>3000000</v>
      </c>
      <c r="L204" s="394"/>
      <c r="M204" s="394" t="s">
        <v>5133</v>
      </c>
      <c r="N204" s="149">
        <v>5000000</v>
      </c>
      <c r="O204" s="180" t="s">
        <v>221</v>
      </c>
    </row>
    <row r="205" spans="1:16" ht="24.75" customHeight="1" x14ac:dyDescent="0.35">
      <c r="A205" s="331" t="s">
        <v>1255</v>
      </c>
      <c r="B205" s="463" t="s">
        <v>222</v>
      </c>
      <c r="C205" s="165" t="s">
        <v>5</v>
      </c>
      <c r="D205" s="141" t="s">
        <v>4</v>
      </c>
      <c r="E205" s="237" t="s">
        <v>28</v>
      </c>
      <c r="F205" s="163" t="s">
        <v>62</v>
      </c>
      <c r="G205" s="167"/>
      <c r="H205" s="253">
        <v>70111</v>
      </c>
      <c r="I205" s="146" t="s">
        <v>904</v>
      </c>
      <c r="J205" s="147">
        <v>1514874</v>
      </c>
      <c r="K205" s="627">
        <v>899947</v>
      </c>
      <c r="L205" s="394"/>
      <c r="M205" s="394" t="s">
        <v>5133</v>
      </c>
      <c r="N205" s="149">
        <v>1514874</v>
      </c>
      <c r="O205" s="180" t="s">
        <v>222</v>
      </c>
    </row>
    <row r="206" spans="1:16" ht="29.25" customHeight="1" x14ac:dyDescent="0.35">
      <c r="A206" s="331" t="s">
        <v>1256</v>
      </c>
      <c r="B206" s="463" t="s">
        <v>326</v>
      </c>
      <c r="C206" s="165" t="s">
        <v>5</v>
      </c>
      <c r="D206" s="141" t="s">
        <v>4</v>
      </c>
      <c r="E206" s="237" t="s">
        <v>28</v>
      </c>
      <c r="F206" s="163" t="s">
        <v>54</v>
      </c>
      <c r="G206" s="167"/>
      <c r="H206" s="253">
        <v>70111</v>
      </c>
      <c r="I206" s="278" t="s">
        <v>900</v>
      </c>
      <c r="J206" s="149">
        <v>1000000</v>
      </c>
      <c r="K206" s="627">
        <v>1000000</v>
      </c>
      <c r="L206" s="394"/>
      <c r="M206" s="394" t="s">
        <v>5133</v>
      </c>
      <c r="N206" s="149">
        <v>0</v>
      </c>
      <c r="O206" s="332" t="s">
        <v>1250</v>
      </c>
    </row>
    <row r="207" spans="1:16" ht="30.75" customHeight="1" x14ac:dyDescent="0.35">
      <c r="A207" s="331" t="s">
        <v>1257</v>
      </c>
      <c r="B207" s="463" t="s">
        <v>223</v>
      </c>
      <c r="C207" s="165" t="s">
        <v>5</v>
      </c>
      <c r="D207" s="141" t="s">
        <v>4</v>
      </c>
      <c r="E207" s="237" t="s">
        <v>28</v>
      </c>
      <c r="F207" s="163" t="s">
        <v>105</v>
      </c>
      <c r="G207" s="167"/>
      <c r="H207" s="253">
        <v>70111</v>
      </c>
      <c r="I207" s="146" t="s">
        <v>59</v>
      </c>
      <c r="J207" s="147">
        <v>2000000</v>
      </c>
      <c r="K207" s="627">
        <v>1200000</v>
      </c>
      <c r="L207" s="394"/>
      <c r="M207" s="394" t="s">
        <v>5133</v>
      </c>
      <c r="N207" s="149">
        <v>2000000</v>
      </c>
      <c r="O207" s="180" t="s">
        <v>223</v>
      </c>
    </row>
    <row r="208" spans="1:16" ht="30" customHeight="1" x14ac:dyDescent="0.35">
      <c r="A208" s="331" t="s">
        <v>1258</v>
      </c>
      <c r="B208" s="463" t="s">
        <v>224</v>
      </c>
      <c r="C208" s="165" t="s">
        <v>5</v>
      </c>
      <c r="D208" s="141" t="s">
        <v>4</v>
      </c>
      <c r="E208" s="237" t="s">
        <v>28</v>
      </c>
      <c r="F208" s="163" t="s">
        <v>137</v>
      </c>
      <c r="G208" s="167"/>
      <c r="H208" s="253">
        <v>70111</v>
      </c>
      <c r="I208" s="146" t="s">
        <v>908</v>
      </c>
      <c r="J208" s="147">
        <v>2000000</v>
      </c>
      <c r="K208" s="627">
        <v>800000</v>
      </c>
      <c r="L208" s="394"/>
      <c r="M208" s="394" t="s">
        <v>5133</v>
      </c>
      <c r="N208" s="149">
        <v>2000000</v>
      </c>
      <c r="O208" s="180" t="s">
        <v>224</v>
      </c>
    </row>
    <row r="209" spans="1:15" ht="29.25" customHeight="1" x14ac:dyDescent="0.35">
      <c r="A209" s="331" t="s">
        <v>1259</v>
      </c>
      <c r="B209" s="463" t="s">
        <v>55</v>
      </c>
      <c r="C209" s="165" t="s">
        <v>5</v>
      </c>
      <c r="D209" s="141" t="s">
        <v>4</v>
      </c>
      <c r="E209" s="237" t="s">
        <v>28</v>
      </c>
      <c r="F209" s="163" t="s">
        <v>56</v>
      </c>
      <c r="G209" s="167"/>
      <c r="H209" s="253">
        <v>70111</v>
      </c>
      <c r="I209" s="146" t="s">
        <v>901</v>
      </c>
      <c r="J209" s="147">
        <v>500000</v>
      </c>
      <c r="K209" s="627">
        <v>500000</v>
      </c>
      <c r="L209" s="394"/>
      <c r="M209" s="394" t="s">
        <v>5133</v>
      </c>
      <c r="N209" s="149">
        <v>500000</v>
      </c>
      <c r="O209" s="180" t="s">
        <v>55</v>
      </c>
    </row>
    <row r="210" spans="1:15" ht="28.5" customHeight="1" x14ac:dyDescent="0.35">
      <c r="A210" s="331" t="s">
        <v>1260</v>
      </c>
      <c r="B210" s="463" t="s">
        <v>60</v>
      </c>
      <c r="C210" s="165" t="s">
        <v>5</v>
      </c>
      <c r="D210" s="141" t="s">
        <v>4</v>
      </c>
      <c r="E210" s="237" t="s">
        <v>28</v>
      </c>
      <c r="F210" s="163" t="s">
        <v>983</v>
      </c>
      <c r="G210" s="167"/>
      <c r="H210" s="253">
        <v>70111</v>
      </c>
      <c r="I210" s="146" t="s">
        <v>902</v>
      </c>
      <c r="J210" s="147">
        <v>5000000</v>
      </c>
      <c r="K210" s="627">
        <v>2000000</v>
      </c>
      <c r="L210" s="394"/>
      <c r="M210" s="394" t="s">
        <v>5133</v>
      </c>
      <c r="N210" s="149">
        <v>10000000</v>
      </c>
      <c r="O210" s="180" t="s">
        <v>60</v>
      </c>
    </row>
    <row r="211" spans="1:15" ht="23.25" customHeight="1" x14ac:dyDescent="0.35">
      <c r="A211" s="331" t="s">
        <v>1261</v>
      </c>
      <c r="B211" s="463" t="s">
        <v>225</v>
      </c>
      <c r="C211" s="165" t="s">
        <v>5</v>
      </c>
      <c r="D211" s="141" t="s">
        <v>4</v>
      </c>
      <c r="E211" s="237" t="s">
        <v>28</v>
      </c>
      <c r="F211" s="163" t="s">
        <v>989</v>
      </c>
      <c r="G211" s="167"/>
      <c r="H211" s="253">
        <v>70111</v>
      </c>
      <c r="I211" s="146" t="s">
        <v>59</v>
      </c>
      <c r="J211" s="147">
        <v>10561990</v>
      </c>
      <c r="K211" s="627">
        <v>2000000</v>
      </c>
      <c r="L211" s="394"/>
      <c r="M211" s="394" t="s">
        <v>5133</v>
      </c>
      <c r="N211" s="149">
        <v>2961990</v>
      </c>
      <c r="O211" s="180" t="s">
        <v>225</v>
      </c>
    </row>
    <row r="212" spans="1:15" ht="33.75" customHeight="1" x14ac:dyDescent="0.35">
      <c r="A212" s="332"/>
      <c r="B212" s="360" t="s">
        <v>1008</v>
      </c>
      <c r="C212" s="175"/>
      <c r="D212" s="171"/>
      <c r="E212" s="237"/>
      <c r="F212" s="163" t="s">
        <v>984</v>
      </c>
      <c r="G212" s="176"/>
      <c r="H212" s="171"/>
      <c r="I212" s="176"/>
      <c r="J212" s="177">
        <f>SUM(J201:J211)</f>
        <v>57576864</v>
      </c>
      <c r="K212" s="177">
        <f>SUM(K201:K211)</f>
        <v>20099947</v>
      </c>
      <c r="L212" s="189"/>
      <c r="M212" s="189"/>
      <c r="N212" s="177">
        <f>SUM(N201:N211)</f>
        <v>39976864</v>
      </c>
      <c r="O212" s="178" t="s">
        <v>1008</v>
      </c>
    </row>
    <row r="213" spans="1:15" ht="33.75" customHeight="1" x14ac:dyDescent="0.35">
      <c r="A213" s="286"/>
      <c r="B213" s="361"/>
      <c r="C213" s="333"/>
      <c r="D213" s="159"/>
      <c r="E213" s="330"/>
      <c r="F213" s="283"/>
      <c r="G213" s="334"/>
      <c r="H213" s="159"/>
      <c r="I213" s="334"/>
      <c r="J213" s="335"/>
      <c r="K213" s="458"/>
      <c r="L213" s="704"/>
      <c r="M213" s="704"/>
      <c r="N213" s="335"/>
      <c r="O213" s="336"/>
    </row>
    <row r="214" spans="1:15" ht="24.75" customHeight="1" x14ac:dyDescent="0.35">
      <c r="A214" s="600" t="s">
        <v>4599</v>
      </c>
      <c r="B214" s="600"/>
      <c r="C214" s="600"/>
      <c r="D214" s="600"/>
      <c r="E214" s="600"/>
      <c r="F214" s="600"/>
      <c r="G214" s="600"/>
      <c r="H214" s="600"/>
      <c r="I214" s="600"/>
      <c r="J214" s="600"/>
      <c r="K214" s="458"/>
      <c r="L214" s="704"/>
      <c r="M214" s="704"/>
      <c r="N214" s="600"/>
      <c r="O214" s="601"/>
    </row>
    <row r="215" spans="1:15" ht="78" customHeight="1" x14ac:dyDescent="0.35">
      <c r="A215" s="187" t="s">
        <v>1007</v>
      </c>
      <c r="B215" s="360" t="s">
        <v>50</v>
      </c>
      <c r="C215" s="175" t="s">
        <v>898</v>
      </c>
      <c r="D215" s="171" t="s">
        <v>52</v>
      </c>
      <c r="E215" s="176" t="s">
        <v>49</v>
      </c>
      <c r="F215" s="171" t="s">
        <v>1</v>
      </c>
      <c r="G215" s="176"/>
      <c r="H215" s="171" t="s">
        <v>51</v>
      </c>
      <c r="I215" s="176" t="s">
        <v>2</v>
      </c>
      <c r="J215" s="177" t="s">
        <v>4862</v>
      </c>
      <c r="K215" s="189" t="s">
        <v>5140</v>
      </c>
      <c r="L215" s="623" t="s">
        <v>5132</v>
      </c>
      <c r="M215" s="623" t="s">
        <v>5132</v>
      </c>
      <c r="N215" s="177" t="s">
        <v>1006</v>
      </c>
      <c r="O215" s="178" t="s">
        <v>50</v>
      </c>
    </row>
    <row r="216" spans="1:15" ht="28.5" customHeight="1" x14ac:dyDescent="0.35">
      <c r="A216" s="331" t="s">
        <v>1041</v>
      </c>
      <c r="B216" s="463" t="s">
        <v>226</v>
      </c>
      <c r="C216" s="165" t="s">
        <v>5</v>
      </c>
      <c r="D216" s="141" t="s">
        <v>4</v>
      </c>
      <c r="E216" s="237" t="s">
        <v>40</v>
      </c>
      <c r="F216" s="145" t="s">
        <v>522</v>
      </c>
      <c r="G216" s="146"/>
      <c r="H216" s="163" t="s">
        <v>19</v>
      </c>
      <c r="I216" s="142" t="s">
        <v>909</v>
      </c>
      <c r="J216" s="144">
        <v>37000000</v>
      </c>
      <c r="K216" s="627">
        <v>15000000</v>
      </c>
      <c r="L216" s="394"/>
      <c r="M216" s="394" t="s">
        <v>5133</v>
      </c>
      <c r="N216" s="149">
        <v>111000000</v>
      </c>
      <c r="O216" s="180" t="s">
        <v>226</v>
      </c>
    </row>
    <row r="217" spans="1:15" ht="55.5" customHeight="1" x14ac:dyDescent="0.35">
      <c r="A217" s="331" t="s">
        <v>1042</v>
      </c>
      <c r="B217" s="463" t="s">
        <v>227</v>
      </c>
      <c r="C217" s="165" t="s">
        <v>5</v>
      </c>
      <c r="D217" s="141" t="s">
        <v>4</v>
      </c>
      <c r="E217" s="237" t="s">
        <v>39</v>
      </c>
      <c r="F217" s="145" t="s">
        <v>983</v>
      </c>
      <c r="G217" s="146"/>
      <c r="H217" s="163" t="s">
        <v>19</v>
      </c>
      <c r="I217" s="142" t="s">
        <v>909</v>
      </c>
      <c r="J217" s="144">
        <v>6000000</v>
      </c>
      <c r="K217" s="627">
        <v>3000000</v>
      </c>
      <c r="L217" s="394"/>
      <c r="M217" s="394" t="s">
        <v>5133</v>
      </c>
      <c r="N217" s="149">
        <v>5000000</v>
      </c>
      <c r="O217" s="180" t="s">
        <v>227</v>
      </c>
    </row>
    <row r="218" spans="1:15" ht="53.25" customHeight="1" x14ac:dyDescent="0.35">
      <c r="A218" s="331" t="s">
        <v>1043</v>
      </c>
      <c r="B218" s="463" t="s">
        <v>228</v>
      </c>
      <c r="C218" s="165" t="s">
        <v>5</v>
      </c>
      <c r="D218" s="173" t="s">
        <v>4</v>
      </c>
      <c r="E218" s="237" t="s">
        <v>39</v>
      </c>
      <c r="F218" s="163" t="s">
        <v>105</v>
      </c>
      <c r="G218" s="238"/>
      <c r="H218" s="163" t="s">
        <v>19</v>
      </c>
      <c r="I218" s="142" t="s">
        <v>59</v>
      </c>
      <c r="J218" s="144">
        <v>6000000</v>
      </c>
      <c r="K218" s="627">
        <v>6000000</v>
      </c>
      <c r="L218" s="394"/>
      <c r="M218" s="394" t="s">
        <v>5133</v>
      </c>
      <c r="N218" s="149">
        <f>[2]CAPEX!$K$78</f>
        <v>8427372</v>
      </c>
      <c r="O218" s="180" t="s">
        <v>228</v>
      </c>
    </row>
    <row r="219" spans="1:15" ht="29.25" customHeight="1" x14ac:dyDescent="0.35">
      <c r="A219" s="331" t="s">
        <v>1044</v>
      </c>
      <c r="B219" s="463" t="s">
        <v>229</v>
      </c>
      <c r="C219" s="165" t="s">
        <v>5</v>
      </c>
      <c r="D219" s="173" t="s">
        <v>4</v>
      </c>
      <c r="E219" s="237" t="s">
        <v>39</v>
      </c>
      <c r="F219" s="163" t="s">
        <v>54</v>
      </c>
      <c r="G219" s="146"/>
      <c r="H219" s="163" t="s">
        <v>19</v>
      </c>
      <c r="I219" s="142" t="s">
        <v>900</v>
      </c>
      <c r="J219" s="144">
        <v>13500000</v>
      </c>
      <c r="K219" s="627">
        <v>4000000</v>
      </c>
      <c r="L219" s="394"/>
      <c r="M219" s="394" t="s">
        <v>5133</v>
      </c>
      <c r="N219" s="149">
        <f>[2]CAPEX!$K$79</f>
        <v>6500000</v>
      </c>
      <c r="O219" s="180" t="s">
        <v>229</v>
      </c>
    </row>
    <row r="220" spans="1:15" ht="27" customHeight="1" x14ac:dyDescent="0.35">
      <c r="A220" s="331" t="s">
        <v>1045</v>
      </c>
      <c r="B220" s="463" t="s">
        <v>230</v>
      </c>
      <c r="C220" s="165" t="s">
        <v>5</v>
      </c>
      <c r="D220" s="173" t="s">
        <v>4</v>
      </c>
      <c r="E220" s="237" t="s">
        <v>39</v>
      </c>
      <c r="F220" s="163" t="s">
        <v>105</v>
      </c>
      <c r="G220" s="146"/>
      <c r="H220" s="163" t="s">
        <v>19</v>
      </c>
      <c r="I220" s="142" t="s">
        <v>59</v>
      </c>
      <c r="J220" s="144">
        <v>9000000</v>
      </c>
      <c r="K220" s="627">
        <v>4000000</v>
      </c>
      <c r="L220" s="394"/>
      <c r="M220" s="394" t="s">
        <v>5133</v>
      </c>
      <c r="N220" s="149">
        <f>[2]CAPEX!$K$80</f>
        <v>10000000</v>
      </c>
      <c r="O220" s="180" t="s">
        <v>230</v>
      </c>
    </row>
    <row r="221" spans="1:15" ht="39.75" customHeight="1" x14ac:dyDescent="0.35">
      <c r="A221" s="331" t="s">
        <v>1046</v>
      </c>
      <c r="B221" s="463" t="s">
        <v>231</v>
      </c>
      <c r="C221" s="165" t="s">
        <v>5</v>
      </c>
      <c r="D221" s="141" t="s">
        <v>4</v>
      </c>
      <c r="E221" s="237" t="s">
        <v>39</v>
      </c>
      <c r="F221" s="145" t="s">
        <v>983</v>
      </c>
      <c r="G221" s="146"/>
      <c r="H221" s="163" t="s">
        <v>19</v>
      </c>
      <c r="I221" s="142" t="s">
        <v>902</v>
      </c>
      <c r="J221" s="144">
        <v>56000000</v>
      </c>
      <c r="K221" s="627">
        <v>8000000</v>
      </c>
      <c r="L221" s="394"/>
      <c r="M221" s="394" t="s">
        <v>5133</v>
      </c>
      <c r="N221" s="149">
        <v>10000000</v>
      </c>
      <c r="O221" s="180" t="s">
        <v>231</v>
      </c>
    </row>
    <row r="222" spans="1:15" ht="39" customHeight="1" x14ac:dyDescent="0.35">
      <c r="A222" s="331" t="s">
        <v>1047</v>
      </c>
      <c r="B222" s="463" t="s">
        <v>1039</v>
      </c>
      <c r="C222" s="165" t="s">
        <v>5</v>
      </c>
      <c r="D222" s="141" t="s">
        <v>4</v>
      </c>
      <c r="E222" s="237" t="s">
        <v>232</v>
      </c>
      <c r="F222" s="163" t="s">
        <v>983</v>
      </c>
      <c r="G222" s="146"/>
      <c r="H222" s="163" t="s">
        <v>19</v>
      </c>
      <c r="I222" s="142" t="s">
        <v>902</v>
      </c>
      <c r="J222" s="144">
        <v>44000000</v>
      </c>
      <c r="K222" s="627">
        <v>15000000</v>
      </c>
      <c r="L222" s="394"/>
      <c r="M222" s="394" t="s">
        <v>5133</v>
      </c>
      <c r="N222" s="149">
        <v>20044344</v>
      </c>
      <c r="O222" s="180" t="s">
        <v>1039</v>
      </c>
    </row>
    <row r="223" spans="1:15" ht="39" customHeight="1" x14ac:dyDescent="0.35">
      <c r="A223" s="331" t="s">
        <v>1048</v>
      </c>
      <c r="B223" s="463" t="s">
        <v>1040</v>
      </c>
      <c r="C223" s="165" t="s">
        <v>5</v>
      </c>
      <c r="D223" s="141" t="s">
        <v>4</v>
      </c>
      <c r="E223" s="237" t="s">
        <v>39</v>
      </c>
      <c r="F223" s="163" t="s">
        <v>989</v>
      </c>
      <c r="G223" s="146"/>
      <c r="H223" s="163" t="s">
        <v>19</v>
      </c>
      <c r="I223" s="142" t="s">
        <v>59</v>
      </c>
      <c r="J223" s="144">
        <v>5000000</v>
      </c>
      <c r="K223" s="627">
        <v>3000000</v>
      </c>
      <c r="L223" s="394"/>
      <c r="M223" s="394" t="s">
        <v>5133</v>
      </c>
      <c r="N223" s="149">
        <v>4000000</v>
      </c>
      <c r="O223" s="182" t="s">
        <v>1040</v>
      </c>
    </row>
    <row r="224" spans="1:15" ht="27" customHeight="1" x14ac:dyDescent="0.35">
      <c r="A224" s="331" t="s">
        <v>1049</v>
      </c>
      <c r="B224" s="463" t="s">
        <v>233</v>
      </c>
      <c r="C224" s="165" t="s">
        <v>5</v>
      </c>
      <c r="D224" s="141" t="s">
        <v>4</v>
      </c>
      <c r="E224" s="237" t="s">
        <v>41</v>
      </c>
      <c r="F224" s="163" t="s">
        <v>105</v>
      </c>
      <c r="G224" s="146"/>
      <c r="H224" s="163" t="s">
        <v>19</v>
      </c>
      <c r="I224" s="142" t="s">
        <v>59</v>
      </c>
      <c r="J224" s="144">
        <f>157000000</f>
        <v>157000000</v>
      </c>
      <c r="K224" s="627">
        <v>55000000</v>
      </c>
      <c r="L224" s="394"/>
      <c r="M224" s="394" t="s">
        <v>5133</v>
      </c>
      <c r="N224" s="149">
        <v>220000000</v>
      </c>
      <c r="O224" s="180" t="s">
        <v>233</v>
      </c>
    </row>
    <row r="225" spans="1:16" ht="26.25" customHeight="1" x14ac:dyDescent="0.35">
      <c r="A225" s="331" t="s">
        <v>1050</v>
      </c>
      <c r="B225" s="463" t="s">
        <v>234</v>
      </c>
      <c r="C225" s="165" t="s">
        <v>5</v>
      </c>
      <c r="D225" s="141" t="s">
        <v>4</v>
      </c>
      <c r="E225" s="237" t="s">
        <v>39</v>
      </c>
      <c r="F225" s="163" t="s">
        <v>54</v>
      </c>
      <c r="G225" s="146"/>
      <c r="H225" s="163" t="s">
        <v>19</v>
      </c>
      <c r="I225" s="142" t="s">
        <v>900</v>
      </c>
      <c r="J225" s="144">
        <v>7000000</v>
      </c>
      <c r="K225" s="627">
        <v>5000000</v>
      </c>
      <c r="L225" s="394"/>
      <c r="M225" s="394" t="s">
        <v>5133</v>
      </c>
      <c r="N225" s="149">
        <v>5000000</v>
      </c>
      <c r="O225" s="180" t="s">
        <v>234</v>
      </c>
    </row>
    <row r="226" spans="1:16" ht="25.5" customHeight="1" x14ac:dyDescent="0.35">
      <c r="A226" s="331" t="s">
        <v>1051</v>
      </c>
      <c r="B226" s="463" t="s">
        <v>235</v>
      </c>
      <c r="C226" s="165" t="s">
        <v>5</v>
      </c>
      <c r="D226" s="141" t="s">
        <v>4</v>
      </c>
      <c r="E226" s="237" t="s">
        <v>39</v>
      </c>
      <c r="F226" s="163" t="s">
        <v>62</v>
      </c>
      <c r="G226" s="146"/>
      <c r="H226" s="163" t="s">
        <v>19</v>
      </c>
      <c r="I226" s="142" t="s">
        <v>904</v>
      </c>
      <c r="J226" s="144">
        <v>6000000</v>
      </c>
      <c r="K226" s="627">
        <v>3000000</v>
      </c>
      <c r="L226" s="394"/>
      <c r="M226" s="394" t="s">
        <v>5133</v>
      </c>
      <c r="N226" s="149">
        <v>4572628</v>
      </c>
      <c r="O226" s="180" t="s">
        <v>235</v>
      </c>
    </row>
    <row r="227" spans="1:16" ht="29.25" customHeight="1" x14ac:dyDescent="0.35">
      <c r="A227" s="331" t="s">
        <v>1052</v>
      </c>
      <c r="B227" s="463" t="s">
        <v>60</v>
      </c>
      <c r="C227" s="165" t="s">
        <v>1074</v>
      </c>
      <c r="D227" s="141" t="s">
        <v>4</v>
      </c>
      <c r="E227" s="237" t="s">
        <v>39</v>
      </c>
      <c r="F227" s="145" t="s">
        <v>62</v>
      </c>
      <c r="G227" s="146"/>
      <c r="H227" s="163">
        <v>70111</v>
      </c>
      <c r="I227" s="142" t="s">
        <v>902</v>
      </c>
      <c r="J227" s="144">
        <v>3500000</v>
      </c>
      <c r="K227" s="627">
        <v>1007376</v>
      </c>
      <c r="L227" s="394"/>
      <c r="M227" s="394" t="s">
        <v>5133</v>
      </c>
      <c r="N227" s="149">
        <f>[2]CAPEX!$K$87</f>
        <v>2000000</v>
      </c>
      <c r="O227" s="180" t="s">
        <v>60</v>
      </c>
    </row>
    <row r="228" spans="1:16" s="247" customFormat="1" ht="39.75" customHeight="1" x14ac:dyDescent="0.3">
      <c r="A228" s="245"/>
      <c r="B228" s="360" t="s">
        <v>1008</v>
      </c>
      <c r="C228" s="188"/>
      <c r="D228" s="257"/>
      <c r="E228" s="273"/>
      <c r="F228" s="257" t="s">
        <v>984</v>
      </c>
      <c r="G228" s="273"/>
      <c r="H228" s="257"/>
      <c r="I228" s="273"/>
      <c r="J228" s="259">
        <f>SUM(J216:J227)</f>
        <v>350000000</v>
      </c>
      <c r="K228" s="259">
        <f>SUM(K216:K227)</f>
        <v>122007376</v>
      </c>
      <c r="L228" s="707"/>
      <c r="M228" s="707"/>
      <c r="N228" s="259">
        <f>SUM(N216:N226)</f>
        <v>404544344</v>
      </c>
      <c r="O228" s="245" t="s">
        <v>1008</v>
      </c>
      <c r="P228" s="246">
        <f>N228-[2]CAPEX!$K$88</f>
        <v>-2000000</v>
      </c>
    </row>
    <row r="229" spans="1:16" s="247" customFormat="1" ht="33" customHeight="1" x14ac:dyDescent="0.3">
      <c r="A229" s="342"/>
      <c r="B229" s="361"/>
      <c r="C229" s="338"/>
      <c r="D229" s="339"/>
      <c r="E229" s="340"/>
      <c r="F229" s="339"/>
      <c r="G229" s="340"/>
      <c r="H229" s="339"/>
      <c r="I229" s="340"/>
      <c r="J229" s="341"/>
      <c r="K229" s="628"/>
      <c r="L229" s="706"/>
      <c r="M229" s="706"/>
      <c r="N229" s="341"/>
      <c r="O229" s="342"/>
      <c r="P229" s="246"/>
    </row>
    <row r="230" spans="1:16" s="247" customFormat="1" ht="28.5" customHeight="1" x14ac:dyDescent="0.35">
      <c r="A230" s="732" t="s">
        <v>1318</v>
      </c>
      <c r="B230" s="733"/>
      <c r="C230" s="597"/>
      <c r="D230" s="597"/>
      <c r="E230" s="597"/>
      <c r="F230" s="597"/>
      <c r="G230" s="597"/>
      <c r="H230" s="597"/>
      <c r="I230" s="597"/>
      <c r="J230" s="597"/>
      <c r="K230" s="628"/>
      <c r="L230" s="706"/>
      <c r="M230" s="706"/>
      <c r="N230" s="597"/>
      <c r="O230" s="598"/>
      <c r="P230" s="343"/>
    </row>
    <row r="231" spans="1:16" s="247" customFormat="1" ht="78" customHeight="1" x14ac:dyDescent="0.3">
      <c r="A231" s="187" t="s">
        <v>1007</v>
      </c>
      <c r="B231" s="360" t="s">
        <v>50</v>
      </c>
      <c r="C231" s="175" t="s">
        <v>898</v>
      </c>
      <c r="D231" s="171" t="s">
        <v>52</v>
      </c>
      <c r="E231" s="176" t="s">
        <v>49</v>
      </c>
      <c r="F231" s="171" t="s">
        <v>1</v>
      </c>
      <c r="G231" s="176"/>
      <c r="H231" s="171" t="s">
        <v>51</v>
      </c>
      <c r="I231" s="176" t="s">
        <v>2</v>
      </c>
      <c r="J231" s="177" t="s">
        <v>4862</v>
      </c>
      <c r="K231" s="189" t="s">
        <v>5140</v>
      </c>
      <c r="L231" s="623" t="s">
        <v>5132</v>
      </c>
      <c r="M231" s="623" t="s">
        <v>5132</v>
      </c>
      <c r="N231" s="177" t="s">
        <v>1006</v>
      </c>
      <c r="O231" s="178" t="s">
        <v>50</v>
      </c>
      <c r="P231" s="246"/>
    </row>
    <row r="232" spans="1:16" s="247" customFormat="1" ht="39.75" customHeight="1" x14ac:dyDescent="0.35">
      <c r="A232" s="331" t="s">
        <v>1320</v>
      </c>
      <c r="B232" s="463" t="s">
        <v>234</v>
      </c>
      <c r="C232" s="165" t="s">
        <v>5</v>
      </c>
      <c r="D232" s="141" t="s">
        <v>4</v>
      </c>
      <c r="E232" s="237" t="s">
        <v>39</v>
      </c>
      <c r="F232" s="163" t="s">
        <v>54</v>
      </c>
      <c r="G232" s="146"/>
      <c r="H232" s="163" t="s">
        <v>19</v>
      </c>
      <c r="I232" s="142" t="s">
        <v>900</v>
      </c>
      <c r="J232" s="277">
        <f>36030331+64000000</f>
        <v>100030331</v>
      </c>
      <c r="K232" s="629">
        <v>34896044</v>
      </c>
      <c r="L232" s="394"/>
      <c r="M232" s="394" t="s">
        <v>5133</v>
      </c>
      <c r="N232" s="277">
        <f>[2]CAPEX!$K$92</f>
        <v>40000000</v>
      </c>
      <c r="O232" s="180" t="s">
        <v>234</v>
      </c>
      <c r="P232" s="246"/>
    </row>
    <row r="233" spans="1:16" ht="40.5" customHeight="1" x14ac:dyDescent="0.35">
      <c r="A233" s="245"/>
      <c r="B233" s="360" t="s">
        <v>1008</v>
      </c>
      <c r="C233" s="188"/>
      <c r="D233" s="257"/>
      <c r="E233" s="273"/>
      <c r="F233" s="257"/>
      <c r="G233" s="273"/>
      <c r="H233" s="257"/>
      <c r="I233" s="273"/>
      <c r="J233" s="259">
        <f>SUM(J232:J232)</f>
        <v>100030331</v>
      </c>
      <c r="K233" s="259">
        <f>SUM(K232:K232)</f>
        <v>34896044</v>
      </c>
      <c r="L233" s="707"/>
      <c r="M233" s="707"/>
      <c r="N233" s="259">
        <f>N232</f>
        <v>40000000</v>
      </c>
      <c r="O233" s="245" t="s">
        <v>1008</v>
      </c>
    </row>
    <row r="234" spans="1:16" ht="23.25" customHeight="1" x14ac:dyDescent="0.35">
      <c r="A234" s="286"/>
      <c r="B234" s="492"/>
      <c r="C234" s="282"/>
      <c r="D234" s="283"/>
      <c r="E234" s="330"/>
      <c r="F234" s="283"/>
      <c r="G234" s="330"/>
      <c r="H234" s="283"/>
      <c r="I234" s="330"/>
      <c r="J234" s="285"/>
      <c r="K234" s="458"/>
      <c r="L234" s="704"/>
      <c r="M234" s="704"/>
      <c r="N234" s="285"/>
      <c r="O234" s="286"/>
    </row>
    <row r="235" spans="1:16" ht="35.25" customHeight="1" x14ac:dyDescent="0.35">
      <c r="A235" s="600" t="s">
        <v>1319</v>
      </c>
      <c r="B235" s="600"/>
      <c r="C235" s="600"/>
      <c r="D235" s="600"/>
      <c r="E235" s="600"/>
      <c r="F235" s="600"/>
      <c r="G235" s="600"/>
      <c r="H235" s="600"/>
      <c r="I235" s="600"/>
      <c r="J235" s="600"/>
      <c r="K235" s="458"/>
      <c r="L235" s="704"/>
      <c r="M235" s="704"/>
      <c r="N235" s="600"/>
      <c r="O235" s="601"/>
    </row>
    <row r="236" spans="1:16" ht="54.75" hidden="1" customHeight="1" x14ac:dyDescent="0.35">
      <c r="A236" s="357" t="s">
        <v>237</v>
      </c>
      <c r="B236" s="357"/>
      <c r="C236" s="357"/>
      <c r="D236" s="357"/>
      <c r="E236" s="357"/>
      <c r="F236" s="357"/>
      <c r="G236" s="357"/>
      <c r="H236" s="357"/>
      <c r="I236" s="357"/>
      <c r="J236" s="357"/>
      <c r="K236" s="458"/>
      <c r="L236" s="704"/>
      <c r="M236" s="704"/>
      <c r="N236" s="357"/>
      <c r="O236" s="605"/>
    </row>
    <row r="237" spans="1:16" s="345" customFormat="1" ht="84" customHeight="1" x14ac:dyDescent="0.3">
      <c r="A237" s="187" t="s">
        <v>1007</v>
      </c>
      <c r="B237" s="360" t="s">
        <v>50</v>
      </c>
      <c r="C237" s="175" t="s">
        <v>898</v>
      </c>
      <c r="D237" s="171" t="s">
        <v>52</v>
      </c>
      <c r="E237" s="176" t="s">
        <v>49</v>
      </c>
      <c r="F237" s="171" t="s">
        <v>1</v>
      </c>
      <c r="G237" s="176"/>
      <c r="H237" s="171" t="s">
        <v>51</v>
      </c>
      <c r="I237" s="176" t="s">
        <v>2</v>
      </c>
      <c r="J237" s="177" t="s">
        <v>4862</v>
      </c>
      <c r="K237" s="189" t="s">
        <v>5140</v>
      </c>
      <c r="L237" s="623" t="s">
        <v>5132</v>
      </c>
      <c r="M237" s="623" t="s">
        <v>5132</v>
      </c>
      <c r="N237" s="177" t="s">
        <v>1006</v>
      </c>
      <c r="O237" s="178" t="s">
        <v>50</v>
      </c>
      <c r="P237" s="344"/>
    </row>
    <row r="238" spans="1:16" ht="38.25" customHeight="1" x14ac:dyDescent="0.35">
      <c r="A238" s="272" t="s">
        <v>2750</v>
      </c>
      <c r="B238" s="463" t="s">
        <v>243</v>
      </c>
      <c r="C238" s="165" t="s">
        <v>5</v>
      </c>
      <c r="D238" s="141" t="s">
        <v>4</v>
      </c>
      <c r="E238" s="237" t="s">
        <v>35</v>
      </c>
      <c r="F238" s="163">
        <v>22020309</v>
      </c>
      <c r="G238" s="146"/>
      <c r="H238" s="141">
        <v>70131</v>
      </c>
      <c r="I238" s="142" t="s">
        <v>901</v>
      </c>
      <c r="J238" s="144">
        <v>20000000</v>
      </c>
      <c r="K238" s="627">
        <v>20000000</v>
      </c>
      <c r="L238" s="394"/>
      <c r="M238" s="394" t="s">
        <v>5133</v>
      </c>
      <c r="N238" s="149">
        <v>26152000</v>
      </c>
      <c r="O238" s="150" t="s">
        <v>243</v>
      </c>
      <c r="P238" s="231">
        <v>38000000</v>
      </c>
    </row>
    <row r="239" spans="1:16" ht="56.25" customHeight="1" x14ac:dyDescent="0.35">
      <c r="A239" s="272" t="s">
        <v>2751</v>
      </c>
      <c r="B239" s="463" t="s">
        <v>5143</v>
      </c>
      <c r="C239" s="165" t="s">
        <v>5</v>
      </c>
      <c r="D239" s="141" t="s">
        <v>4</v>
      </c>
      <c r="E239" s="237" t="s">
        <v>251</v>
      </c>
      <c r="F239" s="145" t="s">
        <v>981</v>
      </c>
      <c r="G239" s="146"/>
      <c r="H239" s="141">
        <v>70131</v>
      </c>
      <c r="I239" s="142" t="s">
        <v>900</v>
      </c>
      <c r="J239" s="144">
        <v>90000000</v>
      </c>
      <c r="K239" s="627">
        <v>45000000</v>
      </c>
      <c r="L239" s="394"/>
      <c r="M239" s="394" t="s">
        <v>5133</v>
      </c>
      <c r="N239" s="149">
        <v>20000000</v>
      </c>
      <c r="O239" s="150" t="s">
        <v>252</v>
      </c>
      <c r="P239" s="231">
        <v>3000000</v>
      </c>
    </row>
    <row r="240" spans="1:16" ht="36" customHeight="1" x14ac:dyDescent="0.35">
      <c r="A240" s="272" t="s">
        <v>2752</v>
      </c>
      <c r="B240" s="463" t="s">
        <v>250</v>
      </c>
      <c r="C240" s="165" t="s">
        <v>5</v>
      </c>
      <c r="D240" s="141" t="s">
        <v>4</v>
      </c>
      <c r="E240" s="237" t="s">
        <v>35</v>
      </c>
      <c r="F240" s="145" t="s">
        <v>983</v>
      </c>
      <c r="G240" s="146"/>
      <c r="H240" s="141">
        <v>70320</v>
      </c>
      <c r="I240" s="142" t="s">
        <v>902</v>
      </c>
      <c r="J240" s="144">
        <v>15000000</v>
      </c>
      <c r="K240" s="627"/>
      <c r="L240" s="394"/>
      <c r="M240" s="394" t="s">
        <v>5133</v>
      </c>
      <c r="N240" s="149">
        <v>33479008</v>
      </c>
      <c r="O240" s="150" t="s">
        <v>250</v>
      </c>
      <c r="P240" s="231">
        <v>175000000</v>
      </c>
    </row>
    <row r="241" spans="1:18" ht="27.75" customHeight="1" x14ac:dyDescent="0.35">
      <c r="A241" s="272" t="s">
        <v>2753</v>
      </c>
      <c r="B241" s="463" t="s">
        <v>60</v>
      </c>
      <c r="C241" s="165" t="s">
        <v>5</v>
      </c>
      <c r="D241" s="141" t="s">
        <v>4</v>
      </c>
      <c r="E241" s="237" t="s">
        <v>35</v>
      </c>
      <c r="F241" s="163" t="s">
        <v>983</v>
      </c>
      <c r="G241" s="146"/>
      <c r="H241" s="141">
        <v>70131</v>
      </c>
      <c r="I241" s="142" t="s">
        <v>902</v>
      </c>
      <c r="J241" s="144">
        <v>25000000</v>
      </c>
      <c r="K241" s="627">
        <v>3000000</v>
      </c>
      <c r="L241" s="394"/>
      <c r="M241" s="394" t="s">
        <v>5133</v>
      </c>
      <c r="N241" s="149">
        <v>23477084.210000001</v>
      </c>
      <c r="O241" s="150" t="s">
        <v>60</v>
      </c>
      <c r="P241" s="231">
        <v>15000000</v>
      </c>
    </row>
    <row r="242" spans="1:18" ht="29.25" customHeight="1" x14ac:dyDescent="0.35">
      <c r="A242" s="272" t="s">
        <v>2754</v>
      </c>
      <c r="B242" s="463" t="s">
        <v>248</v>
      </c>
      <c r="C242" s="165" t="s">
        <v>5</v>
      </c>
      <c r="D242" s="141" t="s">
        <v>4</v>
      </c>
      <c r="E242" s="237" t="s">
        <v>35</v>
      </c>
      <c r="F242" s="163" t="s">
        <v>105</v>
      </c>
      <c r="G242" s="146"/>
      <c r="H242" s="141">
        <v>70320</v>
      </c>
      <c r="I242" s="142" t="s">
        <v>59</v>
      </c>
      <c r="J242" s="144">
        <v>1000000</v>
      </c>
      <c r="K242" s="627"/>
      <c r="L242" s="394"/>
      <c r="M242" s="394" t="s">
        <v>5133</v>
      </c>
      <c r="N242" s="149">
        <v>1000000</v>
      </c>
      <c r="O242" s="150" t="s">
        <v>248</v>
      </c>
      <c r="P242" s="231">
        <v>80000000</v>
      </c>
    </row>
    <row r="243" spans="1:18" ht="26.25" customHeight="1" x14ac:dyDescent="0.35">
      <c r="A243" s="272" t="s">
        <v>2755</v>
      </c>
      <c r="B243" s="463" t="s">
        <v>249</v>
      </c>
      <c r="C243" s="165" t="s">
        <v>5</v>
      </c>
      <c r="D243" s="141" t="s">
        <v>4</v>
      </c>
      <c r="E243" s="237" t="s">
        <v>35</v>
      </c>
      <c r="F243" s="145" t="s">
        <v>105</v>
      </c>
      <c r="G243" s="146"/>
      <c r="H243" s="141">
        <v>70320</v>
      </c>
      <c r="I243" s="142" t="s">
        <v>59</v>
      </c>
      <c r="J243" s="144">
        <v>1000000</v>
      </c>
      <c r="K243" s="627"/>
      <c r="L243" s="394"/>
      <c r="M243" s="394" t="s">
        <v>5133</v>
      </c>
      <c r="N243" s="149">
        <v>1000000</v>
      </c>
      <c r="O243" s="150" t="s">
        <v>249</v>
      </c>
      <c r="P243" s="231">
        <f>SUM(P238:P242)</f>
        <v>311000000</v>
      </c>
    </row>
    <row r="244" spans="1:18" ht="37.5" customHeight="1" x14ac:dyDescent="0.35">
      <c r="A244" s="272" t="s">
        <v>2756</v>
      </c>
      <c r="B244" s="463" t="s">
        <v>246</v>
      </c>
      <c r="C244" s="165" t="s">
        <v>5</v>
      </c>
      <c r="D244" s="141" t="s">
        <v>4</v>
      </c>
      <c r="E244" s="237" t="s">
        <v>35</v>
      </c>
      <c r="F244" s="145" t="s">
        <v>128</v>
      </c>
      <c r="G244" s="146"/>
      <c r="H244" s="141">
        <v>70320</v>
      </c>
      <c r="I244" s="142" t="s">
        <v>900</v>
      </c>
      <c r="J244" s="144">
        <v>10000000</v>
      </c>
      <c r="K244" s="627"/>
      <c r="L244" s="394"/>
      <c r="M244" s="394" t="s">
        <v>5133</v>
      </c>
      <c r="N244" s="149">
        <v>7000000</v>
      </c>
      <c r="O244" s="150" t="s">
        <v>246</v>
      </c>
    </row>
    <row r="245" spans="1:18" ht="28.5" customHeight="1" x14ac:dyDescent="0.35">
      <c r="A245" s="272" t="s">
        <v>2757</v>
      </c>
      <c r="B245" s="463" t="s">
        <v>247</v>
      </c>
      <c r="C245" s="165" t="s">
        <v>5</v>
      </c>
      <c r="D245" s="141" t="s">
        <v>4</v>
      </c>
      <c r="E245" s="237" t="s">
        <v>35</v>
      </c>
      <c r="F245" s="145" t="s">
        <v>128</v>
      </c>
      <c r="G245" s="146"/>
      <c r="H245" s="141">
        <v>70320</v>
      </c>
      <c r="I245" s="142" t="s">
        <v>900</v>
      </c>
      <c r="J245" s="144">
        <v>25000000</v>
      </c>
      <c r="K245" s="627">
        <v>20000000</v>
      </c>
      <c r="L245" s="394"/>
      <c r="M245" s="394" t="s">
        <v>5133</v>
      </c>
      <c r="N245" s="149">
        <v>40376992.789999999</v>
      </c>
      <c r="O245" s="150" t="s">
        <v>247</v>
      </c>
    </row>
    <row r="246" spans="1:18" ht="30.75" customHeight="1" x14ac:dyDescent="0.35">
      <c r="A246" s="272" t="s">
        <v>2758</v>
      </c>
      <c r="B246" s="463" t="s">
        <v>4647</v>
      </c>
      <c r="C246" s="165" t="s">
        <v>5</v>
      </c>
      <c r="D246" s="141" t="s">
        <v>4</v>
      </c>
      <c r="E246" s="237" t="s">
        <v>35</v>
      </c>
      <c r="F246" s="145" t="s">
        <v>245</v>
      </c>
      <c r="G246" s="146"/>
      <c r="H246" s="141">
        <v>70320</v>
      </c>
      <c r="I246" s="142" t="s">
        <v>906</v>
      </c>
      <c r="J246" s="144">
        <v>200000000</v>
      </c>
      <c r="K246" s="627">
        <v>175000000</v>
      </c>
      <c r="L246" s="394"/>
      <c r="M246" s="394" t="s">
        <v>5133</v>
      </c>
      <c r="N246" s="149">
        <v>140000000</v>
      </c>
      <c r="O246" s="150" t="s">
        <v>244</v>
      </c>
    </row>
    <row r="247" spans="1:18" ht="29.25" customHeight="1" x14ac:dyDescent="0.35">
      <c r="A247" s="272" t="s">
        <v>2759</v>
      </c>
      <c r="B247" s="463" t="s">
        <v>238</v>
      </c>
      <c r="C247" s="165" t="s">
        <v>5</v>
      </c>
      <c r="D247" s="141" t="s">
        <v>4</v>
      </c>
      <c r="E247" s="237" t="s">
        <v>35</v>
      </c>
      <c r="F247" s="145" t="s">
        <v>62</v>
      </c>
      <c r="G247" s="146"/>
      <c r="H247" s="141">
        <v>70131</v>
      </c>
      <c r="I247" s="142" t="s">
        <v>904</v>
      </c>
      <c r="J247" s="144">
        <v>4000000</v>
      </c>
      <c r="K247" s="627"/>
      <c r="L247" s="394"/>
      <c r="M247" s="394" t="s">
        <v>5133</v>
      </c>
      <c r="N247" s="149">
        <v>10000000</v>
      </c>
      <c r="O247" s="150" t="s">
        <v>238</v>
      </c>
    </row>
    <row r="248" spans="1:18" ht="35.25" customHeight="1" x14ac:dyDescent="0.35">
      <c r="A248" s="272" t="s">
        <v>2760</v>
      </c>
      <c r="B248" s="463" t="s">
        <v>240</v>
      </c>
      <c r="C248" s="165" t="s">
        <v>5</v>
      </c>
      <c r="D248" s="141" t="s">
        <v>4</v>
      </c>
      <c r="E248" s="237" t="s">
        <v>239</v>
      </c>
      <c r="F248" s="163" t="s">
        <v>62</v>
      </c>
      <c r="G248" s="146"/>
      <c r="H248" s="141">
        <v>70320</v>
      </c>
      <c r="I248" s="142" t="s">
        <v>904</v>
      </c>
      <c r="J248" s="144">
        <v>2000000</v>
      </c>
      <c r="K248" s="627"/>
      <c r="L248" s="394"/>
      <c r="M248" s="394" t="s">
        <v>5133</v>
      </c>
      <c r="N248" s="149">
        <v>10000000</v>
      </c>
      <c r="O248" s="150" t="s">
        <v>240</v>
      </c>
    </row>
    <row r="249" spans="1:18" ht="30" customHeight="1" x14ac:dyDescent="0.35">
      <c r="A249" s="272" t="s">
        <v>2761</v>
      </c>
      <c r="B249" s="463" t="s">
        <v>241</v>
      </c>
      <c r="C249" s="165" t="s">
        <v>5</v>
      </c>
      <c r="D249" s="141" t="s">
        <v>4</v>
      </c>
      <c r="E249" s="237" t="s">
        <v>35</v>
      </c>
      <c r="F249" s="145" t="s">
        <v>54</v>
      </c>
      <c r="G249" s="146"/>
      <c r="H249" s="141">
        <v>70131</v>
      </c>
      <c r="I249" s="142" t="s">
        <v>900</v>
      </c>
      <c r="J249" s="144">
        <v>4000000</v>
      </c>
      <c r="K249" s="627">
        <v>1000000</v>
      </c>
      <c r="L249" s="394"/>
      <c r="M249" s="394" t="s">
        <v>5133</v>
      </c>
      <c r="N249" s="149">
        <v>5340000</v>
      </c>
      <c r="O249" s="150" t="s">
        <v>241</v>
      </c>
    </row>
    <row r="250" spans="1:18" ht="34.5" customHeight="1" x14ac:dyDescent="0.35">
      <c r="A250" s="272" t="s">
        <v>4648</v>
      </c>
      <c r="B250" s="463" t="s">
        <v>242</v>
      </c>
      <c r="C250" s="165" t="s">
        <v>5</v>
      </c>
      <c r="D250" s="141" t="s">
        <v>4</v>
      </c>
      <c r="E250" s="237" t="s">
        <v>35</v>
      </c>
      <c r="F250" s="145" t="s">
        <v>54</v>
      </c>
      <c r="G250" s="146"/>
      <c r="H250" s="141">
        <v>70320</v>
      </c>
      <c r="I250" s="142" t="s">
        <v>900</v>
      </c>
      <c r="J250" s="144">
        <v>4000000</v>
      </c>
      <c r="K250" s="627"/>
      <c r="L250" s="394"/>
      <c r="M250" s="394" t="s">
        <v>5133</v>
      </c>
      <c r="N250" s="149">
        <v>5000000</v>
      </c>
      <c r="O250" s="150" t="s">
        <v>242</v>
      </c>
      <c r="P250" s="285">
        <f>J251-R255</f>
        <v>256878675</v>
      </c>
    </row>
    <row r="251" spans="1:18" s="247" customFormat="1" ht="31.5" customHeight="1" x14ac:dyDescent="0.3">
      <c r="A251" s="245"/>
      <c r="B251" s="360" t="s">
        <v>1008</v>
      </c>
      <c r="C251" s="188"/>
      <c r="D251" s="257"/>
      <c r="E251" s="273"/>
      <c r="F251" s="257" t="s">
        <v>984</v>
      </c>
      <c r="G251" s="273"/>
      <c r="H251" s="257"/>
      <c r="I251" s="273"/>
      <c r="J251" s="259">
        <f>SUM(J238:J250)</f>
        <v>401000000</v>
      </c>
      <c r="K251" s="259">
        <f>SUM(K238:K250)</f>
        <v>264000000</v>
      </c>
      <c r="L251" s="707"/>
      <c r="M251" s="707"/>
      <c r="N251" s="259">
        <f>SUM(N238:N250)</f>
        <v>322825085</v>
      </c>
      <c r="O251" s="245" t="s">
        <v>1008</v>
      </c>
      <c r="P251" s="246"/>
    </row>
    <row r="252" spans="1:18" ht="18" customHeight="1" x14ac:dyDescent="0.35">
      <c r="A252" s="286"/>
      <c r="B252" s="492"/>
      <c r="C252" s="282"/>
      <c r="D252" s="283"/>
      <c r="E252" s="330"/>
      <c r="F252" s="283"/>
      <c r="G252" s="330"/>
      <c r="H252" s="283"/>
      <c r="I252" s="330"/>
      <c r="K252" s="458"/>
      <c r="L252" s="704"/>
      <c r="M252" s="704"/>
      <c r="O252" s="286"/>
      <c r="P252" s="231">
        <v>40000000</v>
      </c>
    </row>
    <row r="253" spans="1:18" ht="27" hidden="1" customHeight="1" x14ac:dyDescent="0.35">
      <c r="A253" s="600" t="s">
        <v>236</v>
      </c>
      <c r="B253" s="600"/>
      <c r="C253" s="600"/>
      <c r="D253" s="600"/>
      <c r="E253" s="600"/>
      <c r="F253" s="600"/>
      <c r="G253" s="600"/>
      <c r="H253" s="600"/>
      <c r="I253" s="600"/>
      <c r="J253" s="600"/>
      <c r="K253" s="458"/>
      <c r="L253" s="704"/>
      <c r="M253" s="704"/>
      <c r="N253" s="600"/>
      <c r="O253" s="601"/>
    </row>
    <row r="254" spans="1:18" ht="28.5" customHeight="1" x14ac:dyDescent="0.35">
      <c r="A254" s="357" t="s">
        <v>5086</v>
      </c>
      <c r="B254" s="357"/>
      <c r="C254" s="357"/>
      <c r="D254" s="357"/>
      <c r="E254" s="357"/>
      <c r="F254" s="357"/>
      <c r="G254" s="357"/>
      <c r="H254" s="357"/>
      <c r="I254" s="357"/>
      <c r="J254" s="357"/>
      <c r="K254" s="458"/>
      <c r="L254" s="704"/>
      <c r="M254" s="704"/>
      <c r="N254" s="357"/>
      <c r="O254" s="605"/>
      <c r="P254" s="231">
        <f>P250+P252</f>
        <v>296878675</v>
      </c>
    </row>
    <row r="255" spans="1:18" ht="81" customHeight="1" x14ac:dyDescent="0.35">
      <c r="A255" s="187" t="s">
        <v>1007</v>
      </c>
      <c r="B255" s="360" t="s">
        <v>50</v>
      </c>
      <c r="C255" s="175" t="s">
        <v>898</v>
      </c>
      <c r="D255" s="171" t="s">
        <v>52</v>
      </c>
      <c r="E255" s="176" t="s">
        <v>49</v>
      </c>
      <c r="F255" s="171" t="s">
        <v>1</v>
      </c>
      <c r="G255" s="176"/>
      <c r="H255" s="171" t="s">
        <v>51</v>
      </c>
      <c r="I255" s="176" t="s">
        <v>2</v>
      </c>
      <c r="J255" s="177" t="s">
        <v>4862</v>
      </c>
      <c r="K255" s="189" t="s">
        <v>5140</v>
      </c>
      <c r="L255" s="623" t="s">
        <v>5132</v>
      </c>
      <c r="M255" s="623" t="s">
        <v>5132</v>
      </c>
      <c r="N255" s="177" t="s">
        <v>1006</v>
      </c>
      <c r="O255" s="178" t="s">
        <v>50</v>
      </c>
      <c r="R255" s="285">
        <v>144121325</v>
      </c>
    </row>
    <row r="256" spans="1:18" ht="47.25" customHeight="1" x14ac:dyDescent="0.35">
      <c r="A256" s="272" t="s">
        <v>2762</v>
      </c>
      <c r="B256" s="463" t="s">
        <v>256</v>
      </c>
      <c r="C256" s="165" t="s">
        <v>5</v>
      </c>
      <c r="D256" s="141" t="s">
        <v>4</v>
      </c>
      <c r="E256" s="237" t="s">
        <v>251</v>
      </c>
      <c r="F256" s="163" t="s">
        <v>257</v>
      </c>
      <c r="G256" s="142"/>
      <c r="H256" s="253">
        <v>70111</v>
      </c>
      <c r="I256" s="142" t="s">
        <v>909</v>
      </c>
      <c r="J256" s="144">
        <v>7500000</v>
      </c>
      <c r="K256" s="627">
        <v>10000000</v>
      </c>
      <c r="L256" s="627">
        <v>10000000</v>
      </c>
      <c r="M256" s="394" t="s">
        <v>5123</v>
      </c>
      <c r="N256" s="149">
        <v>41163000</v>
      </c>
      <c r="O256" s="180" t="s">
        <v>256</v>
      </c>
    </row>
    <row r="257" spans="1:16" ht="38.25" customHeight="1" x14ac:dyDescent="0.35">
      <c r="A257" s="272" t="s">
        <v>2763</v>
      </c>
      <c r="B257" s="463" t="s">
        <v>253</v>
      </c>
      <c r="C257" s="165" t="s">
        <v>5</v>
      </c>
      <c r="D257" s="141" t="s">
        <v>4</v>
      </c>
      <c r="E257" s="237" t="s">
        <v>251</v>
      </c>
      <c r="F257" s="145" t="s">
        <v>131</v>
      </c>
      <c r="G257" s="142"/>
      <c r="H257" s="253">
        <v>70111</v>
      </c>
      <c r="I257" s="142" t="s">
        <v>902</v>
      </c>
      <c r="J257" s="144">
        <v>70000000</v>
      </c>
      <c r="K257" s="627">
        <v>70000000</v>
      </c>
      <c r="L257" s="627">
        <v>70000000</v>
      </c>
      <c r="M257" s="394" t="s">
        <v>5123</v>
      </c>
      <c r="N257" s="149">
        <v>35000000</v>
      </c>
      <c r="O257" s="180" t="s">
        <v>253</v>
      </c>
    </row>
    <row r="258" spans="1:16" ht="35.25" customHeight="1" x14ac:dyDescent="0.35">
      <c r="A258" s="272" t="s">
        <v>2764</v>
      </c>
      <c r="B258" s="463" t="s">
        <v>180</v>
      </c>
      <c r="C258" s="165" t="s">
        <v>5</v>
      </c>
      <c r="D258" s="141" t="s">
        <v>4</v>
      </c>
      <c r="E258" s="237" t="s">
        <v>251</v>
      </c>
      <c r="F258" s="163" t="s">
        <v>983</v>
      </c>
      <c r="G258" s="142"/>
      <c r="H258" s="253">
        <v>70111</v>
      </c>
      <c r="I258" s="142" t="s">
        <v>902</v>
      </c>
      <c r="J258" s="144">
        <v>1621325</v>
      </c>
      <c r="K258" s="627">
        <v>5000000</v>
      </c>
      <c r="L258" s="394"/>
      <c r="M258" s="394" t="s">
        <v>5133</v>
      </c>
      <c r="N258" s="149">
        <v>10000000</v>
      </c>
      <c r="O258" s="180" t="s">
        <v>180</v>
      </c>
    </row>
    <row r="259" spans="1:16" ht="33" customHeight="1" x14ac:dyDescent="0.35">
      <c r="A259" s="272" t="s">
        <v>2765</v>
      </c>
      <c r="B259" s="463" t="s">
        <v>255</v>
      </c>
      <c r="C259" s="165" t="s">
        <v>5</v>
      </c>
      <c r="D259" s="141" t="s">
        <v>4</v>
      </c>
      <c r="E259" s="237" t="s">
        <v>251</v>
      </c>
      <c r="F259" s="163" t="s">
        <v>110</v>
      </c>
      <c r="G259" s="142"/>
      <c r="H259" s="253">
        <v>70111</v>
      </c>
      <c r="I259" s="142" t="s">
        <v>906</v>
      </c>
      <c r="J259" s="144">
        <v>93000000</v>
      </c>
      <c r="K259" s="627">
        <v>1546829</v>
      </c>
      <c r="L259" s="394"/>
      <c r="M259" s="394" t="s">
        <v>5133</v>
      </c>
      <c r="N259" s="149">
        <v>100000000</v>
      </c>
      <c r="O259" s="180" t="s">
        <v>255</v>
      </c>
    </row>
    <row r="260" spans="1:16" ht="36" customHeight="1" x14ac:dyDescent="0.35">
      <c r="A260" s="272" t="s">
        <v>2766</v>
      </c>
      <c r="B260" s="463" t="s">
        <v>254</v>
      </c>
      <c r="C260" s="165" t="s">
        <v>5</v>
      </c>
      <c r="D260" s="141" t="s">
        <v>4</v>
      </c>
      <c r="E260" s="237" t="s">
        <v>251</v>
      </c>
      <c r="F260" s="163" t="s">
        <v>62</v>
      </c>
      <c r="G260" s="142"/>
      <c r="H260" s="253">
        <v>70111</v>
      </c>
      <c r="I260" s="142" t="s">
        <v>900</v>
      </c>
      <c r="J260" s="144">
        <v>10000000</v>
      </c>
      <c r="K260" s="627">
        <v>10000000</v>
      </c>
      <c r="L260" s="394"/>
      <c r="M260" s="394" t="s">
        <v>5133</v>
      </c>
      <c r="N260" s="149">
        <v>20000000</v>
      </c>
      <c r="O260" s="180" t="s">
        <v>254</v>
      </c>
    </row>
    <row r="261" spans="1:16" s="247" customFormat="1" ht="31.5" customHeight="1" x14ac:dyDescent="0.3">
      <c r="A261" s="245"/>
      <c r="B261" s="360" t="s">
        <v>1008</v>
      </c>
      <c r="C261" s="188"/>
      <c r="D261" s="257"/>
      <c r="E261" s="273"/>
      <c r="F261" s="257" t="s">
        <v>984</v>
      </c>
      <c r="G261" s="273"/>
      <c r="H261" s="257"/>
      <c r="I261" s="273"/>
      <c r="J261" s="259">
        <f>SUM(J256:J260)</f>
        <v>182121325</v>
      </c>
      <c r="K261" s="259">
        <f>SUM(K256:K260)</f>
        <v>96546829</v>
      </c>
      <c r="L261" s="707"/>
      <c r="M261" s="707"/>
      <c r="N261" s="259">
        <f>SUM(N256:N260)</f>
        <v>206163000</v>
      </c>
      <c r="O261" s="245" t="s">
        <v>1008</v>
      </c>
      <c r="P261" s="246"/>
    </row>
    <row r="262" spans="1:16" s="247" customFormat="1" ht="31.5" customHeight="1" x14ac:dyDescent="0.3">
      <c r="A262" s="342"/>
      <c r="B262" s="361"/>
      <c r="C262" s="338"/>
      <c r="D262" s="339"/>
      <c r="E262" s="340"/>
      <c r="F262" s="339"/>
      <c r="G262" s="340"/>
      <c r="H262" s="339"/>
      <c r="I262" s="340"/>
      <c r="J262" s="341"/>
      <c r="K262" s="628"/>
      <c r="L262" s="706"/>
      <c r="M262" s="706"/>
      <c r="N262" s="341"/>
      <c r="O262" s="342"/>
      <c r="P262" s="246"/>
    </row>
    <row r="263" spans="1:16" ht="27" hidden="1" customHeight="1" x14ac:dyDescent="0.35">
      <c r="A263" s="600" t="s">
        <v>1232</v>
      </c>
      <c r="B263" s="600"/>
      <c r="C263" s="600"/>
      <c r="D263" s="600"/>
      <c r="E263" s="600"/>
      <c r="F263" s="600"/>
      <c r="G263" s="600"/>
      <c r="H263" s="600"/>
      <c r="I263" s="600"/>
      <c r="J263" s="600"/>
      <c r="K263" s="458"/>
      <c r="L263" s="704"/>
      <c r="M263" s="704"/>
      <c r="N263" s="600"/>
      <c r="O263" s="601"/>
    </row>
    <row r="264" spans="1:16" ht="28.5" customHeight="1" x14ac:dyDescent="0.35">
      <c r="A264" s="357" t="s">
        <v>1232</v>
      </c>
      <c r="B264" s="357"/>
      <c r="C264" s="357"/>
      <c r="D264" s="357"/>
      <c r="E264" s="357"/>
      <c r="F264" s="357"/>
      <c r="G264" s="357"/>
      <c r="H264" s="357"/>
      <c r="I264" s="357"/>
      <c r="J264" s="357"/>
      <c r="K264" s="458"/>
      <c r="L264" s="704"/>
      <c r="M264" s="704"/>
      <c r="N264" s="357"/>
      <c r="O264" s="605"/>
    </row>
    <row r="265" spans="1:16" s="235" customFormat="1" ht="81" customHeight="1" x14ac:dyDescent="0.35">
      <c r="A265" s="187" t="s">
        <v>1007</v>
      </c>
      <c r="B265" s="360" t="s">
        <v>50</v>
      </c>
      <c r="C265" s="175" t="s">
        <v>898</v>
      </c>
      <c r="D265" s="257" t="s">
        <v>52</v>
      </c>
      <c r="E265" s="273" t="s">
        <v>49</v>
      </c>
      <c r="F265" s="257" t="s">
        <v>1</v>
      </c>
      <c r="G265" s="176"/>
      <c r="H265" s="171" t="s">
        <v>51</v>
      </c>
      <c r="I265" s="176" t="s">
        <v>2</v>
      </c>
      <c r="J265" s="177" t="s">
        <v>4862</v>
      </c>
      <c r="K265" s="189" t="s">
        <v>5140</v>
      </c>
      <c r="L265" s="623" t="s">
        <v>5132</v>
      </c>
      <c r="M265" s="623" t="s">
        <v>5132</v>
      </c>
      <c r="N265" s="177" t="s">
        <v>1006</v>
      </c>
      <c r="O265" s="178" t="s">
        <v>50</v>
      </c>
      <c r="P265" s="234"/>
    </row>
    <row r="266" spans="1:16" ht="31.5" customHeight="1" x14ac:dyDescent="0.35">
      <c r="A266" s="479" t="s">
        <v>1077</v>
      </c>
      <c r="B266" s="463" t="s">
        <v>1223</v>
      </c>
      <c r="C266" s="165" t="s">
        <v>5</v>
      </c>
      <c r="D266" s="141" t="s">
        <v>4</v>
      </c>
      <c r="E266" s="237" t="s">
        <v>8</v>
      </c>
      <c r="F266" s="163" t="s">
        <v>62</v>
      </c>
      <c r="G266" s="146"/>
      <c r="H266" s="141">
        <v>70112</v>
      </c>
      <c r="I266" s="142" t="s">
        <v>904</v>
      </c>
      <c r="J266" s="144">
        <v>10000000</v>
      </c>
      <c r="K266" s="627"/>
      <c r="L266" s="394"/>
      <c r="M266" s="394" t="s">
        <v>5133</v>
      </c>
      <c r="N266" s="277">
        <v>19976864</v>
      </c>
      <c r="O266" s="180" t="s">
        <v>1223</v>
      </c>
    </row>
    <row r="267" spans="1:16" ht="31.5" customHeight="1" x14ac:dyDescent="0.35">
      <c r="A267" s="479" t="s">
        <v>1078</v>
      </c>
      <c r="B267" s="463" t="s">
        <v>4949</v>
      </c>
      <c r="C267" s="165" t="s">
        <v>5</v>
      </c>
      <c r="D267" s="141" t="s">
        <v>4</v>
      </c>
      <c r="E267" s="237" t="s">
        <v>33</v>
      </c>
      <c r="F267" s="163" t="s">
        <v>54</v>
      </c>
      <c r="G267" s="146"/>
      <c r="H267" s="141">
        <v>70131</v>
      </c>
      <c r="I267" s="142" t="s">
        <v>900</v>
      </c>
      <c r="J267" s="144">
        <v>10000000</v>
      </c>
      <c r="K267" s="627">
        <v>15000000</v>
      </c>
      <c r="L267" s="394"/>
      <c r="M267" s="394" t="s">
        <v>5133</v>
      </c>
      <c r="N267" s="277"/>
      <c r="O267" s="180" t="s">
        <v>1224</v>
      </c>
    </row>
    <row r="268" spans="1:16" ht="27.75" customHeight="1" x14ac:dyDescent="0.35">
      <c r="A268" s="479" t="s">
        <v>1079</v>
      </c>
      <c r="B268" s="463" t="s">
        <v>60</v>
      </c>
      <c r="C268" s="165" t="s">
        <v>5</v>
      </c>
      <c r="D268" s="141" t="s">
        <v>4</v>
      </c>
      <c r="E268" s="237" t="s">
        <v>33</v>
      </c>
      <c r="F268" s="163" t="s">
        <v>983</v>
      </c>
      <c r="G268" s="146"/>
      <c r="H268" s="141">
        <v>70131</v>
      </c>
      <c r="I268" s="142" t="s">
        <v>902</v>
      </c>
      <c r="J268" s="144">
        <v>14000000</v>
      </c>
      <c r="K268" s="627">
        <v>7457000</v>
      </c>
      <c r="L268" s="394"/>
      <c r="M268" s="394" t="s">
        <v>5133</v>
      </c>
      <c r="N268" s="277">
        <v>5000000</v>
      </c>
      <c r="O268" s="180" t="s">
        <v>60</v>
      </c>
    </row>
    <row r="269" spans="1:16" ht="28.5" customHeight="1" x14ac:dyDescent="0.35">
      <c r="A269" s="479" t="s">
        <v>1080</v>
      </c>
      <c r="B269" s="463" t="s">
        <v>1368</v>
      </c>
      <c r="C269" s="165" t="s">
        <v>5</v>
      </c>
      <c r="D269" s="141" t="s">
        <v>4</v>
      </c>
      <c r="E269" s="237" t="s">
        <v>33</v>
      </c>
      <c r="F269" s="163">
        <v>32010601</v>
      </c>
      <c r="G269" s="146"/>
      <c r="H269" s="141">
        <v>70131</v>
      </c>
      <c r="I269" s="142" t="s">
        <v>904</v>
      </c>
      <c r="J269" s="144">
        <v>10000000</v>
      </c>
      <c r="K269" s="627">
        <v>5000000</v>
      </c>
      <c r="L269" s="394"/>
      <c r="M269" s="394" t="s">
        <v>5133</v>
      </c>
      <c r="N269" s="277">
        <v>30000000</v>
      </c>
      <c r="O269" s="180" t="s">
        <v>1368</v>
      </c>
    </row>
    <row r="270" spans="1:16" ht="28.5" customHeight="1" x14ac:dyDescent="0.35">
      <c r="A270" s="479" t="s">
        <v>1225</v>
      </c>
      <c r="B270" s="463" t="s">
        <v>1076</v>
      </c>
      <c r="C270" s="165" t="s">
        <v>5</v>
      </c>
      <c r="D270" s="141" t="s">
        <v>4</v>
      </c>
      <c r="E270" s="237" t="s">
        <v>286</v>
      </c>
      <c r="F270" s="163" t="s">
        <v>108</v>
      </c>
      <c r="G270" s="146"/>
      <c r="H270" s="141">
        <v>70131</v>
      </c>
      <c r="I270" s="142" t="s">
        <v>907</v>
      </c>
      <c r="J270" s="149">
        <v>5000000</v>
      </c>
      <c r="K270" s="627">
        <v>2000000</v>
      </c>
      <c r="L270" s="394"/>
      <c r="M270" s="394" t="s">
        <v>5133</v>
      </c>
      <c r="N270" s="277"/>
      <c r="O270" s="180" t="s">
        <v>1076</v>
      </c>
    </row>
    <row r="271" spans="1:16" s="247" customFormat="1" ht="33" customHeight="1" x14ac:dyDescent="0.3">
      <c r="A271" s="245"/>
      <c r="B271" s="360" t="s">
        <v>1008</v>
      </c>
      <c r="C271" s="188"/>
      <c r="D271" s="257"/>
      <c r="E271" s="273"/>
      <c r="F271" s="257" t="s">
        <v>984</v>
      </c>
      <c r="G271" s="273"/>
      <c r="H271" s="257"/>
      <c r="I271" s="273"/>
      <c r="J271" s="259">
        <f>SUM(J266:J270)</f>
        <v>49000000</v>
      </c>
      <c r="K271" s="259">
        <f>SUM(K266:K270)</f>
        <v>29457000</v>
      </c>
      <c r="L271" s="707"/>
      <c r="M271" s="707"/>
      <c r="N271" s="259">
        <f>SUM(N266:N269)</f>
        <v>54976864</v>
      </c>
      <c r="O271" s="245" t="s">
        <v>1008</v>
      </c>
      <c r="P271" s="246"/>
    </row>
    <row r="272" spans="1:16" ht="39" customHeight="1" x14ac:dyDescent="0.35">
      <c r="A272" s="286"/>
      <c r="B272" s="492"/>
      <c r="C272" s="282"/>
      <c r="D272" s="283"/>
      <c r="E272" s="330"/>
      <c r="F272" s="283"/>
      <c r="G272" s="330"/>
      <c r="H272" s="283"/>
      <c r="I272" s="330"/>
      <c r="J272" s="285"/>
      <c r="K272" s="458"/>
      <c r="L272" s="704"/>
      <c r="M272" s="704"/>
      <c r="N272" s="285"/>
      <c r="O272" s="286"/>
    </row>
    <row r="273" spans="1:16" ht="27" customHeight="1" x14ac:dyDescent="0.35">
      <c r="A273" s="357" t="s">
        <v>1129</v>
      </c>
      <c r="B273" s="357"/>
      <c r="C273" s="357"/>
      <c r="D273" s="357"/>
      <c r="E273" s="357"/>
      <c r="F273" s="357"/>
      <c r="G273" s="357"/>
      <c r="H273" s="357"/>
      <c r="I273" s="357"/>
      <c r="J273" s="357"/>
      <c r="K273" s="458"/>
      <c r="L273" s="704"/>
      <c r="M273" s="704"/>
      <c r="N273" s="357"/>
      <c r="O273" s="605"/>
    </row>
    <row r="274" spans="1:16" s="235" customFormat="1" ht="77.25" customHeight="1" x14ac:dyDescent="0.35">
      <c r="A274" s="187" t="s">
        <v>1007</v>
      </c>
      <c r="B274" s="360" t="s">
        <v>50</v>
      </c>
      <c r="C274" s="175" t="s">
        <v>898</v>
      </c>
      <c r="D274" s="175" t="s">
        <v>52</v>
      </c>
      <c r="E274" s="187" t="s">
        <v>49</v>
      </c>
      <c r="F274" s="175" t="s">
        <v>1</v>
      </c>
      <c r="G274" s="187"/>
      <c r="H274" s="175"/>
      <c r="I274" s="187" t="s">
        <v>2</v>
      </c>
      <c r="J274" s="189" t="s">
        <v>4862</v>
      </c>
      <c r="K274" s="189" t="s">
        <v>5140</v>
      </c>
      <c r="L274" s="623" t="s">
        <v>5132</v>
      </c>
      <c r="M274" s="623" t="s">
        <v>5132</v>
      </c>
      <c r="N274" s="189" t="s">
        <v>1006</v>
      </c>
      <c r="O274" s="233" t="s">
        <v>50</v>
      </c>
      <c r="P274" s="234"/>
    </row>
    <row r="275" spans="1:16" ht="31.5" customHeight="1" x14ac:dyDescent="0.35">
      <c r="A275" s="272" t="s">
        <v>2767</v>
      </c>
      <c r="B275" s="463" t="s">
        <v>125</v>
      </c>
      <c r="C275" s="165" t="s">
        <v>5</v>
      </c>
      <c r="D275" s="141" t="s">
        <v>4</v>
      </c>
      <c r="E275" s="237" t="s">
        <v>33</v>
      </c>
      <c r="F275" s="163" t="s">
        <v>56</v>
      </c>
      <c r="G275" s="146"/>
      <c r="H275" s="141">
        <v>70131</v>
      </c>
      <c r="I275" s="479" t="s">
        <v>904</v>
      </c>
      <c r="J275" s="488">
        <v>19000000</v>
      </c>
      <c r="K275" s="627">
        <v>6000000</v>
      </c>
      <c r="L275" s="394"/>
      <c r="M275" s="394" t="s">
        <v>5133</v>
      </c>
      <c r="N275" s="277">
        <v>200000</v>
      </c>
      <c r="O275" s="180" t="s">
        <v>125</v>
      </c>
    </row>
    <row r="276" spans="1:16" ht="25.5" customHeight="1" x14ac:dyDescent="0.35">
      <c r="A276" s="272" t="s">
        <v>2768</v>
      </c>
      <c r="B276" s="463" t="s">
        <v>60</v>
      </c>
      <c r="C276" s="165" t="s">
        <v>5</v>
      </c>
      <c r="D276" s="141" t="s">
        <v>4</v>
      </c>
      <c r="E276" s="237" t="s">
        <v>33</v>
      </c>
      <c r="F276" s="163" t="s">
        <v>983</v>
      </c>
      <c r="G276" s="146"/>
      <c r="H276" s="141">
        <v>70131</v>
      </c>
      <c r="I276" s="142" t="s">
        <v>974</v>
      </c>
      <c r="J276" s="488">
        <v>6500000</v>
      </c>
      <c r="K276" s="627">
        <v>4000000</v>
      </c>
      <c r="L276" s="394"/>
      <c r="M276" s="394" t="s">
        <v>5133</v>
      </c>
      <c r="N276" s="277">
        <v>1000000</v>
      </c>
      <c r="O276" s="180" t="s">
        <v>60</v>
      </c>
    </row>
    <row r="277" spans="1:16" ht="33" customHeight="1" x14ac:dyDescent="0.35">
      <c r="A277" s="272" t="s">
        <v>2769</v>
      </c>
      <c r="B277" s="463" t="s">
        <v>262</v>
      </c>
      <c r="C277" s="165" t="s">
        <v>5</v>
      </c>
      <c r="D277" s="141" t="s">
        <v>4</v>
      </c>
      <c r="E277" s="237" t="s">
        <v>33</v>
      </c>
      <c r="F277" s="163" t="s">
        <v>989</v>
      </c>
      <c r="G277" s="167"/>
      <c r="H277" s="141">
        <v>70131</v>
      </c>
      <c r="I277" s="142" t="s">
        <v>976</v>
      </c>
      <c r="J277" s="488">
        <v>200000</v>
      </c>
      <c r="K277" s="627">
        <v>200000</v>
      </c>
      <c r="L277" s="394"/>
      <c r="M277" s="394" t="s">
        <v>5133</v>
      </c>
      <c r="N277" s="277">
        <v>1000000</v>
      </c>
      <c r="O277" s="180" t="s">
        <v>262</v>
      </c>
    </row>
    <row r="278" spans="1:16" ht="25.5" customHeight="1" x14ac:dyDescent="0.35">
      <c r="A278" s="272" t="s">
        <v>2770</v>
      </c>
      <c r="B278" s="463" t="s">
        <v>261</v>
      </c>
      <c r="C278" s="165" t="s">
        <v>5</v>
      </c>
      <c r="D278" s="141" t="s">
        <v>4</v>
      </c>
      <c r="E278" s="237" t="s">
        <v>33</v>
      </c>
      <c r="F278" s="163" t="s">
        <v>54</v>
      </c>
      <c r="G278" s="146"/>
      <c r="H278" s="141">
        <v>70131</v>
      </c>
      <c r="I278" s="142" t="s">
        <v>902</v>
      </c>
      <c r="J278" s="488">
        <v>10000000</v>
      </c>
      <c r="K278" s="627">
        <v>5000000</v>
      </c>
      <c r="L278" s="394"/>
      <c r="M278" s="394" t="s">
        <v>5133</v>
      </c>
      <c r="N278" s="277">
        <v>1000000</v>
      </c>
      <c r="O278" s="180" t="s">
        <v>261</v>
      </c>
    </row>
    <row r="279" spans="1:16" ht="36" customHeight="1" x14ac:dyDescent="0.35">
      <c r="A279" s="272" t="s">
        <v>2771</v>
      </c>
      <c r="B279" s="463" t="s">
        <v>215</v>
      </c>
      <c r="C279" s="165" t="s">
        <v>5</v>
      </c>
      <c r="D279" s="141" t="s">
        <v>4</v>
      </c>
      <c r="E279" s="237" t="s">
        <v>33</v>
      </c>
      <c r="F279" s="163" t="s">
        <v>62</v>
      </c>
      <c r="G279" s="146"/>
      <c r="H279" s="141">
        <v>70131</v>
      </c>
      <c r="I279" s="142" t="s">
        <v>974</v>
      </c>
      <c r="J279" s="488">
        <v>3000000</v>
      </c>
      <c r="K279" s="627">
        <v>2000000</v>
      </c>
      <c r="L279" s="394"/>
      <c r="M279" s="394" t="s">
        <v>5133</v>
      </c>
      <c r="N279" s="277">
        <v>5000000</v>
      </c>
      <c r="O279" s="180" t="s">
        <v>215</v>
      </c>
    </row>
    <row r="280" spans="1:16" ht="32.25" customHeight="1" x14ac:dyDescent="0.35">
      <c r="A280" s="272" t="s">
        <v>2772</v>
      </c>
      <c r="B280" s="463" t="s">
        <v>259</v>
      </c>
      <c r="C280" s="165" t="s">
        <v>5</v>
      </c>
      <c r="D280" s="141" t="s">
        <v>4</v>
      </c>
      <c r="E280" s="237" t="s">
        <v>33</v>
      </c>
      <c r="F280" s="145" t="s">
        <v>982</v>
      </c>
      <c r="G280" s="146"/>
      <c r="H280" s="141">
        <v>70131</v>
      </c>
      <c r="I280" s="142" t="s">
        <v>2504</v>
      </c>
      <c r="J280" s="488">
        <v>2000000</v>
      </c>
      <c r="K280" s="627">
        <v>1000000</v>
      </c>
      <c r="L280" s="394"/>
      <c r="M280" s="394" t="s">
        <v>5133</v>
      </c>
      <c r="N280" s="277">
        <v>10000000</v>
      </c>
      <c r="O280" s="180" t="s">
        <v>259</v>
      </c>
    </row>
    <row r="281" spans="1:16" ht="36.75" customHeight="1" x14ac:dyDescent="0.35">
      <c r="A281" s="272" t="s">
        <v>2773</v>
      </c>
      <c r="B281" s="463" t="s">
        <v>260</v>
      </c>
      <c r="C281" s="165" t="s">
        <v>5</v>
      </c>
      <c r="D281" s="141" t="s">
        <v>4</v>
      </c>
      <c r="E281" s="237" t="s">
        <v>33</v>
      </c>
      <c r="F281" s="163" t="s">
        <v>62</v>
      </c>
      <c r="G281" s="146"/>
      <c r="H281" s="141">
        <v>70131</v>
      </c>
      <c r="I281" s="142" t="s">
        <v>908</v>
      </c>
      <c r="J281" s="488">
        <v>2536397</v>
      </c>
      <c r="K281" s="627">
        <v>1800000</v>
      </c>
      <c r="L281" s="394"/>
      <c r="M281" s="394" t="s">
        <v>5133</v>
      </c>
      <c r="N281" s="277">
        <v>1000000</v>
      </c>
      <c r="O281" s="180" t="s">
        <v>260</v>
      </c>
    </row>
    <row r="282" spans="1:16" s="247" customFormat="1" ht="30" customHeight="1" x14ac:dyDescent="0.3">
      <c r="A282" s="245"/>
      <c r="B282" s="360" t="s">
        <v>1008</v>
      </c>
      <c r="C282" s="188"/>
      <c r="D282" s="257"/>
      <c r="E282" s="273"/>
      <c r="F282" s="257" t="s">
        <v>984</v>
      </c>
      <c r="G282" s="273"/>
      <c r="H282" s="257"/>
      <c r="I282" s="273"/>
      <c r="J282" s="259">
        <f>SUM(J275:J281)</f>
        <v>43236397</v>
      </c>
      <c r="K282" s="259">
        <f>SUM(K275:K281)</f>
        <v>20000000</v>
      </c>
      <c r="L282" s="707"/>
      <c r="M282" s="707"/>
      <c r="N282" s="259">
        <f>SUM(N275:N281)</f>
        <v>19200000</v>
      </c>
      <c r="O282" s="245" t="s">
        <v>1008</v>
      </c>
      <c r="P282" s="246"/>
    </row>
    <row r="283" spans="1:16" x14ac:dyDescent="0.35">
      <c r="A283" s="286"/>
      <c r="B283" s="492"/>
      <c r="C283" s="282"/>
      <c r="D283" s="283"/>
      <c r="E283" s="330"/>
      <c r="F283" s="283"/>
      <c r="G283" s="330"/>
      <c r="H283" s="283"/>
      <c r="I283" s="330"/>
      <c r="J283" s="285"/>
      <c r="K283" s="458"/>
      <c r="L283" s="704"/>
      <c r="M283" s="704"/>
      <c r="N283" s="285"/>
      <c r="O283" s="286"/>
    </row>
    <row r="284" spans="1:16" x14ac:dyDescent="0.35">
      <c r="A284" s="600"/>
      <c r="B284" s="600"/>
      <c r="C284" s="600"/>
      <c r="D284" s="600"/>
      <c r="E284" s="600"/>
      <c r="F284" s="600"/>
      <c r="G284" s="600"/>
      <c r="H284" s="600"/>
      <c r="I284" s="600"/>
      <c r="J284" s="600"/>
      <c r="K284" s="458"/>
      <c r="L284" s="704"/>
      <c r="M284" s="704"/>
      <c r="N284" s="600"/>
      <c r="O284" s="601"/>
    </row>
    <row r="285" spans="1:16" ht="28.5" customHeight="1" x14ac:dyDescent="0.35">
      <c r="A285" s="357" t="s">
        <v>2532</v>
      </c>
      <c r="B285" s="357"/>
      <c r="C285" s="357"/>
      <c r="D285" s="357"/>
      <c r="E285" s="357"/>
      <c r="F285" s="357"/>
      <c r="G285" s="357"/>
      <c r="H285" s="357"/>
      <c r="I285" s="357"/>
      <c r="J285" s="357"/>
      <c r="K285" s="458"/>
      <c r="L285" s="704"/>
      <c r="M285" s="704"/>
      <c r="N285" s="357"/>
      <c r="O285" s="605"/>
    </row>
    <row r="286" spans="1:16" ht="75.75" customHeight="1" x14ac:dyDescent="0.35">
      <c r="A286" s="187" t="s">
        <v>1007</v>
      </c>
      <c r="B286" s="360" t="s">
        <v>50</v>
      </c>
      <c r="C286" s="175" t="s">
        <v>898</v>
      </c>
      <c r="D286" s="171" t="s">
        <v>52</v>
      </c>
      <c r="E286" s="176" t="s">
        <v>49</v>
      </c>
      <c r="F286" s="171" t="s">
        <v>1</v>
      </c>
      <c r="G286" s="176"/>
      <c r="H286" s="171" t="s">
        <v>51</v>
      </c>
      <c r="I286" s="176" t="s">
        <v>2</v>
      </c>
      <c r="J286" s="177" t="s">
        <v>4862</v>
      </c>
      <c r="K286" s="189" t="s">
        <v>5140</v>
      </c>
      <c r="L286" s="623" t="s">
        <v>5132</v>
      </c>
      <c r="M286" s="623" t="s">
        <v>5132</v>
      </c>
      <c r="N286" s="177" t="s">
        <v>1006</v>
      </c>
      <c r="O286" s="186" t="s">
        <v>50</v>
      </c>
    </row>
    <row r="287" spans="1:16" ht="26.25" customHeight="1" x14ac:dyDescent="0.35">
      <c r="A287" s="319" t="s">
        <v>2786</v>
      </c>
      <c r="B287" s="463" t="s">
        <v>96</v>
      </c>
      <c r="C287" s="165" t="s">
        <v>5</v>
      </c>
      <c r="D287" s="141" t="s">
        <v>4</v>
      </c>
      <c r="E287" s="237" t="s">
        <v>8</v>
      </c>
      <c r="F287" s="145" t="s">
        <v>54</v>
      </c>
      <c r="G287" s="146"/>
      <c r="H287" s="141">
        <v>70112</v>
      </c>
      <c r="I287" s="142" t="s">
        <v>904</v>
      </c>
      <c r="J287" s="144">
        <v>30000000</v>
      </c>
      <c r="K287" s="627">
        <v>1000000</v>
      </c>
      <c r="L287" s="394"/>
      <c r="M287" s="394" t="s">
        <v>5133</v>
      </c>
      <c r="N287" s="277">
        <v>70000000</v>
      </c>
      <c r="O287" s="180" t="s">
        <v>96</v>
      </c>
    </row>
    <row r="288" spans="1:16" ht="27.75" customHeight="1" x14ac:dyDescent="0.35">
      <c r="A288" s="319" t="s">
        <v>2787</v>
      </c>
      <c r="B288" s="463" t="s">
        <v>220</v>
      </c>
      <c r="C288" s="165" t="s">
        <v>5</v>
      </c>
      <c r="D288" s="141" t="s">
        <v>4</v>
      </c>
      <c r="E288" s="237" t="s">
        <v>8</v>
      </c>
      <c r="F288" s="145" t="s">
        <v>62</v>
      </c>
      <c r="G288" s="146"/>
      <c r="H288" s="141">
        <v>70112</v>
      </c>
      <c r="I288" s="142" t="s">
        <v>900</v>
      </c>
      <c r="J288" s="144"/>
      <c r="K288" s="627">
        <v>1000000</v>
      </c>
      <c r="L288" s="394"/>
      <c r="M288" s="394" t="s">
        <v>5133</v>
      </c>
      <c r="N288" s="277">
        <v>21000000</v>
      </c>
      <c r="O288" s="180" t="s">
        <v>263</v>
      </c>
    </row>
    <row r="289" spans="1:16" ht="47.25" customHeight="1" x14ac:dyDescent="0.35">
      <c r="A289" s="319" t="s">
        <v>2788</v>
      </c>
      <c r="B289" s="463" t="s">
        <v>4904</v>
      </c>
      <c r="C289" s="165" t="s">
        <v>5</v>
      </c>
      <c r="D289" s="141" t="s">
        <v>4</v>
      </c>
      <c r="E289" s="237" t="s">
        <v>8</v>
      </c>
      <c r="F289" s="145" t="s">
        <v>988</v>
      </c>
      <c r="G289" s="146"/>
      <c r="H289" s="141">
        <v>70112</v>
      </c>
      <c r="I289" s="142" t="s">
        <v>904</v>
      </c>
      <c r="J289" s="144"/>
      <c r="K289" s="627">
        <v>0</v>
      </c>
      <c r="L289" s="394"/>
      <c r="M289" s="394" t="s">
        <v>5133</v>
      </c>
      <c r="N289" s="277">
        <v>10000000</v>
      </c>
      <c r="O289" s="180" t="s">
        <v>118</v>
      </c>
    </row>
    <row r="290" spans="1:16" ht="30.75" customHeight="1" x14ac:dyDescent="0.35">
      <c r="A290" s="319" t="s">
        <v>2789</v>
      </c>
      <c r="B290" s="463" t="s">
        <v>266</v>
      </c>
      <c r="C290" s="165" t="s">
        <v>5</v>
      </c>
      <c r="D290" s="141" t="s">
        <v>4</v>
      </c>
      <c r="E290" s="237" t="s">
        <v>8</v>
      </c>
      <c r="F290" s="163" t="s">
        <v>983</v>
      </c>
      <c r="G290" s="146"/>
      <c r="H290" s="141">
        <v>70112</v>
      </c>
      <c r="I290" s="142" t="s">
        <v>907</v>
      </c>
      <c r="J290" s="144"/>
      <c r="K290" s="627">
        <v>5000000</v>
      </c>
      <c r="L290" s="394"/>
      <c r="M290" s="394" t="s">
        <v>5133</v>
      </c>
      <c r="N290" s="277">
        <v>5000000</v>
      </c>
      <c r="O290" s="180" t="s">
        <v>264</v>
      </c>
    </row>
    <row r="291" spans="1:16" ht="30.75" customHeight="1" x14ac:dyDescent="0.35">
      <c r="A291" s="319" t="s">
        <v>2790</v>
      </c>
      <c r="B291" s="463" t="s">
        <v>4905</v>
      </c>
      <c r="C291" s="165" t="s">
        <v>5</v>
      </c>
      <c r="D291" s="141" t="s">
        <v>4</v>
      </c>
      <c r="E291" s="237" t="s">
        <v>8</v>
      </c>
      <c r="F291" s="145" t="s">
        <v>265</v>
      </c>
      <c r="G291" s="146"/>
      <c r="H291" s="141">
        <v>70112</v>
      </c>
      <c r="I291" s="142" t="s">
        <v>902</v>
      </c>
      <c r="J291" s="144"/>
      <c r="K291" s="627">
        <v>4000000</v>
      </c>
      <c r="L291" s="394"/>
      <c r="M291" s="394" t="s">
        <v>5133</v>
      </c>
      <c r="N291" s="277">
        <v>10000000</v>
      </c>
      <c r="O291" s="180" t="s">
        <v>266</v>
      </c>
    </row>
    <row r="292" spans="1:16" ht="30.75" customHeight="1" x14ac:dyDescent="0.35">
      <c r="A292" s="319" t="s">
        <v>2791</v>
      </c>
      <c r="B292" s="463" t="s">
        <v>274</v>
      </c>
      <c r="C292" s="165" t="s">
        <v>5</v>
      </c>
      <c r="D292" s="141" t="s">
        <v>4</v>
      </c>
      <c r="E292" s="237" t="s">
        <v>8</v>
      </c>
      <c r="F292" s="145" t="s">
        <v>275</v>
      </c>
      <c r="G292" s="146"/>
      <c r="H292" s="141">
        <v>70112</v>
      </c>
      <c r="I292" s="142" t="s">
        <v>903</v>
      </c>
      <c r="J292" s="144"/>
      <c r="K292" s="627">
        <v>1000000</v>
      </c>
      <c r="L292" s="394"/>
      <c r="M292" s="394" t="s">
        <v>5133</v>
      </c>
      <c r="N292" s="277">
        <v>10000000</v>
      </c>
      <c r="O292" s="180" t="s">
        <v>267</v>
      </c>
    </row>
    <row r="293" spans="1:16" ht="30.75" customHeight="1" x14ac:dyDescent="0.35">
      <c r="A293" s="319" t="s">
        <v>2792</v>
      </c>
      <c r="B293" s="463" t="s">
        <v>276</v>
      </c>
      <c r="C293" s="165" t="s">
        <v>5</v>
      </c>
      <c r="D293" s="141" t="s">
        <v>4</v>
      </c>
      <c r="E293" s="237" t="s">
        <v>8</v>
      </c>
      <c r="F293" s="145" t="s">
        <v>54</v>
      </c>
      <c r="G293" s="146"/>
      <c r="H293" s="141">
        <v>70112</v>
      </c>
      <c r="I293" s="142" t="s">
        <v>904</v>
      </c>
      <c r="J293" s="144"/>
      <c r="K293" s="627">
        <v>5000000</v>
      </c>
      <c r="L293" s="394"/>
      <c r="M293" s="394" t="s">
        <v>5133</v>
      </c>
      <c r="N293" s="277">
        <v>2000000</v>
      </c>
      <c r="O293" s="180" t="s">
        <v>268</v>
      </c>
    </row>
    <row r="294" spans="1:16" ht="30.75" customHeight="1" x14ac:dyDescent="0.35">
      <c r="A294" s="319" t="s">
        <v>2793</v>
      </c>
      <c r="B294" s="463" t="s">
        <v>55</v>
      </c>
      <c r="C294" s="165" t="s">
        <v>5</v>
      </c>
      <c r="D294" s="141" t="s">
        <v>4</v>
      </c>
      <c r="E294" s="237" t="s">
        <v>8</v>
      </c>
      <c r="F294" s="145" t="s">
        <v>342</v>
      </c>
      <c r="G294" s="146"/>
      <c r="H294" s="141">
        <v>70112</v>
      </c>
      <c r="I294" s="142" t="s">
        <v>904</v>
      </c>
      <c r="J294" s="144"/>
      <c r="K294" s="627"/>
      <c r="L294" s="394"/>
      <c r="M294" s="394" t="s">
        <v>5133</v>
      </c>
      <c r="N294" s="277">
        <v>2000000</v>
      </c>
      <c r="O294" s="180" t="s">
        <v>269</v>
      </c>
    </row>
    <row r="295" spans="1:16" ht="30.75" customHeight="1" x14ac:dyDescent="0.35">
      <c r="A295" s="319" t="s">
        <v>4903</v>
      </c>
      <c r="B295" s="463" t="s">
        <v>278</v>
      </c>
      <c r="C295" s="165"/>
      <c r="D295" s="141"/>
      <c r="E295" s="237"/>
      <c r="F295" s="145" t="s">
        <v>105</v>
      </c>
      <c r="G295" s="146"/>
      <c r="H295" s="141">
        <v>70112</v>
      </c>
      <c r="I295" s="142"/>
      <c r="J295" s="144"/>
      <c r="K295" s="627"/>
      <c r="L295" s="394"/>
      <c r="M295" s="394" t="s">
        <v>5133</v>
      </c>
      <c r="N295" s="277"/>
      <c r="O295" s="180"/>
    </row>
    <row r="296" spans="1:16" s="247" customFormat="1" ht="30" customHeight="1" x14ac:dyDescent="0.3">
      <c r="A296" s="245"/>
      <c r="B296" s="360" t="s">
        <v>1008</v>
      </c>
      <c r="C296" s="175"/>
      <c r="D296" s="171"/>
      <c r="E296" s="273"/>
      <c r="F296" s="257" t="s">
        <v>984</v>
      </c>
      <c r="G296" s="176"/>
      <c r="H296" s="171"/>
      <c r="I296" s="176"/>
      <c r="J296" s="177">
        <f>SUM(J287:J294)</f>
        <v>30000000</v>
      </c>
      <c r="K296" s="177">
        <f>SUM(K287:K294)</f>
        <v>17000000</v>
      </c>
      <c r="L296" s="189"/>
      <c r="M296" s="189"/>
      <c r="N296" s="177">
        <f>N287</f>
        <v>70000000</v>
      </c>
      <c r="O296" s="178" t="s">
        <v>1008</v>
      </c>
      <c r="P296" s="246"/>
    </row>
    <row r="297" spans="1:16" ht="30" customHeight="1" x14ac:dyDescent="0.35">
      <c r="A297" s="286"/>
      <c r="B297" s="492"/>
      <c r="C297" s="155"/>
      <c r="D297" s="154"/>
      <c r="E297" s="330"/>
      <c r="F297" s="283"/>
      <c r="G297" s="156"/>
      <c r="H297" s="154"/>
      <c r="I297" s="156"/>
      <c r="J297" s="157"/>
      <c r="K297" s="458"/>
      <c r="L297" s="704"/>
      <c r="M297" s="704"/>
      <c r="N297" s="157"/>
      <c r="O297" s="158"/>
    </row>
    <row r="298" spans="1:16" ht="27" hidden="1" customHeight="1" x14ac:dyDescent="0.35">
      <c r="A298" s="600" t="s">
        <v>270</v>
      </c>
      <c r="B298" s="600"/>
      <c r="C298" s="600"/>
      <c r="D298" s="600"/>
      <c r="E298" s="600"/>
      <c r="F298" s="600"/>
      <c r="G298" s="600"/>
      <c r="H298" s="600"/>
      <c r="I298" s="600"/>
      <c r="J298" s="600"/>
      <c r="K298" s="458"/>
      <c r="L298" s="704"/>
      <c r="M298" s="704"/>
      <c r="N298" s="600"/>
      <c r="O298" s="601"/>
    </row>
    <row r="299" spans="1:16" ht="28.5" customHeight="1" x14ac:dyDescent="0.35">
      <c r="A299" s="357" t="s">
        <v>2785</v>
      </c>
      <c r="B299" s="357"/>
      <c r="C299" s="357"/>
      <c r="D299" s="357"/>
      <c r="E299" s="357"/>
      <c r="F299" s="357"/>
      <c r="G299" s="357"/>
      <c r="H299" s="357"/>
      <c r="I299" s="357"/>
      <c r="J299" s="357"/>
      <c r="K299" s="458"/>
      <c r="L299" s="704"/>
      <c r="M299" s="704"/>
      <c r="N299" s="357"/>
      <c r="O299" s="605"/>
    </row>
    <row r="300" spans="1:16" ht="75" customHeight="1" x14ac:dyDescent="0.35">
      <c r="A300" s="187" t="s">
        <v>1007</v>
      </c>
      <c r="B300" s="360" t="s">
        <v>50</v>
      </c>
      <c r="C300" s="175" t="s">
        <v>898</v>
      </c>
      <c r="D300" s="171" t="s">
        <v>52</v>
      </c>
      <c r="E300" s="176" t="s">
        <v>49</v>
      </c>
      <c r="F300" s="171" t="s">
        <v>1</v>
      </c>
      <c r="G300" s="176"/>
      <c r="H300" s="171" t="s">
        <v>51</v>
      </c>
      <c r="I300" s="176" t="s">
        <v>2</v>
      </c>
      <c r="J300" s="633" t="s">
        <v>4862</v>
      </c>
      <c r="K300" s="189" t="s">
        <v>5140</v>
      </c>
      <c r="L300" s="623" t="s">
        <v>5132</v>
      </c>
      <c r="M300" s="623" t="s">
        <v>5132</v>
      </c>
      <c r="N300" s="637" t="s">
        <v>1006</v>
      </c>
      <c r="O300" s="186" t="s">
        <v>50</v>
      </c>
    </row>
    <row r="301" spans="1:16" ht="27.75" customHeight="1" x14ac:dyDescent="0.35">
      <c r="A301" s="272" t="s">
        <v>2774</v>
      </c>
      <c r="B301" s="463" t="s">
        <v>271</v>
      </c>
      <c r="C301" s="165" t="s">
        <v>5</v>
      </c>
      <c r="D301" s="141" t="s">
        <v>4</v>
      </c>
      <c r="E301" s="237" t="s">
        <v>9</v>
      </c>
      <c r="F301" s="163" t="s">
        <v>54</v>
      </c>
      <c r="G301" s="146"/>
      <c r="H301" s="141">
        <v>70112</v>
      </c>
      <c r="I301" s="142" t="s">
        <v>900</v>
      </c>
      <c r="J301" s="634">
        <v>30000000</v>
      </c>
      <c r="K301" s="627">
        <v>2000000</v>
      </c>
      <c r="L301" s="394"/>
      <c r="M301" s="394" t="s">
        <v>5133</v>
      </c>
      <c r="N301" s="624">
        <f>N321</f>
        <v>73000000</v>
      </c>
      <c r="O301" s="180" t="s">
        <v>271</v>
      </c>
    </row>
    <row r="302" spans="1:16" ht="48.75" customHeight="1" x14ac:dyDescent="0.35">
      <c r="A302" s="272" t="s">
        <v>2775</v>
      </c>
      <c r="B302" s="463" t="s">
        <v>220</v>
      </c>
      <c r="C302" s="165" t="s">
        <v>5</v>
      </c>
      <c r="D302" s="141" t="s">
        <v>4</v>
      </c>
      <c r="E302" s="237"/>
      <c r="F302" s="163"/>
      <c r="G302" s="237"/>
      <c r="H302" s="141">
        <v>70112</v>
      </c>
      <c r="I302" s="142" t="s">
        <v>904</v>
      </c>
      <c r="J302" s="149"/>
      <c r="K302" s="627">
        <v>2500000</v>
      </c>
      <c r="L302" s="394"/>
      <c r="M302" s="394" t="s">
        <v>5133</v>
      </c>
    </row>
    <row r="303" spans="1:16" ht="30.75" customHeight="1" x14ac:dyDescent="0.35">
      <c r="A303" s="272" t="s">
        <v>2776</v>
      </c>
      <c r="B303" s="463" t="s">
        <v>4900</v>
      </c>
      <c r="C303" s="165" t="s">
        <v>5</v>
      </c>
      <c r="D303" s="141" t="s">
        <v>4</v>
      </c>
      <c r="E303" s="176"/>
      <c r="F303" s="171"/>
      <c r="G303" s="176"/>
      <c r="H303" s="141">
        <v>70112</v>
      </c>
      <c r="I303" s="142" t="s">
        <v>907</v>
      </c>
      <c r="J303" s="633"/>
      <c r="K303" s="627">
        <v>1000000</v>
      </c>
      <c r="L303" s="394"/>
      <c r="M303" s="394" t="s">
        <v>5133</v>
      </c>
      <c r="N303" s="637"/>
      <c r="O303" s="186"/>
    </row>
    <row r="304" spans="1:16" ht="50.25" customHeight="1" x14ac:dyDescent="0.35">
      <c r="A304" s="272" t="s">
        <v>2777</v>
      </c>
      <c r="B304" s="463" t="s">
        <v>60</v>
      </c>
      <c r="C304" s="165" t="s">
        <v>5</v>
      </c>
      <c r="D304" s="141" t="s">
        <v>4</v>
      </c>
      <c r="E304" s="176"/>
      <c r="F304" s="171"/>
      <c r="G304" s="176"/>
      <c r="H304" s="141">
        <v>70112</v>
      </c>
      <c r="I304" s="142" t="s">
        <v>902</v>
      </c>
      <c r="J304" s="633"/>
      <c r="K304" s="627">
        <v>4000000</v>
      </c>
      <c r="L304" s="394"/>
      <c r="M304" s="394" t="s">
        <v>5133</v>
      </c>
      <c r="N304" s="637"/>
      <c r="O304" s="186"/>
    </row>
    <row r="305" spans="1:15" ht="39" customHeight="1" x14ac:dyDescent="0.35">
      <c r="A305" s="272" t="s">
        <v>2778</v>
      </c>
      <c r="B305" s="463" t="s">
        <v>4901</v>
      </c>
      <c r="C305" s="165" t="s">
        <v>5</v>
      </c>
      <c r="D305" s="141" t="s">
        <v>4</v>
      </c>
      <c r="E305" s="176"/>
      <c r="F305" s="171"/>
      <c r="G305" s="176"/>
      <c r="H305" s="141">
        <v>70112</v>
      </c>
      <c r="I305" s="142" t="s">
        <v>908</v>
      </c>
      <c r="J305" s="633"/>
      <c r="K305" s="627">
        <v>1000000</v>
      </c>
      <c r="L305" s="394"/>
      <c r="M305" s="394" t="s">
        <v>5133</v>
      </c>
      <c r="N305" s="637"/>
      <c r="O305" s="186"/>
    </row>
    <row r="306" spans="1:15" ht="39" customHeight="1" x14ac:dyDescent="0.35">
      <c r="A306" s="272" t="s">
        <v>2779</v>
      </c>
      <c r="B306" s="463" t="s">
        <v>274</v>
      </c>
      <c r="C306" s="165" t="s">
        <v>5</v>
      </c>
      <c r="D306" s="141" t="s">
        <v>4</v>
      </c>
      <c r="E306" s="176"/>
      <c r="F306" s="171"/>
      <c r="G306" s="176"/>
      <c r="H306" s="141">
        <v>70112</v>
      </c>
      <c r="I306" s="142" t="s">
        <v>909</v>
      </c>
      <c r="J306" s="633"/>
      <c r="K306" s="627">
        <v>2500000</v>
      </c>
      <c r="L306" s="394"/>
      <c r="M306" s="394" t="s">
        <v>5133</v>
      </c>
      <c r="N306" s="637"/>
      <c r="O306" s="186"/>
    </row>
    <row r="307" spans="1:15" ht="39" customHeight="1" x14ac:dyDescent="0.35">
      <c r="A307" s="272" t="s">
        <v>2780</v>
      </c>
      <c r="B307" s="463" t="s">
        <v>276</v>
      </c>
      <c r="C307" s="165" t="s">
        <v>5</v>
      </c>
      <c r="D307" s="141" t="s">
        <v>4</v>
      </c>
      <c r="E307" s="176"/>
      <c r="F307" s="171"/>
      <c r="G307" s="176"/>
      <c r="H307" s="141">
        <v>70112</v>
      </c>
      <c r="I307" s="142" t="s">
        <v>900</v>
      </c>
      <c r="J307" s="633"/>
      <c r="K307" s="627">
        <v>3500000</v>
      </c>
      <c r="L307" s="394"/>
      <c r="M307" s="394" t="s">
        <v>5133</v>
      </c>
      <c r="N307" s="637"/>
      <c r="O307" s="186"/>
    </row>
    <row r="308" spans="1:15" ht="36.75" customHeight="1" x14ac:dyDescent="0.35">
      <c r="A308" s="272" t="s">
        <v>2781</v>
      </c>
      <c r="B308" s="463" t="s">
        <v>55</v>
      </c>
      <c r="C308" s="165" t="s">
        <v>5</v>
      </c>
      <c r="D308" s="141" t="s">
        <v>4</v>
      </c>
      <c r="E308" s="237"/>
      <c r="F308" s="163"/>
      <c r="G308" s="237"/>
      <c r="H308" s="141">
        <v>70112</v>
      </c>
      <c r="I308" s="142" t="s">
        <v>901</v>
      </c>
      <c r="J308" s="149"/>
      <c r="K308" s="627">
        <v>500000</v>
      </c>
      <c r="L308" s="394"/>
      <c r="M308" s="394" t="s">
        <v>5133</v>
      </c>
    </row>
    <row r="309" spans="1:15" ht="23.25" hidden="1" customHeight="1" x14ac:dyDescent="0.35">
      <c r="A309" s="272" t="s">
        <v>2782</v>
      </c>
      <c r="B309" s="463" t="s">
        <v>272</v>
      </c>
      <c r="C309" s="165" t="s">
        <v>5</v>
      </c>
      <c r="D309" s="141" t="s">
        <v>4</v>
      </c>
      <c r="E309" s="237" t="s">
        <v>9</v>
      </c>
      <c r="F309" s="163" t="s">
        <v>62</v>
      </c>
      <c r="G309" s="146"/>
      <c r="H309" s="141">
        <v>70112</v>
      </c>
      <c r="I309" s="142" t="s">
        <v>900</v>
      </c>
      <c r="J309" s="634"/>
      <c r="K309" s="627"/>
      <c r="L309" s="394"/>
      <c r="M309" s="394" t="s">
        <v>5133</v>
      </c>
      <c r="N309" s="624">
        <v>6000000</v>
      </c>
      <c r="O309" s="180" t="s">
        <v>272</v>
      </c>
    </row>
    <row r="310" spans="1:15" ht="31.5" hidden="1" customHeight="1" x14ac:dyDescent="0.35">
      <c r="A310" s="272" t="s">
        <v>2783</v>
      </c>
      <c r="B310" s="463" t="s">
        <v>57</v>
      </c>
      <c r="C310" s="165" t="s">
        <v>5</v>
      </c>
      <c r="D310" s="141" t="s">
        <v>4</v>
      </c>
      <c r="E310" s="237" t="s">
        <v>9</v>
      </c>
      <c r="F310" s="163" t="s">
        <v>54</v>
      </c>
      <c r="G310" s="146"/>
      <c r="H310" s="141">
        <v>70112</v>
      </c>
      <c r="I310" s="142" t="s">
        <v>900</v>
      </c>
      <c r="J310" s="634"/>
      <c r="K310" s="627"/>
      <c r="L310" s="394"/>
      <c r="M310" s="394" t="s">
        <v>5133</v>
      </c>
      <c r="N310" s="624">
        <v>2500000</v>
      </c>
      <c r="O310" s="180" t="s">
        <v>57</v>
      </c>
    </row>
    <row r="311" spans="1:15" ht="22.5" hidden="1" customHeight="1" x14ac:dyDescent="0.35">
      <c r="A311" s="272" t="s">
        <v>2784</v>
      </c>
      <c r="B311" s="463" t="s">
        <v>60</v>
      </c>
      <c r="C311" s="165" t="s">
        <v>5</v>
      </c>
      <c r="D311" s="141" t="s">
        <v>4</v>
      </c>
      <c r="E311" s="237" t="s">
        <v>9</v>
      </c>
      <c r="F311" s="163" t="s">
        <v>983</v>
      </c>
      <c r="G311" s="146"/>
      <c r="H311" s="141">
        <v>70112</v>
      </c>
      <c r="I311" s="142" t="s">
        <v>900</v>
      </c>
      <c r="J311" s="634"/>
      <c r="K311" s="627"/>
      <c r="L311" s="394"/>
      <c r="M311" s="394" t="s">
        <v>5133</v>
      </c>
      <c r="N311" s="624">
        <v>15000000</v>
      </c>
      <c r="O311" s="180" t="s">
        <v>60</v>
      </c>
    </row>
    <row r="312" spans="1:15" ht="36.75" hidden="1" customHeight="1" x14ac:dyDescent="0.35">
      <c r="A312" s="272" t="s">
        <v>4891</v>
      </c>
      <c r="B312" s="463" t="s">
        <v>273</v>
      </c>
      <c r="C312" s="165" t="s">
        <v>5</v>
      </c>
      <c r="D312" s="141" t="s">
        <v>4</v>
      </c>
      <c r="E312" s="237" t="s">
        <v>9</v>
      </c>
      <c r="F312" s="163" t="s">
        <v>265</v>
      </c>
      <c r="G312" s="146"/>
      <c r="H312" s="141">
        <v>70112</v>
      </c>
      <c r="I312" s="142" t="s">
        <v>900</v>
      </c>
      <c r="J312" s="634"/>
      <c r="K312" s="627"/>
      <c r="L312" s="394"/>
      <c r="M312" s="394" t="s">
        <v>5133</v>
      </c>
      <c r="N312" s="624">
        <v>5000000</v>
      </c>
      <c r="O312" s="180" t="s">
        <v>273</v>
      </c>
    </row>
    <row r="313" spans="1:15" ht="23.25" hidden="1" customHeight="1" x14ac:dyDescent="0.35">
      <c r="A313" s="272" t="s">
        <v>4892</v>
      </c>
      <c r="B313" s="463" t="s">
        <v>274</v>
      </c>
      <c r="C313" s="165" t="s">
        <v>5</v>
      </c>
      <c r="D313" s="141" t="s">
        <v>4</v>
      </c>
      <c r="E313" s="237" t="s">
        <v>9</v>
      </c>
      <c r="F313" s="163" t="s">
        <v>275</v>
      </c>
      <c r="G313" s="153"/>
      <c r="H313" s="141">
        <v>70112</v>
      </c>
      <c r="I313" s="142" t="s">
        <v>900</v>
      </c>
      <c r="J313" s="634"/>
      <c r="K313" s="627"/>
      <c r="L313" s="394"/>
      <c r="M313" s="394" t="s">
        <v>5133</v>
      </c>
      <c r="N313" s="624">
        <v>4000000</v>
      </c>
      <c r="O313" s="180" t="s">
        <v>274</v>
      </c>
    </row>
    <row r="314" spans="1:15" ht="22.5" hidden="1" customHeight="1" x14ac:dyDescent="0.35">
      <c r="A314" s="272" t="s">
        <v>4893</v>
      </c>
      <c r="B314" s="463" t="s">
        <v>276</v>
      </c>
      <c r="C314" s="165" t="s">
        <v>5</v>
      </c>
      <c r="D314" s="141" t="s">
        <v>4</v>
      </c>
      <c r="E314" s="237" t="s">
        <v>9</v>
      </c>
      <c r="F314" s="163" t="s">
        <v>277</v>
      </c>
      <c r="G314" s="146"/>
      <c r="H314" s="141">
        <v>70112</v>
      </c>
      <c r="I314" s="142" t="s">
        <v>900</v>
      </c>
      <c r="J314" s="634"/>
      <c r="K314" s="627"/>
      <c r="L314" s="394"/>
      <c r="M314" s="394" t="s">
        <v>5133</v>
      </c>
      <c r="N314" s="624">
        <v>20000000</v>
      </c>
      <c r="O314" s="180" t="s">
        <v>276</v>
      </c>
    </row>
    <row r="315" spans="1:15" ht="22.5" hidden="1" customHeight="1" x14ac:dyDescent="0.35">
      <c r="A315" s="272" t="s">
        <v>4894</v>
      </c>
      <c r="B315" s="463" t="s">
        <v>55</v>
      </c>
      <c r="C315" s="165" t="s">
        <v>5</v>
      </c>
      <c r="D315" s="141" t="s">
        <v>4</v>
      </c>
      <c r="E315" s="237" t="s">
        <v>9</v>
      </c>
      <c r="F315" s="163" t="s">
        <v>56</v>
      </c>
      <c r="G315" s="146"/>
      <c r="H315" s="141">
        <v>70112</v>
      </c>
      <c r="I315" s="142" t="s">
        <v>900</v>
      </c>
      <c r="J315" s="634"/>
      <c r="K315" s="627"/>
      <c r="L315" s="394"/>
      <c r="M315" s="394" t="s">
        <v>5133</v>
      </c>
      <c r="N315" s="624">
        <v>500000</v>
      </c>
      <c r="O315" s="180" t="s">
        <v>55</v>
      </c>
    </row>
    <row r="316" spans="1:15" ht="29.25" hidden="1" customHeight="1" x14ac:dyDescent="0.35">
      <c r="A316" s="272" t="s">
        <v>4895</v>
      </c>
      <c r="B316" s="463" t="s">
        <v>278</v>
      </c>
      <c r="C316" s="165" t="s">
        <v>5</v>
      </c>
      <c r="D316" s="141" t="s">
        <v>4</v>
      </c>
      <c r="E316" s="237" t="s">
        <v>9</v>
      </c>
      <c r="F316" s="163" t="s">
        <v>105</v>
      </c>
      <c r="G316" s="146"/>
      <c r="H316" s="141">
        <v>70112</v>
      </c>
      <c r="I316" s="142" t="s">
        <v>900</v>
      </c>
      <c r="J316" s="634"/>
      <c r="K316" s="627"/>
      <c r="L316" s="394"/>
      <c r="M316" s="394" t="s">
        <v>5133</v>
      </c>
      <c r="N316" s="624">
        <v>500000</v>
      </c>
      <c r="O316" s="180" t="s">
        <v>278</v>
      </c>
    </row>
    <row r="317" spans="1:15" ht="44.25" hidden="1" customHeight="1" x14ac:dyDescent="0.35">
      <c r="A317" s="272" t="s">
        <v>4896</v>
      </c>
      <c r="B317" s="463" t="s">
        <v>279</v>
      </c>
      <c r="C317" s="165" t="s">
        <v>5</v>
      </c>
      <c r="D317" s="141" t="s">
        <v>4</v>
      </c>
      <c r="E317" s="237" t="s">
        <v>9</v>
      </c>
      <c r="F317" s="163" t="s">
        <v>207</v>
      </c>
      <c r="G317" s="167"/>
      <c r="H317" s="141">
        <v>70112</v>
      </c>
      <c r="I317" s="142" t="s">
        <v>900</v>
      </c>
      <c r="J317" s="635"/>
      <c r="K317" s="627"/>
      <c r="L317" s="394"/>
      <c r="M317" s="394" t="s">
        <v>5133</v>
      </c>
      <c r="N317" s="624">
        <v>4500000</v>
      </c>
      <c r="O317" s="180" t="s">
        <v>279</v>
      </c>
    </row>
    <row r="318" spans="1:15" ht="34.5" hidden="1" customHeight="1" x14ac:dyDescent="0.35">
      <c r="A318" s="272" t="s">
        <v>4897</v>
      </c>
      <c r="B318" s="463" t="s">
        <v>280</v>
      </c>
      <c r="C318" s="165" t="s">
        <v>5</v>
      </c>
      <c r="D318" s="141" t="s">
        <v>4</v>
      </c>
      <c r="E318" s="237" t="s">
        <v>9</v>
      </c>
      <c r="F318" s="163" t="s">
        <v>62</v>
      </c>
      <c r="G318" s="146"/>
      <c r="H318" s="141">
        <v>70112</v>
      </c>
      <c r="I318" s="142" t="s">
        <v>900</v>
      </c>
      <c r="J318" s="634"/>
      <c r="K318" s="627"/>
      <c r="L318" s="394"/>
      <c r="M318" s="394" t="s">
        <v>5133</v>
      </c>
      <c r="N318" s="624">
        <v>3000000</v>
      </c>
      <c r="O318" s="180" t="s">
        <v>280</v>
      </c>
    </row>
    <row r="319" spans="1:15" ht="34.5" customHeight="1" x14ac:dyDescent="0.35">
      <c r="A319" s="272" t="s">
        <v>4898</v>
      </c>
      <c r="B319" s="463" t="s">
        <v>4902</v>
      </c>
      <c r="C319" s="165" t="s">
        <v>5</v>
      </c>
      <c r="D319" s="141" t="s">
        <v>4</v>
      </c>
      <c r="E319" s="237"/>
      <c r="F319" s="163"/>
      <c r="G319" s="146"/>
      <c r="H319" s="141">
        <v>70112</v>
      </c>
      <c r="I319" s="142" t="s">
        <v>906</v>
      </c>
      <c r="J319" s="634"/>
      <c r="K319" s="627">
        <v>500000</v>
      </c>
      <c r="L319" s="394"/>
      <c r="M319" s="394" t="s">
        <v>5133</v>
      </c>
      <c r="N319" s="624"/>
      <c r="O319" s="180"/>
    </row>
    <row r="320" spans="1:15" ht="34.5" customHeight="1" x14ac:dyDescent="0.35">
      <c r="A320" s="272" t="s">
        <v>4899</v>
      </c>
      <c r="B320" s="463" t="s">
        <v>279</v>
      </c>
      <c r="C320" s="165" t="s">
        <v>5</v>
      </c>
      <c r="D320" s="141" t="s">
        <v>4</v>
      </c>
      <c r="E320" s="237"/>
      <c r="F320" s="163"/>
      <c r="G320" s="146"/>
      <c r="H320" s="141">
        <v>70112</v>
      </c>
      <c r="I320" s="142" t="s">
        <v>909</v>
      </c>
      <c r="J320" s="634"/>
      <c r="K320" s="627">
        <v>500000</v>
      </c>
      <c r="L320" s="394"/>
      <c r="M320" s="394" t="s">
        <v>5133</v>
      </c>
      <c r="N320" s="624"/>
      <c r="O320" s="180"/>
    </row>
    <row r="321" spans="1:16" s="247" customFormat="1" ht="42.75" customHeight="1" x14ac:dyDescent="0.3">
      <c r="A321" s="245"/>
      <c r="B321" s="360" t="s">
        <v>1008</v>
      </c>
      <c r="C321" s="188"/>
      <c r="D321" s="171"/>
      <c r="E321" s="273"/>
      <c r="F321" s="257" t="s">
        <v>984</v>
      </c>
      <c r="G321" s="274"/>
      <c r="H321" s="257"/>
      <c r="I321" s="275"/>
      <c r="J321" s="636">
        <f>SUM(J301:J318)</f>
        <v>30000000</v>
      </c>
      <c r="K321" s="259">
        <f>SUM(K301:K318)</f>
        <v>17000000</v>
      </c>
      <c r="L321" s="705"/>
      <c r="M321" s="705"/>
      <c r="N321" s="626">
        <v>73000000</v>
      </c>
      <c r="O321" s="178" t="s">
        <v>1008</v>
      </c>
      <c r="P321" s="246"/>
    </row>
    <row r="322" spans="1:16" s="247" customFormat="1" ht="42.75" customHeight="1" x14ac:dyDescent="0.3">
      <c r="A322" s="342"/>
      <c r="B322" s="361"/>
      <c r="C322" s="338"/>
      <c r="D322" s="159"/>
      <c r="E322" s="340"/>
      <c r="F322" s="339"/>
      <c r="G322" s="407"/>
      <c r="H322" s="339"/>
      <c r="I322" s="404"/>
      <c r="J322" s="341"/>
      <c r="K322" s="628"/>
      <c r="L322" s="706"/>
      <c r="M322" s="706"/>
      <c r="N322" s="341"/>
      <c r="O322" s="336"/>
      <c r="P322" s="246"/>
    </row>
    <row r="323" spans="1:16" s="247" customFormat="1" ht="10.5" hidden="1" customHeight="1" x14ac:dyDescent="0.3">
      <c r="A323" s="342"/>
      <c r="B323" s="361"/>
      <c r="C323" s="338"/>
      <c r="D323" s="159"/>
      <c r="E323" s="340"/>
      <c r="F323" s="339"/>
      <c r="G323" s="407"/>
      <c r="H323" s="339"/>
      <c r="I323" s="404"/>
      <c r="J323" s="341"/>
      <c r="K323" s="628"/>
      <c r="L323" s="706"/>
      <c r="M323" s="706"/>
      <c r="N323" s="341"/>
      <c r="O323" s="336"/>
      <c r="P323" s="246"/>
    </row>
    <row r="324" spans="1:16" hidden="1" x14ac:dyDescent="0.35">
      <c r="A324" s="286"/>
      <c r="B324" s="492"/>
      <c r="C324" s="282"/>
      <c r="D324" s="154"/>
      <c r="E324" s="330"/>
      <c r="F324" s="283"/>
      <c r="G324" s="349"/>
      <c r="H324" s="283"/>
      <c r="I324" s="350"/>
      <c r="J324" s="351"/>
      <c r="K324" s="458"/>
      <c r="L324" s="704"/>
      <c r="M324" s="704"/>
      <c r="N324" s="285"/>
      <c r="O324" s="158"/>
    </row>
    <row r="325" spans="1:16" ht="24" customHeight="1" x14ac:dyDescent="0.35">
      <c r="A325" s="600" t="s">
        <v>1102</v>
      </c>
      <c r="B325" s="600"/>
      <c r="C325" s="600"/>
      <c r="D325" s="600"/>
      <c r="E325" s="600"/>
      <c r="F325" s="600"/>
      <c r="G325" s="600"/>
      <c r="H325" s="600"/>
      <c r="I325" s="600"/>
      <c r="J325" s="600"/>
      <c r="K325" s="458"/>
      <c r="L325" s="704"/>
      <c r="M325" s="704"/>
      <c r="N325" s="600"/>
      <c r="O325" s="601"/>
    </row>
    <row r="326" spans="1:16" ht="20.25" hidden="1" customHeight="1" x14ac:dyDescent="0.35">
      <c r="A326" s="357" t="s">
        <v>281</v>
      </c>
      <c r="B326" s="357"/>
      <c r="C326" s="357"/>
      <c r="D326" s="357"/>
      <c r="E326" s="357"/>
      <c r="F326" s="357"/>
      <c r="G326" s="357"/>
      <c r="H326" s="357"/>
      <c r="I326" s="357"/>
      <c r="J326" s="357"/>
      <c r="K326" s="458"/>
      <c r="L326" s="704"/>
      <c r="M326" s="704"/>
      <c r="N326" s="357"/>
      <c r="O326" s="605"/>
    </row>
    <row r="327" spans="1:16" s="353" customFormat="1" ht="76.5" customHeight="1" x14ac:dyDescent="0.35">
      <c r="A327" s="187" t="s">
        <v>1007</v>
      </c>
      <c r="B327" s="360" t="s">
        <v>50</v>
      </c>
      <c r="C327" s="175" t="s">
        <v>898</v>
      </c>
      <c r="D327" s="175" t="s">
        <v>52</v>
      </c>
      <c r="E327" s="187" t="s">
        <v>49</v>
      </c>
      <c r="F327" s="175" t="s">
        <v>1</v>
      </c>
      <c r="G327" s="187"/>
      <c r="H327" s="175" t="s">
        <v>51</v>
      </c>
      <c r="I327" s="187" t="s">
        <v>2</v>
      </c>
      <c r="J327" s="189" t="s">
        <v>4862</v>
      </c>
      <c r="K327" s="189" t="s">
        <v>5140</v>
      </c>
      <c r="L327" s="623" t="s">
        <v>5132</v>
      </c>
      <c r="M327" s="623" t="s">
        <v>5132</v>
      </c>
      <c r="N327" s="189" t="s">
        <v>1006</v>
      </c>
      <c r="O327" s="187" t="s">
        <v>50</v>
      </c>
      <c r="P327" s="352"/>
    </row>
    <row r="328" spans="1:16" ht="28.5" customHeight="1" x14ac:dyDescent="0.35">
      <c r="A328" s="272" t="s">
        <v>1235</v>
      </c>
      <c r="B328" s="463" t="s">
        <v>283</v>
      </c>
      <c r="C328" s="165" t="s">
        <v>5</v>
      </c>
      <c r="D328" s="141" t="s">
        <v>4</v>
      </c>
      <c r="E328" s="237" t="s">
        <v>282</v>
      </c>
      <c r="F328" s="163" t="s">
        <v>54</v>
      </c>
      <c r="G328" s="146"/>
      <c r="H328" s="141">
        <v>70131</v>
      </c>
      <c r="I328" s="142" t="s">
        <v>900</v>
      </c>
      <c r="J328" s="144">
        <v>5948530</v>
      </c>
      <c r="K328" s="627">
        <v>5523933</v>
      </c>
      <c r="L328" s="394"/>
      <c r="M328" s="394" t="s">
        <v>5133</v>
      </c>
      <c r="N328" s="149">
        <v>11800000</v>
      </c>
      <c r="O328" s="180" t="s">
        <v>283</v>
      </c>
    </row>
    <row r="329" spans="1:16" ht="36" customHeight="1" x14ac:dyDescent="0.35">
      <c r="A329" s="272" t="s">
        <v>1236</v>
      </c>
      <c r="B329" s="463" t="s">
        <v>284</v>
      </c>
      <c r="C329" s="165" t="s">
        <v>5</v>
      </c>
      <c r="D329" s="141" t="s">
        <v>4</v>
      </c>
      <c r="E329" s="237" t="s">
        <v>282</v>
      </c>
      <c r="F329" s="163" t="s">
        <v>989</v>
      </c>
      <c r="G329" s="167"/>
      <c r="H329" s="141">
        <v>70131</v>
      </c>
      <c r="I329" s="142" t="s">
        <v>59</v>
      </c>
      <c r="J329" s="144">
        <v>26000000</v>
      </c>
      <c r="K329" s="627">
        <v>4000000</v>
      </c>
      <c r="L329" s="394"/>
      <c r="M329" s="394" t="s">
        <v>5133</v>
      </c>
      <c r="N329" s="149">
        <v>5000000</v>
      </c>
      <c r="O329" s="180" t="s">
        <v>284</v>
      </c>
    </row>
    <row r="330" spans="1:16" ht="31.5" customHeight="1" x14ac:dyDescent="0.35">
      <c r="A330" s="272" t="s">
        <v>1237</v>
      </c>
      <c r="B330" s="463" t="s">
        <v>258</v>
      </c>
      <c r="C330" s="165" t="s">
        <v>5</v>
      </c>
      <c r="D330" s="141" t="s">
        <v>4</v>
      </c>
      <c r="E330" s="237" t="s">
        <v>282</v>
      </c>
      <c r="F330" s="163" t="s">
        <v>988</v>
      </c>
      <c r="G330" s="167"/>
      <c r="H330" s="141">
        <v>70131</v>
      </c>
      <c r="I330" s="142" t="s">
        <v>907</v>
      </c>
      <c r="J330" s="144">
        <v>500000</v>
      </c>
      <c r="K330" s="627"/>
      <c r="L330" s="394"/>
      <c r="M330" s="394" t="s">
        <v>5133</v>
      </c>
      <c r="N330" s="149">
        <v>2500000</v>
      </c>
      <c r="O330" s="180" t="s">
        <v>258</v>
      </c>
    </row>
    <row r="331" spans="1:16" ht="24.75" customHeight="1" x14ac:dyDescent="0.35">
      <c r="A331" s="272" t="s">
        <v>1238</v>
      </c>
      <c r="B331" s="463" t="s">
        <v>55</v>
      </c>
      <c r="C331" s="165" t="s">
        <v>5</v>
      </c>
      <c r="D331" s="141" t="s">
        <v>4</v>
      </c>
      <c r="E331" s="237" t="s">
        <v>282</v>
      </c>
      <c r="F331" s="163" t="s">
        <v>56</v>
      </c>
      <c r="G331" s="167"/>
      <c r="H331" s="141">
        <v>70131</v>
      </c>
      <c r="I331" s="142" t="s">
        <v>901</v>
      </c>
      <c r="J331" s="144">
        <v>500000</v>
      </c>
      <c r="K331" s="627"/>
      <c r="L331" s="394"/>
      <c r="M331" s="394" t="s">
        <v>5133</v>
      </c>
      <c r="N331" s="149">
        <v>500000</v>
      </c>
      <c r="O331" s="180" t="s">
        <v>55</v>
      </c>
    </row>
    <row r="332" spans="1:16" ht="24" customHeight="1" x14ac:dyDescent="0.35">
      <c r="A332" s="272" t="s">
        <v>1239</v>
      </c>
      <c r="B332" s="463" t="s">
        <v>285</v>
      </c>
      <c r="C332" s="165" t="s">
        <v>5</v>
      </c>
      <c r="D332" s="141" t="s">
        <v>4</v>
      </c>
      <c r="E332" s="237" t="s">
        <v>282</v>
      </c>
      <c r="F332" s="163" t="s">
        <v>989</v>
      </c>
      <c r="G332" s="167"/>
      <c r="H332" s="141">
        <v>70131</v>
      </c>
      <c r="I332" s="142" t="s">
        <v>59</v>
      </c>
      <c r="J332" s="144">
        <v>700000</v>
      </c>
      <c r="K332" s="627"/>
      <c r="L332" s="394"/>
      <c r="M332" s="394" t="s">
        <v>5133</v>
      </c>
      <c r="N332" s="149">
        <v>1700000</v>
      </c>
      <c r="O332" s="180" t="s">
        <v>285</v>
      </c>
    </row>
    <row r="333" spans="1:16" ht="22.5" customHeight="1" x14ac:dyDescent="0.35">
      <c r="A333" s="272" t="s">
        <v>1240</v>
      </c>
      <c r="B333" s="463" t="s">
        <v>60</v>
      </c>
      <c r="C333" s="165" t="s">
        <v>5</v>
      </c>
      <c r="D333" s="141" t="s">
        <v>4</v>
      </c>
      <c r="E333" s="237" t="s">
        <v>282</v>
      </c>
      <c r="F333" s="163" t="s">
        <v>983</v>
      </c>
      <c r="G333" s="146"/>
      <c r="H333" s="141">
        <v>70131</v>
      </c>
      <c r="I333" s="142" t="s">
        <v>902</v>
      </c>
      <c r="J333" s="144">
        <v>4000000</v>
      </c>
      <c r="K333" s="627">
        <v>4000000</v>
      </c>
      <c r="L333" s="394"/>
      <c r="M333" s="394" t="s">
        <v>5133</v>
      </c>
      <c r="N333" s="149">
        <v>10988432</v>
      </c>
      <c r="O333" s="180" t="s">
        <v>60</v>
      </c>
    </row>
    <row r="334" spans="1:16" s="247" customFormat="1" ht="35.25" customHeight="1" x14ac:dyDescent="0.3">
      <c r="A334" s="245"/>
      <c r="B334" s="360" t="s">
        <v>1008</v>
      </c>
      <c r="C334" s="175"/>
      <c r="D334" s="171"/>
      <c r="E334" s="273"/>
      <c r="F334" s="257" t="s">
        <v>984</v>
      </c>
      <c r="G334" s="176"/>
      <c r="H334" s="171"/>
      <c r="I334" s="176"/>
      <c r="J334" s="177">
        <f>SUM(J328:J333)</f>
        <v>37648530</v>
      </c>
      <c r="K334" s="177">
        <f>SUM(K328:K333)</f>
        <v>13523933</v>
      </c>
      <c r="L334" s="189"/>
      <c r="M334" s="189"/>
      <c r="N334" s="177">
        <f>SUM(N328:N333)</f>
        <v>32488432</v>
      </c>
      <c r="O334" s="178" t="s">
        <v>1008</v>
      </c>
      <c r="P334" s="246"/>
    </row>
    <row r="335" spans="1:16" ht="35.25" customHeight="1" x14ac:dyDescent="0.35">
      <c r="A335" s="286"/>
      <c r="B335" s="492"/>
      <c r="C335" s="155"/>
      <c r="D335" s="154"/>
      <c r="E335" s="330"/>
      <c r="F335" s="283"/>
      <c r="G335" s="156"/>
      <c r="H335" s="154"/>
      <c r="I335" s="156"/>
      <c r="J335" s="157"/>
      <c r="K335" s="458"/>
      <c r="L335" s="704"/>
      <c r="M335" s="704"/>
      <c r="N335" s="157"/>
      <c r="O335" s="158"/>
    </row>
    <row r="336" spans="1:16" ht="28.5" customHeight="1" x14ac:dyDescent="0.35">
      <c r="A336" s="600" t="s">
        <v>1124</v>
      </c>
      <c r="B336" s="600"/>
      <c r="C336" s="600"/>
      <c r="D336" s="600"/>
      <c r="E336" s="600"/>
      <c r="F336" s="600"/>
      <c r="G336" s="600"/>
      <c r="H336" s="600"/>
      <c r="I336" s="600"/>
      <c r="J336" s="600"/>
      <c r="K336" s="458"/>
      <c r="L336" s="704"/>
      <c r="M336" s="704"/>
      <c r="N336" s="600"/>
      <c r="O336" s="601"/>
    </row>
    <row r="337" spans="1:258" ht="27.75" hidden="1" customHeight="1" x14ac:dyDescent="0.35">
      <c r="A337" s="357" t="s">
        <v>1233</v>
      </c>
      <c r="B337" s="357"/>
      <c r="C337" s="357"/>
      <c r="D337" s="357"/>
      <c r="E337" s="357"/>
      <c r="F337" s="357"/>
      <c r="G337" s="357"/>
      <c r="H337" s="357"/>
      <c r="I337" s="357"/>
      <c r="J337" s="357"/>
      <c r="K337" s="458"/>
      <c r="L337" s="704"/>
      <c r="M337" s="704"/>
      <c r="N337" s="357"/>
      <c r="O337" s="605"/>
    </row>
    <row r="338" spans="1:258" s="235" customFormat="1" ht="91.5" customHeight="1" x14ac:dyDescent="0.35">
      <c r="A338" s="187" t="s">
        <v>1007</v>
      </c>
      <c r="B338" s="360" t="s">
        <v>50</v>
      </c>
      <c r="C338" s="298" t="s">
        <v>898</v>
      </c>
      <c r="D338" s="299" t="s">
        <v>52</v>
      </c>
      <c r="E338" s="232" t="s">
        <v>49</v>
      </c>
      <c r="F338" s="188" t="s">
        <v>1</v>
      </c>
      <c r="G338" s="300"/>
      <c r="H338" s="298" t="s">
        <v>51</v>
      </c>
      <c r="I338" s="300" t="s">
        <v>2</v>
      </c>
      <c r="J338" s="189" t="s">
        <v>4862</v>
      </c>
      <c r="K338" s="189" t="s">
        <v>5140</v>
      </c>
      <c r="L338" s="623" t="s">
        <v>5132</v>
      </c>
      <c r="M338" s="623" t="s">
        <v>5132</v>
      </c>
      <c r="N338" s="301" t="s">
        <v>1006</v>
      </c>
      <c r="O338" s="187" t="s">
        <v>50</v>
      </c>
      <c r="P338" s="234"/>
    </row>
    <row r="339" spans="1:258" ht="56.25" customHeight="1" x14ac:dyDescent="0.35">
      <c r="A339" s="272" t="s">
        <v>2794</v>
      </c>
      <c r="B339" s="463" t="s">
        <v>96</v>
      </c>
      <c r="C339" s="165" t="s">
        <v>5</v>
      </c>
      <c r="D339" s="141" t="s">
        <v>4</v>
      </c>
      <c r="E339" s="237" t="s">
        <v>286</v>
      </c>
      <c r="F339" s="163" t="s">
        <v>62</v>
      </c>
      <c r="G339" s="146"/>
      <c r="H339" s="141">
        <v>70131</v>
      </c>
      <c r="I339" s="142" t="s">
        <v>904</v>
      </c>
      <c r="J339" s="144">
        <v>13500000</v>
      </c>
      <c r="K339" s="627">
        <v>2000000</v>
      </c>
      <c r="L339" s="394"/>
      <c r="M339" s="394" t="s">
        <v>5133</v>
      </c>
      <c r="N339" s="149">
        <v>10000000</v>
      </c>
      <c r="O339" s="180" t="s">
        <v>287</v>
      </c>
    </row>
    <row r="340" spans="1:258" ht="42" customHeight="1" x14ac:dyDescent="0.35">
      <c r="A340" s="272" t="s">
        <v>2795</v>
      </c>
      <c r="B340" s="463" t="s">
        <v>220</v>
      </c>
      <c r="C340" s="165" t="s">
        <v>5</v>
      </c>
      <c r="D340" s="141" t="s">
        <v>4</v>
      </c>
      <c r="E340" s="237" t="s">
        <v>290</v>
      </c>
      <c r="F340" s="163" t="s">
        <v>62</v>
      </c>
      <c r="G340" s="167"/>
      <c r="H340" s="141">
        <v>70131</v>
      </c>
      <c r="I340" s="146" t="s">
        <v>904</v>
      </c>
      <c r="J340" s="144">
        <v>13000000</v>
      </c>
      <c r="K340" s="627">
        <v>2000000</v>
      </c>
      <c r="L340" s="394"/>
      <c r="M340" s="394" t="s">
        <v>5133</v>
      </c>
      <c r="N340" s="149"/>
      <c r="O340" s="180"/>
    </row>
    <row r="341" spans="1:258" ht="28.5" customHeight="1" x14ac:dyDescent="0.35">
      <c r="A341" s="272" t="s">
        <v>2796</v>
      </c>
      <c r="B341" s="463" t="s">
        <v>102</v>
      </c>
      <c r="C341" s="165" t="s">
        <v>5</v>
      </c>
      <c r="D341" s="141" t="s">
        <v>4</v>
      </c>
      <c r="E341" s="237" t="s">
        <v>286</v>
      </c>
      <c r="F341" s="163" t="s">
        <v>56</v>
      </c>
      <c r="G341" s="146"/>
      <c r="H341" s="141">
        <v>70131</v>
      </c>
      <c r="I341" s="142" t="s">
        <v>901</v>
      </c>
      <c r="J341" s="144">
        <v>1500000</v>
      </c>
      <c r="K341" s="627">
        <v>746018</v>
      </c>
      <c r="L341" s="394"/>
      <c r="M341" s="394" t="s">
        <v>5133</v>
      </c>
      <c r="N341" s="149">
        <v>1000000</v>
      </c>
      <c r="O341" s="180" t="s">
        <v>102</v>
      </c>
    </row>
    <row r="342" spans="1:258" ht="28.5" customHeight="1" x14ac:dyDescent="0.35">
      <c r="A342" s="272" t="s">
        <v>2797</v>
      </c>
      <c r="B342" s="463" t="s">
        <v>57</v>
      </c>
      <c r="C342" s="165" t="s">
        <v>5</v>
      </c>
      <c r="D342" s="141" t="s">
        <v>4</v>
      </c>
      <c r="E342" s="237" t="s">
        <v>286</v>
      </c>
      <c r="F342" s="163" t="s">
        <v>108</v>
      </c>
      <c r="G342" s="146"/>
      <c r="H342" s="141">
        <v>70131</v>
      </c>
      <c r="I342" s="142" t="s">
        <v>907</v>
      </c>
      <c r="J342" s="144">
        <v>5000000</v>
      </c>
      <c r="K342" s="627">
        <v>1000000</v>
      </c>
      <c r="L342" s="394"/>
      <c r="M342" s="394" t="s">
        <v>5133</v>
      </c>
      <c r="N342" s="149">
        <v>2500000</v>
      </c>
      <c r="O342" s="180" t="s">
        <v>57</v>
      </c>
    </row>
    <row r="343" spans="1:258" ht="28.5" customHeight="1" x14ac:dyDescent="0.35">
      <c r="A343" s="272" t="s">
        <v>2798</v>
      </c>
      <c r="B343" s="463" t="s">
        <v>60</v>
      </c>
      <c r="C343" s="165" t="s">
        <v>5</v>
      </c>
      <c r="D343" s="141" t="s">
        <v>4</v>
      </c>
      <c r="E343" s="237" t="s">
        <v>286</v>
      </c>
      <c r="F343" s="163" t="s">
        <v>983</v>
      </c>
      <c r="G343" s="146"/>
      <c r="H343" s="141">
        <v>70131</v>
      </c>
      <c r="I343" s="142" t="s">
        <v>902</v>
      </c>
      <c r="J343" s="144">
        <v>40000000</v>
      </c>
      <c r="K343" s="627">
        <v>2000000</v>
      </c>
      <c r="L343" s="394"/>
      <c r="M343" s="394" t="s">
        <v>5133</v>
      </c>
      <c r="N343" s="149">
        <v>5000000</v>
      </c>
      <c r="O343" s="180" t="s">
        <v>60</v>
      </c>
    </row>
    <row r="344" spans="1:258" ht="28.5" customHeight="1" x14ac:dyDescent="0.35">
      <c r="A344" s="272" t="s">
        <v>2799</v>
      </c>
      <c r="B344" s="463" t="s">
        <v>217</v>
      </c>
      <c r="C344" s="165" t="s">
        <v>5</v>
      </c>
      <c r="D344" s="141" t="s">
        <v>4</v>
      </c>
      <c r="E344" s="237" t="s">
        <v>286</v>
      </c>
      <c r="F344" s="163" t="s">
        <v>54</v>
      </c>
      <c r="G344" s="146"/>
      <c r="H344" s="141">
        <v>70131</v>
      </c>
      <c r="I344" s="142" t="s">
        <v>900</v>
      </c>
      <c r="J344" s="144">
        <v>10000000</v>
      </c>
      <c r="K344" s="627">
        <v>4000000</v>
      </c>
      <c r="L344" s="394"/>
      <c r="M344" s="394" t="s">
        <v>5133</v>
      </c>
      <c r="N344" s="149">
        <v>10891034</v>
      </c>
      <c r="O344" s="180" t="s">
        <v>217</v>
      </c>
    </row>
    <row r="345" spans="1:258" ht="28.5" customHeight="1" x14ac:dyDescent="0.35">
      <c r="A345" s="272" t="s">
        <v>2800</v>
      </c>
      <c r="B345" s="463" t="s">
        <v>288</v>
      </c>
      <c r="C345" s="165" t="s">
        <v>5</v>
      </c>
      <c r="D345" s="141" t="s">
        <v>4</v>
      </c>
      <c r="E345" s="237" t="s">
        <v>286</v>
      </c>
      <c r="F345" s="163" t="s">
        <v>66</v>
      </c>
      <c r="G345" s="142"/>
      <c r="H345" s="141">
        <v>70131</v>
      </c>
      <c r="I345" s="142" t="s">
        <v>900</v>
      </c>
      <c r="J345" s="144">
        <v>2000000</v>
      </c>
      <c r="K345" s="627"/>
      <c r="L345" s="394"/>
      <c r="M345" s="394" t="s">
        <v>5133</v>
      </c>
      <c r="N345" s="149">
        <v>1550000</v>
      </c>
      <c r="O345" s="180" t="s">
        <v>288</v>
      </c>
    </row>
    <row r="346" spans="1:258" ht="28.5" customHeight="1" x14ac:dyDescent="0.35">
      <c r="A346" s="272" t="s">
        <v>3617</v>
      </c>
      <c r="B346" s="463" t="s">
        <v>3614</v>
      </c>
      <c r="C346" s="165"/>
      <c r="D346" s="141" t="s">
        <v>4</v>
      </c>
      <c r="E346" s="237" t="s">
        <v>21</v>
      </c>
      <c r="F346" s="169" t="s">
        <v>105</v>
      </c>
      <c r="G346" s="142"/>
      <c r="H346" s="237">
        <v>70810</v>
      </c>
      <c r="I346" s="142"/>
      <c r="J346" s="144">
        <v>3000000</v>
      </c>
      <c r="K346" s="627">
        <v>800000</v>
      </c>
      <c r="L346" s="394"/>
      <c r="M346" s="394" t="s">
        <v>5133</v>
      </c>
      <c r="N346" s="149">
        <v>0</v>
      </c>
      <c r="O346" s="180"/>
    </row>
    <row r="347" spans="1:258" ht="28.5" customHeight="1" x14ac:dyDescent="0.35">
      <c r="A347" s="272" t="s">
        <v>3618</v>
      </c>
      <c r="B347" s="463" t="s">
        <v>3615</v>
      </c>
      <c r="C347" s="165" t="s">
        <v>5</v>
      </c>
      <c r="D347" s="141" t="s">
        <v>4</v>
      </c>
      <c r="E347" s="237" t="s">
        <v>286</v>
      </c>
      <c r="F347" s="163" t="s">
        <v>62</v>
      </c>
      <c r="G347" s="167"/>
      <c r="H347" s="253">
        <v>70111</v>
      </c>
      <c r="I347" s="146" t="s">
        <v>904</v>
      </c>
      <c r="J347" s="144">
        <v>4000000</v>
      </c>
      <c r="K347" s="627">
        <v>2000000</v>
      </c>
      <c r="L347" s="394"/>
      <c r="M347" s="394" t="s">
        <v>5133</v>
      </c>
      <c r="N347" s="149">
        <v>3000000</v>
      </c>
      <c r="O347" s="180" t="s">
        <v>220</v>
      </c>
    </row>
    <row r="348" spans="1:258" ht="28.5" customHeight="1" x14ac:dyDescent="0.35">
      <c r="A348" s="272" t="s">
        <v>3619</v>
      </c>
      <c r="B348" s="463" t="s">
        <v>5124</v>
      </c>
      <c r="C348" s="165"/>
      <c r="D348" s="167" t="s">
        <v>4</v>
      </c>
      <c r="E348" s="167" t="s">
        <v>12</v>
      </c>
      <c r="F348" s="167" t="s">
        <v>980</v>
      </c>
      <c r="H348" s="167" t="s">
        <v>4873</v>
      </c>
      <c r="I348" s="146"/>
      <c r="J348" s="144">
        <v>38000000</v>
      </c>
      <c r="K348" s="627">
        <v>20000000</v>
      </c>
      <c r="L348" s="394"/>
      <c r="M348" s="394" t="s">
        <v>5133</v>
      </c>
      <c r="N348" s="149"/>
      <c r="O348" s="180"/>
    </row>
    <row r="349" spans="1:258" ht="40.5" customHeight="1" x14ac:dyDescent="0.35">
      <c r="A349" s="272" t="s">
        <v>3620</v>
      </c>
      <c r="B349" s="463" t="s">
        <v>3616</v>
      </c>
      <c r="C349" s="165"/>
      <c r="D349" s="141" t="s">
        <v>4</v>
      </c>
      <c r="E349" s="237" t="s">
        <v>282</v>
      </c>
      <c r="F349" s="163" t="s">
        <v>989</v>
      </c>
      <c r="G349" s="167"/>
      <c r="H349" s="141">
        <v>70131</v>
      </c>
      <c r="I349" s="146"/>
      <c r="J349" s="144">
        <v>20000000</v>
      </c>
      <c r="K349" s="627">
        <v>17600000</v>
      </c>
      <c r="L349" s="394"/>
      <c r="M349" s="394" t="s">
        <v>5133</v>
      </c>
      <c r="N349" s="149"/>
      <c r="O349" s="180"/>
    </row>
    <row r="350" spans="1:258" s="247" customFormat="1" ht="30" customHeight="1" x14ac:dyDescent="0.3">
      <c r="A350" s="245"/>
      <c r="B350" s="360" t="s">
        <v>1008</v>
      </c>
      <c r="C350" s="175"/>
      <c r="D350" s="171"/>
      <c r="E350" s="273"/>
      <c r="F350" s="257" t="s">
        <v>984</v>
      </c>
      <c r="G350" s="176"/>
      <c r="H350" s="171"/>
      <c r="I350" s="176"/>
      <c r="J350" s="177">
        <f>SUM(J339:J349)</f>
        <v>150000000</v>
      </c>
      <c r="K350" s="177">
        <f>SUM(K339:K349)</f>
        <v>52146018</v>
      </c>
      <c r="L350" s="189"/>
      <c r="M350" s="189"/>
      <c r="N350" s="177">
        <f>SUM(N339:N347)</f>
        <v>33941034</v>
      </c>
      <c r="O350" s="178" t="s">
        <v>1008</v>
      </c>
      <c r="P350" s="246"/>
      <c r="GM350" s="337"/>
      <c r="GN350" s="337"/>
      <c r="GO350" s="337"/>
      <c r="GP350" s="337"/>
      <c r="GQ350" s="337"/>
      <c r="GR350" s="337"/>
      <c r="GS350" s="337"/>
      <c r="GT350" s="337"/>
      <c r="GU350" s="337"/>
      <c r="GV350" s="337"/>
      <c r="GW350" s="337"/>
      <c r="GX350" s="337"/>
      <c r="GY350" s="337"/>
      <c r="GZ350" s="337"/>
      <c r="HA350" s="337"/>
      <c r="HB350" s="337"/>
      <c r="HC350" s="337"/>
      <c r="HD350" s="337"/>
      <c r="HE350" s="337"/>
      <c r="HF350" s="337"/>
      <c r="HG350" s="337"/>
      <c r="HH350" s="337"/>
      <c r="HI350" s="337"/>
      <c r="HJ350" s="337"/>
      <c r="HK350" s="337"/>
      <c r="HL350" s="337"/>
      <c r="HM350" s="337"/>
      <c r="HN350" s="337"/>
      <c r="HO350" s="337"/>
      <c r="HP350" s="337"/>
      <c r="HQ350" s="337"/>
      <c r="HR350" s="337"/>
      <c r="HS350" s="337"/>
      <c r="HT350" s="337"/>
      <c r="HU350" s="337"/>
      <c r="HV350" s="337"/>
      <c r="HW350" s="337"/>
      <c r="HX350" s="337"/>
      <c r="HY350" s="337"/>
      <c r="HZ350" s="337"/>
      <c r="IA350" s="337"/>
      <c r="IB350" s="337"/>
      <c r="IC350" s="337"/>
      <c r="ID350" s="337"/>
      <c r="IE350" s="337"/>
      <c r="IF350" s="337"/>
      <c r="IG350" s="337"/>
      <c r="IH350" s="337"/>
      <c r="II350" s="337"/>
      <c r="IJ350" s="337"/>
      <c r="IK350" s="337"/>
      <c r="IL350" s="337"/>
      <c r="IM350" s="337"/>
      <c r="IN350" s="337"/>
      <c r="IO350" s="337"/>
      <c r="IP350" s="337"/>
      <c r="IQ350" s="337"/>
      <c r="IR350" s="337"/>
      <c r="IS350" s="337"/>
      <c r="IT350" s="337"/>
      <c r="IU350" s="337"/>
      <c r="IV350" s="337"/>
      <c r="IW350" s="337"/>
      <c r="IX350" s="337"/>
    </row>
    <row r="351" spans="1:258" ht="27.75" customHeight="1" x14ac:dyDescent="0.35">
      <c r="A351" s="286"/>
      <c r="B351" s="492"/>
      <c r="C351" s="155"/>
      <c r="D351" s="154"/>
      <c r="E351" s="330"/>
      <c r="F351" s="283"/>
      <c r="G351" s="156"/>
      <c r="H351" s="154"/>
      <c r="I351" s="156"/>
      <c r="J351" s="157"/>
      <c r="K351" s="458"/>
      <c r="L351" s="704"/>
      <c r="M351" s="704"/>
      <c r="N351" s="157"/>
      <c r="O351" s="158"/>
      <c r="GM351" s="281"/>
      <c r="GN351" s="281"/>
      <c r="GO351" s="281"/>
      <c r="GP351" s="281"/>
      <c r="GQ351" s="281"/>
      <c r="GR351" s="281"/>
      <c r="GS351" s="281"/>
      <c r="GT351" s="281"/>
      <c r="GU351" s="281"/>
      <c r="GV351" s="281"/>
      <c r="GW351" s="281"/>
      <c r="GX351" s="281"/>
      <c r="GY351" s="281"/>
      <c r="GZ351" s="281"/>
      <c r="HA351" s="281"/>
      <c r="HB351" s="281"/>
      <c r="HC351" s="281"/>
      <c r="HD351" s="281"/>
      <c r="HE351" s="281"/>
      <c r="HF351" s="281"/>
      <c r="HG351" s="281"/>
      <c r="HH351" s="281"/>
      <c r="HI351" s="281"/>
      <c r="HJ351" s="281"/>
      <c r="HK351" s="281"/>
      <c r="HL351" s="281"/>
      <c r="HM351" s="281"/>
      <c r="HN351" s="281"/>
      <c r="HO351" s="281"/>
      <c r="HP351" s="281"/>
      <c r="HQ351" s="281"/>
      <c r="HR351" s="281"/>
      <c r="HS351" s="281"/>
      <c r="HT351" s="281"/>
      <c r="HU351" s="281"/>
      <c r="HV351" s="281"/>
      <c r="HW351" s="281"/>
      <c r="HX351" s="281"/>
      <c r="HY351" s="281"/>
      <c r="HZ351" s="281"/>
      <c r="IA351" s="281"/>
      <c r="IB351" s="281"/>
      <c r="IC351" s="281"/>
      <c r="ID351" s="281"/>
      <c r="IE351" s="281"/>
      <c r="IF351" s="281"/>
      <c r="IG351" s="281"/>
      <c r="IH351" s="281"/>
      <c r="II351" s="281"/>
      <c r="IJ351" s="281"/>
      <c r="IK351" s="281"/>
      <c r="IL351" s="281"/>
      <c r="IM351" s="281"/>
      <c r="IN351" s="281"/>
      <c r="IO351" s="281"/>
      <c r="IP351" s="281"/>
      <c r="IQ351" s="281"/>
      <c r="IR351" s="281"/>
      <c r="IS351" s="281"/>
      <c r="IT351" s="281"/>
      <c r="IU351" s="281"/>
      <c r="IV351" s="281"/>
      <c r="IW351" s="281"/>
      <c r="IX351" s="281"/>
    </row>
    <row r="352" spans="1:258" ht="24.75" hidden="1" customHeight="1" x14ac:dyDescent="0.35">
      <c r="A352" s="600" t="s">
        <v>289</v>
      </c>
      <c r="B352" s="600"/>
      <c r="C352" s="600"/>
      <c r="D352" s="600"/>
      <c r="E352" s="600"/>
      <c r="F352" s="600"/>
      <c r="G352" s="600"/>
      <c r="H352" s="600"/>
      <c r="I352" s="600"/>
      <c r="J352" s="600"/>
      <c r="K352" s="458"/>
      <c r="L352" s="704"/>
      <c r="M352" s="704"/>
      <c r="N352" s="600"/>
      <c r="O352" s="601"/>
    </row>
    <row r="353" spans="1:258" ht="28.5" customHeight="1" x14ac:dyDescent="0.35">
      <c r="A353" s="357" t="s">
        <v>2801</v>
      </c>
      <c r="B353" s="357"/>
      <c r="C353" s="357"/>
      <c r="D353" s="357"/>
      <c r="E353" s="357"/>
      <c r="F353" s="357"/>
      <c r="G353" s="357"/>
      <c r="H353" s="357"/>
      <c r="I353" s="357"/>
      <c r="J353" s="357"/>
      <c r="K353" s="458"/>
      <c r="L353" s="704"/>
      <c r="M353" s="704"/>
      <c r="N353" s="357"/>
      <c r="O353" s="605"/>
    </row>
    <row r="354" spans="1:258" s="235" customFormat="1" ht="88.5" customHeight="1" x14ac:dyDescent="0.35">
      <c r="A354" s="187" t="s">
        <v>1007</v>
      </c>
      <c r="B354" s="360" t="s">
        <v>50</v>
      </c>
      <c r="C354" s="175" t="s">
        <v>898</v>
      </c>
      <c r="D354" s="175" t="s">
        <v>52</v>
      </c>
      <c r="E354" s="187" t="s">
        <v>49</v>
      </c>
      <c r="F354" s="175" t="s">
        <v>1</v>
      </c>
      <c r="G354" s="187"/>
      <c r="H354" s="175" t="s">
        <v>51</v>
      </c>
      <c r="I354" s="187" t="s">
        <v>2</v>
      </c>
      <c r="J354" s="189" t="s">
        <v>4862</v>
      </c>
      <c r="K354" s="189" t="s">
        <v>5140</v>
      </c>
      <c r="L354" s="623" t="s">
        <v>5132</v>
      </c>
      <c r="M354" s="623" t="s">
        <v>5132</v>
      </c>
      <c r="N354" s="189" t="s">
        <v>1006</v>
      </c>
      <c r="O354" s="187" t="s">
        <v>50</v>
      </c>
      <c r="P354" s="234"/>
    </row>
    <row r="355" spans="1:258" ht="28.5" customHeight="1" x14ac:dyDescent="0.35">
      <c r="A355" s="272" t="s">
        <v>2802</v>
      </c>
      <c r="B355" s="463" t="s">
        <v>271</v>
      </c>
      <c r="C355" s="165" t="s">
        <v>5</v>
      </c>
      <c r="D355" s="141" t="s">
        <v>4</v>
      </c>
      <c r="E355" s="237" t="s">
        <v>290</v>
      </c>
      <c r="F355" s="163" t="s">
        <v>54</v>
      </c>
      <c r="G355" s="146"/>
      <c r="H355" s="141">
        <v>70131</v>
      </c>
      <c r="I355" s="142" t="s">
        <v>900</v>
      </c>
      <c r="J355" s="149">
        <f>14500000+3750000</f>
        <v>18250000</v>
      </c>
      <c r="K355" s="655">
        <v>9000000</v>
      </c>
      <c r="L355" s="394"/>
      <c r="M355" s="394" t="s">
        <v>5133</v>
      </c>
      <c r="N355" s="144">
        <v>17720000</v>
      </c>
      <c r="O355" s="180" t="s">
        <v>271</v>
      </c>
      <c r="P355" s="655">
        <v>39499113.994341336</v>
      </c>
    </row>
    <row r="356" spans="1:258" ht="28.5" customHeight="1" x14ac:dyDescent="0.35">
      <c r="A356" s="272" t="s">
        <v>2803</v>
      </c>
      <c r="B356" s="463" t="s">
        <v>220</v>
      </c>
      <c r="C356" s="165" t="s">
        <v>5</v>
      </c>
      <c r="D356" s="141" t="s">
        <v>4</v>
      </c>
      <c r="E356" s="237" t="s">
        <v>290</v>
      </c>
      <c r="F356" s="163" t="s">
        <v>62</v>
      </c>
      <c r="G356" s="167"/>
      <c r="H356" s="141">
        <v>70131</v>
      </c>
      <c r="I356" s="146" t="s">
        <v>904</v>
      </c>
      <c r="J356" s="149">
        <f>10500000+8000000</f>
        <v>18500000</v>
      </c>
      <c r="K356" s="655">
        <v>9000000</v>
      </c>
      <c r="L356" s="394"/>
      <c r="M356" s="394" t="s">
        <v>5133</v>
      </c>
      <c r="N356" s="147">
        <v>15000000</v>
      </c>
      <c r="O356" s="180" t="s">
        <v>220</v>
      </c>
    </row>
    <row r="357" spans="1:258" ht="28.5" customHeight="1" x14ac:dyDescent="0.35">
      <c r="A357" s="272" t="s">
        <v>2804</v>
      </c>
      <c r="B357" s="463" t="s">
        <v>57</v>
      </c>
      <c r="C357" s="165" t="s">
        <v>5</v>
      </c>
      <c r="D357" s="141" t="s">
        <v>4</v>
      </c>
      <c r="E357" s="237" t="s">
        <v>290</v>
      </c>
      <c r="F357" s="163" t="s">
        <v>108</v>
      </c>
      <c r="G357" s="146"/>
      <c r="H357" s="141">
        <v>70131</v>
      </c>
      <c r="I357" s="142" t="s">
        <v>907</v>
      </c>
      <c r="J357" s="149">
        <v>4898530</v>
      </c>
      <c r="K357" s="627">
        <v>4698530</v>
      </c>
      <c r="L357" s="394"/>
      <c r="M357" s="394" t="s">
        <v>5133</v>
      </c>
      <c r="N357" s="144">
        <v>2300000</v>
      </c>
      <c r="O357" s="180" t="s">
        <v>57</v>
      </c>
    </row>
    <row r="358" spans="1:258" ht="28.5" customHeight="1" x14ac:dyDescent="0.35">
      <c r="A358" s="272" t="s">
        <v>2805</v>
      </c>
      <c r="B358" s="463" t="s">
        <v>60</v>
      </c>
      <c r="C358" s="165" t="s">
        <v>5</v>
      </c>
      <c r="D358" s="141" t="s">
        <v>4</v>
      </c>
      <c r="E358" s="237" t="s">
        <v>290</v>
      </c>
      <c r="F358" s="163" t="s">
        <v>983</v>
      </c>
      <c r="G358" s="146"/>
      <c r="H358" s="141">
        <v>70131</v>
      </c>
      <c r="I358" s="142" t="s">
        <v>902</v>
      </c>
      <c r="J358" s="149">
        <v>5000000</v>
      </c>
      <c r="K358" s="627">
        <v>5000000</v>
      </c>
      <c r="L358" s="394"/>
      <c r="M358" s="394" t="s">
        <v>5133</v>
      </c>
      <c r="N358" s="144">
        <v>15000000</v>
      </c>
      <c r="O358" s="180" t="s">
        <v>60</v>
      </c>
    </row>
    <row r="359" spans="1:258" ht="28.5" customHeight="1" x14ac:dyDescent="0.35">
      <c r="A359" s="272" t="s">
        <v>2806</v>
      </c>
      <c r="B359" s="463" t="s">
        <v>291</v>
      </c>
      <c r="C359" s="165" t="s">
        <v>5</v>
      </c>
      <c r="D359" s="141" t="s">
        <v>4</v>
      </c>
      <c r="E359" s="237" t="s">
        <v>290</v>
      </c>
      <c r="F359" s="163" t="s">
        <v>54</v>
      </c>
      <c r="G359" s="146"/>
      <c r="H359" s="141">
        <v>70131</v>
      </c>
      <c r="I359" s="142" t="s">
        <v>900</v>
      </c>
      <c r="J359" s="149">
        <v>4000000</v>
      </c>
      <c r="K359" s="627">
        <v>4000000</v>
      </c>
      <c r="L359" s="394"/>
      <c r="M359" s="394" t="s">
        <v>5133</v>
      </c>
      <c r="N359" s="144">
        <v>4956864</v>
      </c>
      <c r="O359" s="180" t="s">
        <v>291</v>
      </c>
    </row>
    <row r="360" spans="1:258" ht="28.5" customHeight="1" x14ac:dyDescent="0.35">
      <c r="A360" s="272" t="s">
        <v>4710</v>
      </c>
      <c r="B360" s="463" t="s">
        <v>4711</v>
      </c>
      <c r="C360" s="457">
        <v>426</v>
      </c>
      <c r="D360" s="167" t="s">
        <v>4</v>
      </c>
      <c r="E360" s="167" t="s">
        <v>12</v>
      </c>
      <c r="F360" s="167" t="s">
        <v>980</v>
      </c>
      <c r="H360" s="167" t="s">
        <v>4874</v>
      </c>
      <c r="I360" s="142" t="s">
        <v>421</v>
      </c>
      <c r="J360" s="149">
        <f>15000000-2671666</f>
        <v>12328334</v>
      </c>
      <c r="K360" s="627">
        <v>9114</v>
      </c>
      <c r="L360" s="394"/>
      <c r="M360" s="394" t="s">
        <v>5133</v>
      </c>
      <c r="N360" s="144"/>
      <c r="O360" s="180"/>
    </row>
    <row r="361" spans="1:258" ht="28.5" customHeight="1" x14ac:dyDescent="0.35">
      <c r="A361" s="272" t="s">
        <v>4807</v>
      </c>
      <c r="B361" s="463" t="s">
        <v>4805</v>
      </c>
      <c r="C361" s="457"/>
      <c r="D361" s="143" t="s">
        <v>4</v>
      </c>
      <c r="E361" s="237" t="s">
        <v>293</v>
      </c>
      <c r="F361" s="163" t="s">
        <v>54</v>
      </c>
      <c r="G361" s="167"/>
      <c r="H361" s="253">
        <v>70111</v>
      </c>
      <c r="I361" s="142"/>
      <c r="J361" s="149">
        <v>1000000</v>
      </c>
      <c r="K361" s="627">
        <v>1000000</v>
      </c>
      <c r="L361" s="394"/>
      <c r="M361" s="394" t="s">
        <v>5133</v>
      </c>
      <c r="N361" s="144"/>
      <c r="O361" s="180"/>
    </row>
    <row r="362" spans="1:258" ht="28.5" customHeight="1" x14ac:dyDescent="0.35">
      <c r="A362" s="272" t="s">
        <v>4808</v>
      </c>
      <c r="B362" s="463" t="s">
        <v>4806</v>
      </c>
      <c r="C362" s="457"/>
      <c r="D362" s="141" t="s">
        <v>4</v>
      </c>
      <c r="E362" s="237" t="s">
        <v>27</v>
      </c>
      <c r="F362" s="163" t="s">
        <v>110</v>
      </c>
      <c r="G362" s="238"/>
      <c r="H362" s="141" t="s">
        <v>19</v>
      </c>
      <c r="I362" s="142"/>
      <c r="J362" s="149">
        <v>30000000</v>
      </c>
      <c r="K362" s="627">
        <v>21470</v>
      </c>
      <c r="L362" s="394"/>
      <c r="M362" s="394" t="s">
        <v>5133</v>
      </c>
      <c r="N362" s="144"/>
      <c r="O362" s="180"/>
    </row>
    <row r="363" spans="1:258" s="247" customFormat="1" ht="27.75" customHeight="1" x14ac:dyDescent="0.3">
      <c r="A363" s="327"/>
      <c r="B363" s="493" t="s">
        <v>1008</v>
      </c>
      <c r="C363" s="354"/>
      <c r="D363" s="355"/>
      <c r="E363" s="177"/>
      <c r="F363" s="355" t="s">
        <v>984</v>
      </c>
      <c r="G363" s="177"/>
      <c r="H363" s="355"/>
      <c r="I363" s="177"/>
      <c r="J363" s="177">
        <f>SUM(J355:J362)</f>
        <v>93976864</v>
      </c>
      <c r="K363" s="177">
        <f>SUM(K355:K362)</f>
        <v>32729114</v>
      </c>
      <c r="L363" s="189"/>
      <c r="M363" s="189"/>
      <c r="N363" s="177">
        <f>SUM(J355:J360)</f>
        <v>62976864</v>
      </c>
      <c r="O363" s="327" t="s">
        <v>1008</v>
      </c>
      <c r="P363" s="246"/>
      <c r="GM363" s="337"/>
      <c r="GN363" s="337"/>
      <c r="GO363" s="337"/>
      <c r="GP363" s="337"/>
      <c r="GQ363" s="337"/>
      <c r="GR363" s="337"/>
      <c r="GS363" s="337"/>
      <c r="GT363" s="337"/>
      <c r="GU363" s="337"/>
      <c r="GV363" s="337"/>
      <c r="GW363" s="337"/>
      <c r="GX363" s="337"/>
      <c r="GY363" s="337"/>
      <c r="GZ363" s="337"/>
      <c r="HA363" s="337"/>
      <c r="HB363" s="337"/>
      <c r="HC363" s="337"/>
      <c r="HD363" s="337"/>
      <c r="HE363" s="337"/>
      <c r="HF363" s="337"/>
      <c r="HG363" s="337"/>
      <c r="HH363" s="337"/>
      <c r="HI363" s="337"/>
      <c r="HJ363" s="337"/>
      <c r="HK363" s="337"/>
      <c r="HL363" s="337"/>
      <c r="HM363" s="337"/>
      <c r="HN363" s="337"/>
      <c r="HO363" s="337"/>
      <c r="HP363" s="337"/>
      <c r="HQ363" s="337"/>
      <c r="HR363" s="337"/>
      <c r="HS363" s="337"/>
      <c r="HT363" s="337"/>
      <c r="HU363" s="337"/>
      <c r="HV363" s="337"/>
      <c r="HW363" s="337"/>
      <c r="HX363" s="337"/>
      <c r="HY363" s="337"/>
      <c r="HZ363" s="337"/>
      <c r="IA363" s="337"/>
      <c r="IB363" s="337"/>
      <c r="IC363" s="337"/>
      <c r="ID363" s="337"/>
      <c r="IE363" s="337"/>
      <c r="IF363" s="337"/>
      <c r="IG363" s="337"/>
      <c r="IH363" s="337"/>
      <c r="II363" s="337"/>
      <c r="IJ363" s="337"/>
      <c r="IK363" s="337"/>
      <c r="IL363" s="337"/>
      <c r="IM363" s="337"/>
      <c r="IN363" s="337"/>
      <c r="IO363" s="337"/>
      <c r="IP363" s="337"/>
      <c r="IQ363" s="337"/>
      <c r="IR363" s="337"/>
      <c r="IS363" s="337"/>
      <c r="IT363" s="337"/>
      <c r="IU363" s="337"/>
      <c r="IV363" s="337"/>
      <c r="IW363" s="337"/>
      <c r="IX363" s="337"/>
    </row>
    <row r="364" spans="1:258" ht="27.75" customHeight="1" x14ac:dyDescent="0.35">
      <c r="A364" s="286"/>
      <c r="B364" s="492"/>
      <c r="C364" s="155"/>
      <c r="D364" s="154"/>
      <c r="E364" s="330"/>
      <c r="F364" s="283"/>
      <c r="G364" s="156"/>
      <c r="H364" s="154"/>
      <c r="I364" s="156"/>
      <c r="J364" s="157"/>
      <c r="K364" s="458"/>
      <c r="L364" s="704"/>
      <c r="M364" s="704"/>
      <c r="N364" s="335"/>
      <c r="O364" s="356">
        <f>N363-N364</f>
        <v>62976864</v>
      </c>
      <c r="GM364" s="281"/>
      <c r="GN364" s="281"/>
      <c r="GO364" s="281"/>
      <c r="GP364" s="281"/>
      <c r="GQ364" s="281"/>
      <c r="GR364" s="281"/>
      <c r="GS364" s="281"/>
      <c r="GT364" s="281"/>
      <c r="GU364" s="281"/>
      <c r="GV364" s="281"/>
      <c r="GW364" s="281"/>
      <c r="GX364" s="281"/>
      <c r="GY364" s="281"/>
      <c r="GZ364" s="281"/>
      <c r="HA364" s="281"/>
      <c r="HB364" s="281"/>
      <c r="HC364" s="281"/>
      <c r="HD364" s="281"/>
      <c r="HE364" s="281"/>
      <c r="HF364" s="281"/>
      <c r="HG364" s="281"/>
      <c r="HH364" s="281"/>
      <c r="HI364" s="281"/>
      <c r="HJ364" s="281"/>
      <c r="HK364" s="281"/>
      <c r="HL364" s="281"/>
      <c r="HM364" s="281"/>
      <c r="HN364" s="281"/>
      <c r="HO364" s="281"/>
      <c r="HP364" s="281"/>
      <c r="HQ364" s="281"/>
      <c r="HR364" s="281"/>
      <c r="HS364" s="281"/>
      <c r="HT364" s="281"/>
      <c r="HU364" s="281"/>
      <c r="HV364" s="281"/>
      <c r="HW364" s="281"/>
      <c r="HX364" s="281"/>
      <c r="HY364" s="281"/>
      <c r="HZ364" s="281"/>
      <c r="IA364" s="281"/>
      <c r="IB364" s="281"/>
      <c r="IC364" s="281"/>
      <c r="ID364" s="281"/>
      <c r="IE364" s="281"/>
      <c r="IF364" s="281"/>
      <c r="IG364" s="281"/>
      <c r="IH364" s="281"/>
      <c r="II364" s="281"/>
      <c r="IJ364" s="281"/>
      <c r="IK364" s="281"/>
      <c r="IL364" s="281"/>
      <c r="IM364" s="281"/>
      <c r="IN364" s="281"/>
      <c r="IO364" s="281"/>
      <c r="IP364" s="281"/>
      <c r="IQ364" s="281"/>
      <c r="IR364" s="281"/>
      <c r="IS364" s="281"/>
      <c r="IT364" s="281"/>
      <c r="IU364" s="281"/>
      <c r="IV364" s="281"/>
      <c r="IW364" s="281"/>
      <c r="IX364" s="281"/>
    </row>
    <row r="365" spans="1:258" ht="29.25" hidden="1" customHeight="1" x14ac:dyDescent="0.35">
      <c r="A365" s="401" t="s">
        <v>292</v>
      </c>
      <c r="B365" s="716"/>
      <c r="C365" s="402"/>
      <c r="D365" s="403"/>
      <c r="E365" s="404"/>
      <c r="F365" s="403"/>
      <c r="G365" s="404"/>
      <c r="H365" s="403"/>
      <c r="I365" s="404"/>
      <c r="J365" s="405"/>
      <c r="K365" s="458"/>
      <c r="L365" s="704"/>
      <c r="M365" s="704"/>
      <c r="N365" s="405"/>
      <c r="O365" s="600"/>
    </row>
    <row r="366" spans="1:258" ht="27.75" customHeight="1" x14ac:dyDescent="0.35">
      <c r="A366" s="428" t="s">
        <v>1126</v>
      </c>
      <c r="B366" s="583"/>
      <c r="C366" s="429"/>
      <c r="D366" s="430"/>
      <c r="E366" s="494"/>
      <c r="F366" s="430"/>
      <c r="G366" s="494"/>
      <c r="H366" s="430"/>
      <c r="I366" s="494"/>
      <c r="J366" s="495"/>
      <c r="K366" s="458"/>
      <c r="L366" s="704"/>
      <c r="M366" s="704"/>
      <c r="N366" s="495"/>
      <c r="O366" s="357"/>
    </row>
    <row r="367" spans="1:258" ht="78.75" customHeight="1" x14ac:dyDescent="0.35">
      <c r="A367" s="187" t="s">
        <v>1007</v>
      </c>
      <c r="B367" s="360" t="s">
        <v>50</v>
      </c>
      <c r="C367" s="175" t="s">
        <v>898</v>
      </c>
      <c r="D367" s="175" t="s">
        <v>52</v>
      </c>
      <c r="E367" s="187" t="s">
        <v>49</v>
      </c>
      <c r="F367" s="175" t="s">
        <v>1</v>
      </c>
      <c r="G367" s="187"/>
      <c r="H367" s="175" t="s">
        <v>51</v>
      </c>
      <c r="I367" s="187" t="s">
        <v>2</v>
      </c>
      <c r="J367" s="189" t="s">
        <v>4862</v>
      </c>
      <c r="K367" s="189" t="s">
        <v>5140</v>
      </c>
      <c r="L367" s="623" t="s">
        <v>5132</v>
      </c>
      <c r="M367" s="623" t="s">
        <v>5132</v>
      </c>
      <c r="N367" s="189" t="s">
        <v>1006</v>
      </c>
      <c r="O367" s="187" t="s">
        <v>50</v>
      </c>
    </row>
    <row r="368" spans="1:258" ht="33.75" customHeight="1" x14ac:dyDescent="0.35">
      <c r="A368" s="272" t="s">
        <v>2484</v>
      </c>
      <c r="B368" s="463" t="s">
        <v>211</v>
      </c>
      <c r="C368" s="165" t="s">
        <v>5</v>
      </c>
      <c r="D368" s="143" t="s">
        <v>4</v>
      </c>
      <c r="E368" s="237" t="s">
        <v>293</v>
      </c>
      <c r="F368" s="163" t="s">
        <v>62</v>
      </c>
      <c r="G368" s="167"/>
      <c r="H368" s="253">
        <v>70111</v>
      </c>
      <c r="I368" s="146" t="s">
        <v>904</v>
      </c>
      <c r="J368" s="147">
        <v>6000000</v>
      </c>
      <c r="K368" s="627"/>
      <c r="L368" s="394"/>
      <c r="M368" s="394" t="s">
        <v>5133</v>
      </c>
      <c r="N368" s="149">
        <v>6000000</v>
      </c>
      <c r="O368" s="180" t="s">
        <v>211</v>
      </c>
      <c r="P368" s="655">
        <v>25218407.369504057</v>
      </c>
    </row>
    <row r="369" spans="1:16" ht="36.75" customHeight="1" x14ac:dyDescent="0.35">
      <c r="A369" s="272" t="s">
        <v>2485</v>
      </c>
      <c r="B369" s="463" t="s">
        <v>294</v>
      </c>
      <c r="C369" s="165" t="s">
        <v>5</v>
      </c>
      <c r="D369" s="143" t="s">
        <v>4</v>
      </c>
      <c r="E369" s="237" t="s">
        <v>293</v>
      </c>
      <c r="F369" s="163" t="s">
        <v>54</v>
      </c>
      <c r="G369" s="167"/>
      <c r="H369" s="253">
        <v>70111</v>
      </c>
      <c r="I369" s="278" t="s">
        <v>900</v>
      </c>
      <c r="J369" s="147">
        <v>6000000</v>
      </c>
      <c r="K369" s="627">
        <v>5218407</v>
      </c>
      <c r="L369" s="394"/>
      <c r="M369" s="394" t="s">
        <v>5133</v>
      </c>
      <c r="N369" s="149">
        <v>6000000</v>
      </c>
      <c r="O369" s="180" t="s">
        <v>294</v>
      </c>
    </row>
    <row r="370" spans="1:16" ht="76.5" customHeight="1" x14ac:dyDescent="0.35">
      <c r="A370" s="272" t="s">
        <v>2486</v>
      </c>
      <c r="B370" s="463" t="s">
        <v>4706</v>
      </c>
      <c r="C370" s="165" t="s">
        <v>5</v>
      </c>
      <c r="D370" s="143" t="s">
        <v>4</v>
      </c>
      <c r="E370" s="237" t="s">
        <v>293</v>
      </c>
      <c r="F370" s="163" t="s">
        <v>983</v>
      </c>
      <c r="G370" s="167"/>
      <c r="H370" s="253">
        <v>70111</v>
      </c>
      <c r="I370" s="146" t="s">
        <v>902</v>
      </c>
      <c r="J370" s="147">
        <v>18000000</v>
      </c>
      <c r="K370" s="627"/>
      <c r="L370" s="394"/>
      <c r="M370" s="394" t="s">
        <v>5133</v>
      </c>
      <c r="N370" s="149">
        <v>15000000</v>
      </c>
      <c r="O370" s="180" t="s">
        <v>2807</v>
      </c>
    </row>
    <row r="371" spans="1:16" ht="37.5" customHeight="1" x14ac:dyDescent="0.35">
      <c r="A371" s="272" t="s">
        <v>2487</v>
      </c>
      <c r="B371" s="463" t="s">
        <v>295</v>
      </c>
      <c r="C371" s="165" t="s">
        <v>5</v>
      </c>
      <c r="D371" s="143" t="s">
        <v>4</v>
      </c>
      <c r="E371" s="237" t="s">
        <v>293</v>
      </c>
      <c r="F371" s="163" t="s">
        <v>54</v>
      </c>
      <c r="G371" s="167"/>
      <c r="H371" s="253">
        <v>70111</v>
      </c>
      <c r="I371" s="278" t="s">
        <v>900</v>
      </c>
      <c r="J371" s="147">
        <v>10000000</v>
      </c>
      <c r="K371" s="627"/>
      <c r="L371" s="394"/>
      <c r="M371" s="394" t="s">
        <v>5133</v>
      </c>
      <c r="N371" s="149">
        <v>7000000</v>
      </c>
      <c r="O371" s="180" t="s">
        <v>295</v>
      </c>
    </row>
    <row r="372" spans="1:16" ht="59.25" customHeight="1" x14ac:dyDescent="0.35">
      <c r="A372" s="272" t="s">
        <v>2808</v>
      </c>
      <c r="B372" s="490" t="s">
        <v>5099</v>
      </c>
      <c r="C372" s="294" t="s">
        <v>5</v>
      </c>
      <c r="D372" s="143" t="s">
        <v>4</v>
      </c>
      <c r="E372" s="302" t="s">
        <v>293</v>
      </c>
      <c r="F372" s="295" t="s">
        <v>62</v>
      </c>
      <c r="G372" s="358"/>
      <c r="H372" s="303">
        <v>70111</v>
      </c>
      <c r="I372" s="304" t="s">
        <v>904</v>
      </c>
      <c r="J372" s="305">
        <v>20000000</v>
      </c>
      <c r="K372" s="147">
        <v>15000000</v>
      </c>
      <c r="L372" s="394"/>
      <c r="M372" s="394" t="s">
        <v>5133</v>
      </c>
      <c r="N372" s="306">
        <v>6000000</v>
      </c>
      <c r="O372" s="359" t="s">
        <v>296</v>
      </c>
    </row>
    <row r="373" spans="1:16" ht="31.5" customHeight="1" x14ac:dyDescent="0.35">
      <c r="A373" s="332"/>
      <c r="B373" s="360" t="s">
        <v>1008</v>
      </c>
      <c r="C373" s="175"/>
      <c r="D373" s="257"/>
      <c r="E373" s="237"/>
      <c r="F373" s="163" t="s">
        <v>984</v>
      </c>
      <c r="G373" s="176"/>
      <c r="H373" s="171"/>
      <c r="I373" s="176"/>
      <c r="J373" s="177">
        <f>SUM(J368:J372)</f>
        <v>60000000</v>
      </c>
      <c r="K373" s="177">
        <f>SUM(K368:K372)</f>
        <v>20218407</v>
      </c>
      <c r="L373" s="189"/>
      <c r="M373" s="189"/>
      <c r="N373" s="177">
        <f>SUM(N368:N372)</f>
        <v>40000000</v>
      </c>
      <c r="O373" s="178" t="s">
        <v>1008</v>
      </c>
    </row>
    <row r="374" spans="1:16" ht="14.25" customHeight="1" x14ac:dyDescent="0.35">
      <c r="A374" s="286"/>
      <c r="B374" s="361"/>
      <c r="C374" s="333"/>
      <c r="D374" s="339"/>
      <c r="E374" s="330"/>
      <c r="F374" s="283"/>
      <c r="G374" s="334"/>
      <c r="H374" s="159"/>
      <c r="I374" s="334"/>
      <c r="J374" s="335"/>
      <c r="K374" s="458"/>
      <c r="L374" s="704"/>
      <c r="M374" s="704"/>
      <c r="N374" s="335"/>
      <c r="O374" s="336"/>
    </row>
    <row r="375" spans="1:16" ht="26.25" customHeight="1" x14ac:dyDescent="0.35">
      <c r="A375" s="401" t="s">
        <v>80</v>
      </c>
      <c r="B375" s="716"/>
      <c r="C375" s="402"/>
      <c r="D375" s="403"/>
      <c r="E375" s="404"/>
      <c r="F375" s="403"/>
      <c r="G375" s="404"/>
      <c r="H375" s="403"/>
      <c r="I375" s="404"/>
      <c r="J375" s="405"/>
      <c r="K375" s="458"/>
      <c r="L375" s="704"/>
      <c r="M375" s="704"/>
      <c r="N375" s="405"/>
      <c r="O375" s="600"/>
    </row>
    <row r="376" spans="1:16" ht="27.75" hidden="1" customHeight="1" x14ac:dyDescent="0.35">
      <c r="A376" s="428" t="s">
        <v>899</v>
      </c>
      <c r="B376" s="583"/>
      <c r="C376" s="429"/>
      <c r="D376" s="430"/>
      <c r="E376" s="494"/>
      <c r="F376" s="430"/>
      <c r="G376" s="494"/>
      <c r="H376" s="430"/>
      <c r="I376" s="494"/>
      <c r="J376" s="495"/>
      <c r="K376" s="458"/>
      <c r="L376" s="704"/>
      <c r="M376" s="704"/>
      <c r="N376" s="495"/>
      <c r="O376" s="357"/>
    </row>
    <row r="377" spans="1:16" s="235" customFormat="1" ht="79.5" customHeight="1" x14ac:dyDescent="0.35">
      <c r="A377" s="187" t="s">
        <v>1007</v>
      </c>
      <c r="B377" s="360" t="s">
        <v>50</v>
      </c>
      <c r="C377" s="175" t="s">
        <v>898</v>
      </c>
      <c r="D377" s="175" t="s">
        <v>52</v>
      </c>
      <c r="E377" s="187" t="s">
        <v>49</v>
      </c>
      <c r="F377" s="175" t="s">
        <v>1</v>
      </c>
      <c r="G377" s="187"/>
      <c r="H377" s="175" t="s">
        <v>51</v>
      </c>
      <c r="I377" s="187" t="s">
        <v>2</v>
      </c>
      <c r="J377" s="189" t="s">
        <v>4862</v>
      </c>
      <c r="K377" s="189" t="s">
        <v>5140</v>
      </c>
      <c r="L377" s="623" t="s">
        <v>5132</v>
      </c>
      <c r="M377" s="623" t="s">
        <v>5132</v>
      </c>
      <c r="N377" s="189" t="s">
        <v>1006</v>
      </c>
      <c r="O377" s="187" t="s">
        <v>50</v>
      </c>
      <c r="P377" s="234"/>
    </row>
    <row r="378" spans="1:16" ht="38.25" customHeight="1" x14ac:dyDescent="0.35">
      <c r="A378" s="479" t="s">
        <v>2809</v>
      </c>
      <c r="B378" s="463" t="s">
        <v>80</v>
      </c>
      <c r="C378" s="165" t="s">
        <v>5</v>
      </c>
      <c r="D378" s="141" t="s">
        <v>4</v>
      </c>
      <c r="E378" s="237" t="s">
        <v>79</v>
      </c>
      <c r="F378" s="163" t="s">
        <v>62</v>
      </c>
      <c r="G378" s="146"/>
      <c r="H378" s="141">
        <v>70111</v>
      </c>
      <c r="I378" s="142" t="s">
        <v>904</v>
      </c>
      <c r="J378" s="144">
        <v>64000000</v>
      </c>
      <c r="K378" s="627">
        <v>31880000</v>
      </c>
      <c r="L378" s="394"/>
      <c r="M378" s="394" t="s">
        <v>5133</v>
      </c>
      <c r="N378" s="149">
        <v>50000000</v>
      </c>
      <c r="O378" s="180" t="s">
        <v>80</v>
      </c>
    </row>
    <row r="379" spans="1:16" ht="32.25" customHeight="1" x14ac:dyDescent="0.35">
      <c r="A379" s="332"/>
      <c r="B379" s="360" t="s">
        <v>1008</v>
      </c>
      <c r="C379" s="175"/>
      <c r="D379" s="257"/>
      <c r="E379" s="237"/>
      <c r="F379" s="163" t="s">
        <v>984</v>
      </c>
      <c r="G379" s="176"/>
      <c r="H379" s="171"/>
      <c r="I379" s="176"/>
      <c r="J379" s="177">
        <f>SUM(J378:J378)</f>
        <v>64000000</v>
      </c>
      <c r="K379" s="177">
        <f>SUM(K378:K378)</f>
        <v>31880000</v>
      </c>
      <c r="L379" s="189"/>
      <c r="M379" s="189"/>
      <c r="N379" s="177">
        <f>SUM(N378:N378)</f>
        <v>50000000</v>
      </c>
      <c r="O379" s="178" t="s">
        <v>1008</v>
      </c>
    </row>
    <row r="380" spans="1:16" ht="32.25" customHeight="1" x14ac:dyDescent="0.35">
      <c r="A380" s="286"/>
      <c r="B380" s="361"/>
      <c r="C380" s="333"/>
      <c r="D380" s="339"/>
      <c r="E380" s="330"/>
      <c r="F380" s="283"/>
      <c r="G380" s="334"/>
      <c r="H380" s="159"/>
      <c r="I380" s="334"/>
      <c r="J380" s="335"/>
      <c r="K380" s="458"/>
      <c r="L380" s="704"/>
      <c r="M380" s="704"/>
      <c r="N380" s="335"/>
      <c r="O380" s="336"/>
    </row>
    <row r="381" spans="1:16" ht="32.25" customHeight="1" x14ac:dyDescent="0.35">
      <c r="A381" s="401" t="s">
        <v>1217</v>
      </c>
      <c r="B381" s="361"/>
      <c r="C381" s="333"/>
      <c r="D381" s="339"/>
      <c r="E381" s="330"/>
      <c r="F381" s="283"/>
      <c r="G381" s="334"/>
      <c r="H381" s="159"/>
      <c r="I381" s="334"/>
      <c r="J381" s="335"/>
      <c r="K381" s="458"/>
      <c r="L381" s="704"/>
      <c r="M381" s="704"/>
      <c r="N381" s="335"/>
      <c r="O381" s="336"/>
    </row>
    <row r="382" spans="1:16" ht="81.75" customHeight="1" x14ac:dyDescent="0.35">
      <c r="A382" s="300" t="s">
        <v>1007</v>
      </c>
      <c r="B382" s="496" t="s">
        <v>50</v>
      </c>
      <c r="C382" s="298" t="s">
        <v>898</v>
      </c>
      <c r="D382" s="298" t="s">
        <v>52</v>
      </c>
      <c r="E382" s="300" t="s">
        <v>49</v>
      </c>
      <c r="F382" s="298" t="s">
        <v>1</v>
      </c>
      <c r="G382" s="300"/>
      <c r="H382" s="298" t="s">
        <v>51</v>
      </c>
      <c r="I382" s="300" t="s">
        <v>2</v>
      </c>
      <c r="J382" s="301" t="s">
        <v>4862</v>
      </c>
      <c r="K382" s="189" t="s">
        <v>5140</v>
      </c>
      <c r="L382" s="623" t="s">
        <v>5132</v>
      </c>
      <c r="M382" s="623" t="s">
        <v>5132</v>
      </c>
      <c r="N382" s="301" t="s">
        <v>1006</v>
      </c>
      <c r="O382" s="300" t="s">
        <v>50</v>
      </c>
    </row>
    <row r="383" spans="1:16" ht="32.25" customHeight="1" x14ac:dyDescent="0.35">
      <c r="A383" s="479" t="s">
        <v>3366</v>
      </c>
      <c r="B383" s="538" t="s">
        <v>3365</v>
      </c>
      <c r="C383" s="165" t="s">
        <v>5</v>
      </c>
      <c r="D383" s="141" t="s">
        <v>1873</v>
      </c>
      <c r="E383" s="237" t="s">
        <v>3363</v>
      </c>
      <c r="F383" s="163" t="s">
        <v>3364</v>
      </c>
      <c r="G383" s="146"/>
      <c r="H383" s="141">
        <v>70110</v>
      </c>
      <c r="I383" s="142" t="s">
        <v>904</v>
      </c>
      <c r="J383" s="488">
        <v>120000000</v>
      </c>
      <c r="K383" s="655">
        <v>49800000</v>
      </c>
      <c r="L383" s="394"/>
      <c r="M383" s="394" t="s">
        <v>5133</v>
      </c>
      <c r="N383" s="177"/>
      <c r="O383" s="362" t="s">
        <v>3365</v>
      </c>
    </row>
    <row r="384" spans="1:16" ht="32.25" customHeight="1" x14ac:dyDescent="0.35">
      <c r="A384" s="332"/>
      <c r="B384" s="360" t="s">
        <v>1008</v>
      </c>
      <c r="C384" s="165"/>
      <c r="D384" s="141"/>
      <c r="E384" s="237"/>
      <c r="F384" s="163"/>
      <c r="G384" s="146"/>
      <c r="H384" s="141"/>
      <c r="I384" s="142"/>
      <c r="J384" s="177">
        <f>SUM(J383)</f>
        <v>120000000</v>
      </c>
      <c r="K384" s="177">
        <f>SUM(K383)</f>
        <v>49800000</v>
      </c>
      <c r="L384" s="189"/>
      <c r="M384" s="189"/>
      <c r="N384" s="177"/>
      <c r="O384" s="178" t="s">
        <v>1008</v>
      </c>
    </row>
    <row r="385" spans="1:17" ht="32.25" customHeight="1" x14ac:dyDescent="0.35">
      <c r="A385" s="342"/>
      <c r="B385" s="361" t="s">
        <v>4726</v>
      </c>
      <c r="C385" s="338"/>
      <c r="D385" s="339"/>
      <c r="E385" s="340"/>
      <c r="F385" s="339"/>
      <c r="G385" s="340"/>
      <c r="H385" s="339"/>
      <c r="I385" s="340"/>
      <c r="J385" s="341">
        <f>J379+J373+J363+J350++J334+J321+J296+J282+J271+J261+J251+J233+J228+J212++J196+J184+J174+J159+J147+J124+J71+J47+J42+J31+J384</f>
        <v>12433527399.788239</v>
      </c>
      <c r="K385" s="341">
        <f>K379+K373+K363+K350++K334+K321+K296+K282+K271+K261+K251+K233+K228+K212++K196+K184+K174+K159+K147+K124+K71+K47+K42+K31+K384</f>
        <v>9348779312.2900009</v>
      </c>
      <c r="L385" s="341">
        <f>SUM(L4:L384)</f>
        <v>4360000000</v>
      </c>
      <c r="M385" s="709"/>
      <c r="N385" s="341">
        <f>N379+N373+N363+N350+N334+N321+N296+N282+N271+N261+N251+N228+N212+N196+N184+N174+N159+N147+N124+N71+N47+N31</f>
        <v>11263266191</v>
      </c>
      <c r="O385" s="230">
        <v>9348948353</v>
      </c>
      <c r="P385" s="231">
        <f>K385-O385</f>
        <v>-169040.70999908447</v>
      </c>
    </row>
    <row r="386" spans="1:17" ht="18" customHeight="1" x14ac:dyDescent="0.35">
      <c r="A386" s="342"/>
      <c r="B386" s="342"/>
      <c r="C386" s="342"/>
      <c r="D386" s="342"/>
      <c r="E386" s="342"/>
      <c r="F386" s="342"/>
      <c r="G386" s="342"/>
      <c r="H386" s="342"/>
      <c r="I386" s="342"/>
      <c r="J386" s="342"/>
      <c r="K386" s="458"/>
      <c r="L386" s="704"/>
      <c r="M386" s="704"/>
      <c r="N386" s="342"/>
      <c r="O386" s="230"/>
    </row>
    <row r="387" spans="1:17" ht="27" hidden="1" customHeight="1" x14ac:dyDescent="0.35">
      <c r="B387" s="361"/>
      <c r="C387" s="333"/>
      <c r="D387" s="339"/>
      <c r="E387" s="330"/>
      <c r="F387" s="283" t="s">
        <v>984</v>
      </c>
      <c r="G387" s="334"/>
      <c r="H387" s="159"/>
      <c r="I387" s="334"/>
      <c r="J387" s="335"/>
      <c r="K387" s="458"/>
      <c r="L387" s="704"/>
      <c r="M387" s="704"/>
      <c r="N387" s="335"/>
      <c r="O387" s="336"/>
      <c r="P387" s="289"/>
      <c r="Q387" s="271"/>
    </row>
    <row r="388" spans="1:17" ht="33.75" customHeight="1" x14ac:dyDescent="0.35">
      <c r="A388" s="230" t="s">
        <v>297</v>
      </c>
      <c r="B388" s="230"/>
      <c r="C388" s="230"/>
      <c r="D388" s="230"/>
      <c r="E388" s="230"/>
      <c r="F388" s="230"/>
      <c r="G388" s="230"/>
      <c r="H388" s="230"/>
      <c r="I388" s="230"/>
      <c r="J388" s="230"/>
      <c r="K388" s="458"/>
      <c r="L388" s="704"/>
      <c r="M388" s="704"/>
      <c r="N388" s="230"/>
      <c r="O388" s="607"/>
    </row>
    <row r="389" spans="1:17" ht="30" customHeight="1" x14ac:dyDescent="0.35">
      <c r="A389" s="428" t="s">
        <v>4600</v>
      </c>
      <c r="B389" s="583"/>
      <c r="C389" s="429"/>
      <c r="D389" s="430"/>
      <c r="E389" s="494"/>
      <c r="F389" s="430"/>
      <c r="G389" s="494"/>
      <c r="H389" s="430"/>
      <c r="I389" s="494"/>
      <c r="J389" s="495"/>
      <c r="K389" s="458"/>
      <c r="L389" s="704"/>
      <c r="M389" s="704"/>
      <c r="N389" s="495"/>
      <c r="O389" s="357"/>
    </row>
    <row r="390" spans="1:17" ht="79.5" customHeight="1" x14ac:dyDescent="0.35">
      <c r="A390" s="187" t="s">
        <v>1007</v>
      </c>
      <c r="B390" s="360" t="s">
        <v>50</v>
      </c>
      <c r="C390" s="175" t="s">
        <v>898</v>
      </c>
      <c r="D390" s="171" t="s">
        <v>52</v>
      </c>
      <c r="E390" s="176" t="s">
        <v>49</v>
      </c>
      <c r="F390" s="171" t="s">
        <v>1</v>
      </c>
      <c r="G390" s="176"/>
      <c r="H390" s="171" t="s">
        <v>51</v>
      </c>
      <c r="I390" s="176" t="s">
        <v>2</v>
      </c>
      <c r="J390" s="177" t="s">
        <v>4862</v>
      </c>
      <c r="K390" s="189" t="s">
        <v>5140</v>
      </c>
      <c r="L390" s="623" t="s">
        <v>5132</v>
      </c>
      <c r="M390" s="623" t="s">
        <v>5132</v>
      </c>
      <c r="N390" s="177" t="s">
        <v>1006</v>
      </c>
      <c r="O390" s="178" t="s">
        <v>50</v>
      </c>
    </row>
    <row r="391" spans="1:17" ht="35.25" customHeight="1" x14ac:dyDescent="0.35">
      <c r="A391" s="427" t="s">
        <v>2810</v>
      </c>
      <c r="B391" s="497" t="s">
        <v>298</v>
      </c>
      <c r="C391" s="363" t="s">
        <v>5</v>
      </c>
      <c r="D391" s="163" t="s">
        <v>4</v>
      </c>
      <c r="E391" s="237" t="s">
        <v>17</v>
      </c>
      <c r="F391" s="163" t="s">
        <v>299</v>
      </c>
      <c r="G391" s="164"/>
      <c r="H391" s="141">
        <v>70620</v>
      </c>
      <c r="I391" s="364" t="s">
        <v>300</v>
      </c>
      <c r="J391" s="166">
        <v>15000000</v>
      </c>
      <c r="K391" s="627">
        <v>5000000</v>
      </c>
      <c r="L391" s="394"/>
      <c r="M391" s="394" t="s">
        <v>5133</v>
      </c>
      <c r="N391" s="277">
        <v>15000000</v>
      </c>
      <c r="O391" s="162" t="s">
        <v>298</v>
      </c>
    </row>
    <row r="392" spans="1:17" ht="35.25" customHeight="1" x14ac:dyDescent="0.35">
      <c r="A392" s="427" t="s">
        <v>2811</v>
      </c>
      <c r="B392" s="497" t="s">
        <v>301</v>
      </c>
      <c r="C392" s="363" t="s">
        <v>5</v>
      </c>
      <c r="D392" s="163" t="s">
        <v>4</v>
      </c>
      <c r="E392" s="237" t="s">
        <v>17</v>
      </c>
      <c r="F392" s="163" t="s">
        <v>299</v>
      </c>
      <c r="G392" s="164"/>
      <c r="H392" s="141">
        <v>70620</v>
      </c>
      <c r="I392" s="364" t="s">
        <v>300</v>
      </c>
      <c r="J392" s="166">
        <v>20000000</v>
      </c>
      <c r="K392" s="627">
        <v>42000000</v>
      </c>
      <c r="L392" s="394"/>
      <c r="M392" s="394" t="s">
        <v>5133</v>
      </c>
      <c r="N392" s="277">
        <v>20000000</v>
      </c>
      <c r="O392" s="162" t="s">
        <v>301</v>
      </c>
    </row>
    <row r="393" spans="1:17" ht="35.25" customHeight="1" x14ac:dyDescent="0.35">
      <c r="A393" s="427" t="s">
        <v>2812</v>
      </c>
      <c r="B393" s="497" t="s">
        <v>302</v>
      </c>
      <c r="C393" s="363" t="s">
        <v>5</v>
      </c>
      <c r="D393" s="163" t="s">
        <v>4</v>
      </c>
      <c r="E393" s="237" t="s">
        <v>17</v>
      </c>
      <c r="F393" s="163" t="s">
        <v>299</v>
      </c>
      <c r="G393" s="164"/>
      <c r="H393" s="141">
        <v>70620</v>
      </c>
      <c r="I393" s="364" t="s">
        <v>300</v>
      </c>
      <c r="J393" s="166">
        <v>10000000</v>
      </c>
      <c r="K393" s="627">
        <v>5000000</v>
      </c>
      <c r="L393" s="394"/>
      <c r="M393" s="394" t="s">
        <v>5133</v>
      </c>
      <c r="N393" s="277">
        <v>10000000</v>
      </c>
      <c r="O393" s="162" t="s">
        <v>302</v>
      </c>
    </row>
    <row r="394" spans="1:17" ht="35.25" customHeight="1" x14ac:dyDescent="0.35">
      <c r="A394" s="427" t="s">
        <v>2813</v>
      </c>
      <c r="B394" s="497" t="s">
        <v>303</v>
      </c>
      <c r="C394" s="363" t="s">
        <v>5</v>
      </c>
      <c r="D394" s="163" t="s">
        <v>4</v>
      </c>
      <c r="E394" s="237" t="s">
        <v>17</v>
      </c>
      <c r="F394" s="163" t="s">
        <v>299</v>
      </c>
      <c r="G394" s="164"/>
      <c r="H394" s="141">
        <v>70620</v>
      </c>
      <c r="I394" s="364" t="s">
        <v>300</v>
      </c>
      <c r="J394" s="166">
        <v>500000</v>
      </c>
      <c r="K394" s="627">
        <v>5000000</v>
      </c>
      <c r="L394" s="394"/>
      <c r="M394" s="394" t="s">
        <v>5133</v>
      </c>
      <c r="N394" s="277">
        <v>30000000</v>
      </c>
      <c r="O394" s="162" t="s">
        <v>303</v>
      </c>
    </row>
    <row r="395" spans="1:17" ht="38.25" customHeight="1" x14ac:dyDescent="0.35">
      <c r="A395" s="427" t="s">
        <v>2814</v>
      </c>
      <c r="B395" s="497" t="s">
        <v>304</v>
      </c>
      <c r="C395" s="363" t="s">
        <v>5</v>
      </c>
      <c r="D395" s="163" t="s">
        <v>4</v>
      </c>
      <c r="E395" s="237" t="s">
        <v>17</v>
      </c>
      <c r="F395" s="163" t="s">
        <v>305</v>
      </c>
      <c r="G395" s="164"/>
      <c r="H395" s="141">
        <v>70620</v>
      </c>
      <c r="I395" s="364" t="s">
        <v>306</v>
      </c>
      <c r="J395" s="166">
        <f>360000000+500000000</f>
        <v>860000000</v>
      </c>
      <c r="K395" s="627">
        <v>219000000</v>
      </c>
      <c r="L395" s="394"/>
      <c r="M395" s="394" t="s">
        <v>5133</v>
      </c>
      <c r="N395" s="277">
        <v>800000000</v>
      </c>
      <c r="O395" s="162" t="s">
        <v>304</v>
      </c>
    </row>
    <row r="396" spans="1:17" ht="48" customHeight="1" x14ac:dyDescent="0.35">
      <c r="A396" s="427" t="s">
        <v>2815</v>
      </c>
      <c r="B396" s="497" t="s">
        <v>307</v>
      </c>
      <c r="C396" s="363" t="s">
        <v>309</v>
      </c>
      <c r="D396" s="163" t="s">
        <v>4</v>
      </c>
      <c r="E396" s="237" t="s">
        <v>17</v>
      </c>
      <c r="F396" s="163" t="s">
        <v>308</v>
      </c>
      <c r="G396" s="164"/>
      <c r="H396" s="141">
        <v>70620</v>
      </c>
      <c r="I396" s="364" t="s">
        <v>311</v>
      </c>
      <c r="J396" s="166">
        <v>500000</v>
      </c>
      <c r="K396" s="627">
        <v>1000000</v>
      </c>
      <c r="L396" s="394"/>
      <c r="M396" s="394" t="s">
        <v>5133</v>
      </c>
      <c r="N396" s="277">
        <v>10000000</v>
      </c>
      <c r="O396" s="162" t="s">
        <v>307</v>
      </c>
    </row>
    <row r="397" spans="1:17" ht="51" customHeight="1" x14ac:dyDescent="0.35">
      <c r="A397" s="427" t="s">
        <v>2816</v>
      </c>
      <c r="B397" s="497" t="s">
        <v>310</v>
      </c>
      <c r="C397" s="363" t="s">
        <v>5</v>
      </c>
      <c r="D397" s="163" t="s">
        <v>4</v>
      </c>
      <c r="E397" s="237" t="s">
        <v>17</v>
      </c>
      <c r="F397" s="163" t="s">
        <v>308</v>
      </c>
      <c r="G397" s="164"/>
      <c r="H397" s="141">
        <v>70620</v>
      </c>
      <c r="I397" s="364" t="s">
        <v>311</v>
      </c>
      <c r="J397" s="166">
        <v>10000000</v>
      </c>
      <c r="K397" s="627">
        <v>2000000</v>
      </c>
      <c r="L397" s="394"/>
      <c r="M397" s="394" t="s">
        <v>5133</v>
      </c>
      <c r="N397" s="277">
        <v>26000000</v>
      </c>
      <c r="O397" s="162" t="s">
        <v>310</v>
      </c>
    </row>
    <row r="398" spans="1:17" ht="30" customHeight="1" x14ac:dyDescent="0.35">
      <c r="A398" s="427" t="s">
        <v>2817</v>
      </c>
      <c r="B398" s="497" t="s">
        <v>2464</v>
      </c>
      <c r="C398" s="363" t="s">
        <v>5</v>
      </c>
      <c r="D398" s="163" t="s">
        <v>4</v>
      </c>
      <c r="E398" s="237" t="s">
        <v>17</v>
      </c>
      <c r="F398" s="163" t="s">
        <v>308</v>
      </c>
      <c r="G398" s="164"/>
      <c r="H398" s="141">
        <v>70620</v>
      </c>
      <c r="I398" s="364" t="s">
        <v>311</v>
      </c>
      <c r="J398" s="166">
        <v>10000000</v>
      </c>
      <c r="K398" s="627">
        <v>5000000</v>
      </c>
      <c r="L398" s="394"/>
      <c r="M398" s="394" t="s">
        <v>5133</v>
      </c>
      <c r="N398" s="277">
        <v>10000000</v>
      </c>
      <c r="O398" s="162" t="s">
        <v>2464</v>
      </c>
    </row>
    <row r="399" spans="1:17" ht="30" customHeight="1" x14ac:dyDescent="0.35">
      <c r="A399" s="427" t="s">
        <v>2818</v>
      </c>
      <c r="B399" s="497" t="s">
        <v>312</v>
      </c>
      <c r="C399" s="363" t="s">
        <v>5</v>
      </c>
      <c r="D399" s="163" t="s">
        <v>4</v>
      </c>
      <c r="E399" s="237" t="s">
        <v>17</v>
      </c>
      <c r="F399" s="163" t="s">
        <v>313</v>
      </c>
      <c r="G399" s="164"/>
      <c r="H399" s="141">
        <v>70620</v>
      </c>
      <c r="I399" s="364" t="s">
        <v>300</v>
      </c>
      <c r="J399" s="166">
        <v>20000000</v>
      </c>
      <c r="K399" s="627">
        <v>10000000</v>
      </c>
      <c r="L399" s="394"/>
      <c r="M399" s="394" t="s">
        <v>5133</v>
      </c>
      <c r="N399" s="277">
        <v>20000000</v>
      </c>
      <c r="O399" s="162" t="s">
        <v>312</v>
      </c>
    </row>
    <row r="400" spans="1:17" ht="30" customHeight="1" x14ac:dyDescent="0.35">
      <c r="A400" s="427" t="s">
        <v>2819</v>
      </c>
      <c r="B400" s="497" t="s">
        <v>314</v>
      </c>
      <c r="C400" s="363" t="s">
        <v>5</v>
      </c>
      <c r="D400" s="163" t="s">
        <v>4</v>
      </c>
      <c r="E400" s="237" t="s">
        <v>17</v>
      </c>
      <c r="F400" s="163" t="s">
        <v>299</v>
      </c>
      <c r="G400" s="164"/>
      <c r="H400" s="141">
        <v>70620</v>
      </c>
      <c r="I400" s="364" t="s">
        <v>300</v>
      </c>
      <c r="J400" s="166">
        <v>20000000</v>
      </c>
      <c r="K400" s="627">
        <v>25000000</v>
      </c>
      <c r="L400" s="394"/>
      <c r="M400" s="394" t="s">
        <v>5133</v>
      </c>
      <c r="N400" s="277">
        <v>20000000</v>
      </c>
      <c r="O400" s="162" t="s">
        <v>314</v>
      </c>
    </row>
    <row r="401" spans="1:15" ht="35.25" customHeight="1" x14ac:dyDescent="0.35">
      <c r="A401" s="427" t="s">
        <v>2820</v>
      </c>
      <c r="B401" s="497" t="s">
        <v>2465</v>
      </c>
      <c r="C401" s="363" t="s">
        <v>5</v>
      </c>
      <c r="D401" s="163" t="s">
        <v>4</v>
      </c>
      <c r="E401" s="237" t="s">
        <v>17</v>
      </c>
      <c r="F401" s="163" t="s">
        <v>313</v>
      </c>
      <c r="G401" s="364"/>
      <c r="H401" s="141">
        <v>70620</v>
      </c>
      <c r="I401" s="142" t="s">
        <v>909</v>
      </c>
      <c r="J401" s="144">
        <v>5000000</v>
      </c>
      <c r="K401" s="627">
        <v>2000000</v>
      </c>
      <c r="L401" s="394"/>
      <c r="M401" s="394" t="s">
        <v>5133</v>
      </c>
      <c r="N401" s="277">
        <v>10000000</v>
      </c>
      <c r="O401" s="162" t="s">
        <v>2465</v>
      </c>
    </row>
    <row r="402" spans="1:15" ht="35.25" customHeight="1" x14ac:dyDescent="0.35">
      <c r="A402" s="427" t="s">
        <v>2821</v>
      </c>
      <c r="B402" s="497" t="s">
        <v>315</v>
      </c>
      <c r="C402" s="363" t="s">
        <v>5</v>
      </c>
      <c r="D402" s="163" t="s">
        <v>4</v>
      </c>
      <c r="E402" s="237" t="s">
        <v>17</v>
      </c>
      <c r="F402" s="163" t="s">
        <v>316</v>
      </c>
      <c r="G402" s="164"/>
      <c r="H402" s="141">
        <v>70620</v>
      </c>
      <c r="I402" s="142" t="s">
        <v>695</v>
      </c>
      <c r="J402" s="144">
        <v>150000000</v>
      </c>
      <c r="K402" s="627">
        <v>47100000</v>
      </c>
      <c r="L402" s="394"/>
      <c r="M402" s="394" t="s">
        <v>5133</v>
      </c>
      <c r="N402" s="277">
        <v>246000000</v>
      </c>
      <c r="O402" s="162" t="s">
        <v>315</v>
      </c>
    </row>
    <row r="403" spans="1:15" ht="35.25" customHeight="1" x14ac:dyDescent="0.35">
      <c r="A403" s="427" t="s">
        <v>2822</v>
      </c>
      <c r="B403" s="497" t="s">
        <v>318</v>
      </c>
      <c r="C403" s="363" t="s">
        <v>5</v>
      </c>
      <c r="D403" s="163" t="s">
        <v>4</v>
      </c>
      <c r="E403" s="237" t="s">
        <v>17</v>
      </c>
      <c r="F403" s="163" t="s">
        <v>105</v>
      </c>
      <c r="G403" s="365"/>
      <c r="H403" s="141">
        <v>70620</v>
      </c>
      <c r="I403" s="142" t="s">
        <v>59</v>
      </c>
      <c r="J403" s="144">
        <v>20000000</v>
      </c>
      <c r="K403" s="627">
        <v>20000000</v>
      </c>
      <c r="L403" s="394"/>
      <c r="M403" s="394" t="s">
        <v>5133</v>
      </c>
      <c r="N403" s="277">
        <v>20000000</v>
      </c>
      <c r="O403" s="162" t="s">
        <v>318</v>
      </c>
    </row>
    <row r="404" spans="1:15" ht="35.25" customHeight="1" x14ac:dyDescent="0.35">
      <c r="A404" s="427" t="s">
        <v>2823</v>
      </c>
      <c r="B404" s="497" t="s">
        <v>319</v>
      </c>
      <c r="C404" s="363" t="s">
        <v>5</v>
      </c>
      <c r="D404" s="163" t="s">
        <v>4</v>
      </c>
      <c r="E404" s="237" t="s">
        <v>17</v>
      </c>
      <c r="F404" s="163" t="s">
        <v>105</v>
      </c>
      <c r="G404" s="164"/>
      <c r="H404" s="141">
        <v>70620</v>
      </c>
      <c r="I404" s="142" t="s">
        <v>59</v>
      </c>
      <c r="J404" s="144">
        <v>10000000</v>
      </c>
      <c r="K404" s="627">
        <v>2000000</v>
      </c>
      <c r="L404" s="394"/>
      <c r="M404" s="394" t="s">
        <v>5133</v>
      </c>
      <c r="N404" s="277">
        <v>30000000</v>
      </c>
      <c r="O404" s="162" t="s">
        <v>319</v>
      </c>
    </row>
    <row r="405" spans="1:15" ht="35.25" customHeight="1" x14ac:dyDescent="0.35">
      <c r="A405" s="427" t="s">
        <v>2824</v>
      </c>
      <c r="B405" s="497" t="s">
        <v>2466</v>
      </c>
      <c r="C405" s="363" t="s">
        <v>5</v>
      </c>
      <c r="D405" s="163" t="s">
        <v>4</v>
      </c>
      <c r="E405" s="237" t="s">
        <v>17</v>
      </c>
      <c r="F405" s="163" t="s">
        <v>110</v>
      </c>
      <c r="G405" s="164"/>
      <c r="H405" s="141">
        <v>70620</v>
      </c>
      <c r="I405" s="142" t="s">
        <v>906</v>
      </c>
      <c r="J405" s="144">
        <v>10000000</v>
      </c>
      <c r="K405" s="627">
        <v>3000000</v>
      </c>
      <c r="L405" s="394"/>
      <c r="M405" s="394" t="s">
        <v>5133</v>
      </c>
      <c r="N405" s="277">
        <v>20000000</v>
      </c>
      <c r="O405" s="162" t="s">
        <v>2466</v>
      </c>
    </row>
    <row r="406" spans="1:15" ht="35.25" customHeight="1" x14ac:dyDescent="0.35">
      <c r="A406" s="427" t="s">
        <v>2825</v>
      </c>
      <c r="B406" s="497" t="s">
        <v>320</v>
      </c>
      <c r="C406" s="363" t="s">
        <v>5</v>
      </c>
      <c r="D406" s="163" t="s">
        <v>4</v>
      </c>
      <c r="E406" s="237" t="s">
        <v>17</v>
      </c>
      <c r="F406" s="163" t="s">
        <v>62</v>
      </c>
      <c r="G406" s="164"/>
      <c r="H406" s="141">
        <v>70620</v>
      </c>
      <c r="I406" s="142" t="s">
        <v>904</v>
      </c>
      <c r="J406" s="144">
        <v>5000000</v>
      </c>
      <c r="K406" s="627">
        <v>1000000</v>
      </c>
      <c r="L406" s="394"/>
      <c r="M406" s="394" t="s">
        <v>5133</v>
      </c>
      <c r="N406" s="277">
        <v>5000000</v>
      </c>
      <c r="O406" s="162" t="s">
        <v>320</v>
      </c>
    </row>
    <row r="407" spans="1:15" ht="35.25" customHeight="1" x14ac:dyDescent="0.35">
      <c r="A407" s="427" t="s">
        <v>2826</v>
      </c>
      <c r="B407" s="497" t="s">
        <v>321</v>
      </c>
      <c r="C407" s="363" t="s">
        <v>5</v>
      </c>
      <c r="D407" s="163" t="s">
        <v>4</v>
      </c>
      <c r="E407" s="237" t="s">
        <v>17</v>
      </c>
      <c r="F407" s="163" t="s">
        <v>62</v>
      </c>
      <c r="G407" s="164"/>
      <c r="H407" s="141">
        <v>70620</v>
      </c>
      <c r="I407" s="142" t="s">
        <v>904</v>
      </c>
      <c r="J407" s="144">
        <v>3000000</v>
      </c>
      <c r="K407" s="627">
        <v>4000000</v>
      </c>
      <c r="L407" s="394"/>
      <c r="M407" s="394" t="s">
        <v>5133</v>
      </c>
      <c r="N407" s="277">
        <v>3000000</v>
      </c>
      <c r="O407" s="162" t="s">
        <v>321</v>
      </c>
    </row>
    <row r="408" spans="1:15" ht="35.25" customHeight="1" x14ac:dyDescent="0.35">
      <c r="A408" s="427" t="s">
        <v>2827</v>
      </c>
      <c r="B408" s="497" t="s">
        <v>322</v>
      </c>
      <c r="C408" s="363" t="s">
        <v>5</v>
      </c>
      <c r="D408" s="163" t="s">
        <v>4</v>
      </c>
      <c r="E408" s="237" t="s">
        <v>17</v>
      </c>
      <c r="F408" s="163" t="s">
        <v>62</v>
      </c>
      <c r="G408" s="164"/>
      <c r="H408" s="141">
        <v>70620</v>
      </c>
      <c r="I408" s="142" t="s">
        <v>904</v>
      </c>
      <c r="J408" s="144">
        <v>456000</v>
      </c>
      <c r="K408" s="627">
        <v>456812</v>
      </c>
      <c r="L408" s="394"/>
      <c r="M408" s="394" t="s">
        <v>5133</v>
      </c>
      <c r="N408" s="277">
        <v>500000</v>
      </c>
      <c r="O408" s="162" t="s">
        <v>322</v>
      </c>
    </row>
    <row r="409" spans="1:15" ht="35.25" customHeight="1" x14ac:dyDescent="0.35">
      <c r="A409" s="427" t="s">
        <v>2828</v>
      </c>
      <c r="B409" s="497" t="s">
        <v>2467</v>
      </c>
      <c r="C409" s="363" t="s">
        <v>5</v>
      </c>
      <c r="D409" s="163" t="s">
        <v>4</v>
      </c>
      <c r="E409" s="237" t="s">
        <v>17</v>
      </c>
      <c r="F409" s="163" t="s">
        <v>62</v>
      </c>
      <c r="G409" s="164"/>
      <c r="H409" s="141">
        <v>70620</v>
      </c>
      <c r="I409" s="142" t="s">
        <v>904</v>
      </c>
      <c r="J409" s="144">
        <v>500000</v>
      </c>
      <c r="K409" s="627">
        <v>5000000</v>
      </c>
      <c r="L409" s="394"/>
      <c r="M409" s="394" t="s">
        <v>5133</v>
      </c>
      <c r="N409" s="277">
        <v>500000</v>
      </c>
      <c r="O409" s="162" t="s">
        <v>2467</v>
      </c>
    </row>
    <row r="410" spans="1:15" ht="35.25" customHeight="1" x14ac:dyDescent="0.35">
      <c r="A410" s="427" t="s">
        <v>2829</v>
      </c>
      <c r="B410" s="497" t="s">
        <v>323</v>
      </c>
      <c r="C410" s="363" t="s">
        <v>5</v>
      </c>
      <c r="D410" s="163" t="s">
        <v>4</v>
      </c>
      <c r="E410" s="237" t="s">
        <v>17</v>
      </c>
      <c r="F410" s="163" t="s">
        <v>324</v>
      </c>
      <c r="G410" s="164"/>
      <c r="H410" s="141">
        <v>70620</v>
      </c>
      <c r="I410" s="142" t="s">
        <v>909</v>
      </c>
      <c r="J410" s="144">
        <v>5944560</v>
      </c>
      <c r="K410" s="627">
        <v>3000000</v>
      </c>
      <c r="L410" s="394"/>
      <c r="M410" s="394" t="s">
        <v>5133</v>
      </c>
      <c r="N410" s="277">
        <v>10000000</v>
      </c>
      <c r="O410" s="162" t="s">
        <v>323</v>
      </c>
    </row>
    <row r="411" spans="1:15" ht="35.25" customHeight="1" x14ac:dyDescent="0.35">
      <c r="A411" s="427" t="s">
        <v>2830</v>
      </c>
      <c r="B411" s="497" t="s">
        <v>325</v>
      </c>
      <c r="C411" s="363" t="s">
        <v>5</v>
      </c>
      <c r="D411" s="163" t="s">
        <v>4</v>
      </c>
      <c r="E411" s="237" t="s">
        <v>17</v>
      </c>
      <c r="F411" s="163" t="s">
        <v>105</v>
      </c>
      <c r="G411" s="164"/>
      <c r="H411" s="141">
        <v>70620</v>
      </c>
      <c r="I411" s="142" t="s">
        <v>59</v>
      </c>
      <c r="J411" s="144">
        <v>4000000</v>
      </c>
      <c r="K411" s="627">
        <v>1000000</v>
      </c>
      <c r="L411" s="394"/>
      <c r="M411" s="394" t="s">
        <v>5133</v>
      </c>
      <c r="N411" s="277">
        <v>5000000</v>
      </c>
      <c r="O411" s="162" t="s">
        <v>325</v>
      </c>
    </row>
    <row r="412" spans="1:15" ht="35.25" customHeight="1" x14ac:dyDescent="0.35">
      <c r="A412" s="427" t="s">
        <v>2831</v>
      </c>
      <c r="B412" s="497" t="s">
        <v>326</v>
      </c>
      <c r="C412" s="363" t="s">
        <v>5</v>
      </c>
      <c r="D412" s="163" t="s">
        <v>4</v>
      </c>
      <c r="E412" s="237" t="s">
        <v>17</v>
      </c>
      <c r="F412" s="163" t="s">
        <v>62</v>
      </c>
      <c r="G412" s="365"/>
      <c r="H412" s="141">
        <v>70620</v>
      </c>
      <c r="I412" s="142" t="s">
        <v>904</v>
      </c>
      <c r="J412" s="144">
        <v>3000000</v>
      </c>
      <c r="K412" s="627">
        <v>1000000</v>
      </c>
      <c r="L412" s="394"/>
      <c r="M412" s="394" t="s">
        <v>5133</v>
      </c>
      <c r="N412" s="277">
        <v>3000000</v>
      </c>
      <c r="O412" s="162" t="s">
        <v>326</v>
      </c>
    </row>
    <row r="413" spans="1:15" ht="35.25" customHeight="1" x14ac:dyDescent="0.35">
      <c r="A413" s="427" t="s">
        <v>2832</v>
      </c>
      <c r="B413" s="497" t="s">
        <v>60</v>
      </c>
      <c r="C413" s="363" t="s">
        <v>5</v>
      </c>
      <c r="D413" s="163" t="s">
        <v>4</v>
      </c>
      <c r="E413" s="237" t="s">
        <v>17</v>
      </c>
      <c r="F413" s="163" t="s">
        <v>983</v>
      </c>
      <c r="G413" s="365"/>
      <c r="H413" s="141">
        <v>70620</v>
      </c>
      <c r="I413" s="142" t="s">
        <v>902</v>
      </c>
      <c r="J413" s="144">
        <v>5000000</v>
      </c>
      <c r="K413" s="627">
        <v>3500000</v>
      </c>
      <c r="L413" s="394"/>
      <c r="M413" s="394" t="s">
        <v>5133</v>
      </c>
      <c r="N413" s="277">
        <v>5000000</v>
      </c>
      <c r="O413" s="162" t="s">
        <v>60</v>
      </c>
    </row>
    <row r="414" spans="1:15" ht="35.25" customHeight="1" x14ac:dyDescent="0.35">
      <c r="A414" s="427" t="s">
        <v>2833</v>
      </c>
      <c r="B414" s="497" t="s">
        <v>2468</v>
      </c>
      <c r="C414" s="363" t="s">
        <v>5</v>
      </c>
      <c r="D414" s="163" t="s">
        <v>4</v>
      </c>
      <c r="E414" s="237" t="s">
        <v>17</v>
      </c>
      <c r="F414" s="163" t="s">
        <v>62</v>
      </c>
      <c r="G414" s="164"/>
      <c r="H414" s="141">
        <v>70620</v>
      </c>
      <c r="I414" s="142" t="s">
        <v>904</v>
      </c>
      <c r="J414" s="144">
        <v>3500000</v>
      </c>
      <c r="K414" s="627">
        <v>3000000</v>
      </c>
      <c r="L414" s="394"/>
      <c r="M414" s="394" t="s">
        <v>5133</v>
      </c>
      <c r="N414" s="277">
        <v>3500000</v>
      </c>
      <c r="O414" s="162" t="s">
        <v>2468</v>
      </c>
    </row>
    <row r="415" spans="1:15" ht="51.75" customHeight="1" x14ac:dyDescent="0.35">
      <c r="A415" s="427" t="s">
        <v>2834</v>
      </c>
      <c r="B415" s="497" t="s">
        <v>2469</v>
      </c>
      <c r="C415" s="363" t="s">
        <v>5</v>
      </c>
      <c r="D415" s="163" t="s">
        <v>4</v>
      </c>
      <c r="E415" s="237" t="s">
        <v>17</v>
      </c>
      <c r="F415" s="163" t="s">
        <v>62</v>
      </c>
      <c r="G415" s="164"/>
      <c r="H415" s="141">
        <v>70620</v>
      </c>
      <c r="I415" s="142" t="s">
        <v>904</v>
      </c>
      <c r="J415" s="144">
        <v>1000000</v>
      </c>
      <c r="K415" s="627">
        <v>1000000</v>
      </c>
      <c r="L415" s="394"/>
      <c r="M415" s="394" t="s">
        <v>5133</v>
      </c>
      <c r="N415" s="277">
        <v>1068321</v>
      </c>
      <c r="O415" s="162" t="s">
        <v>2469</v>
      </c>
    </row>
    <row r="416" spans="1:15" ht="61.5" customHeight="1" x14ac:dyDescent="0.35">
      <c r="A416" s="427" t="s">
        <v>2835</v>
      </c>
      <c r="B416" s="497" t="s">
        <v>2470</v>
      </c>
      <c r="C416" s="363" t="s">
        <v>5</v>
      </c>
      <c r="D416" s="163" t="s">
        <v>4</v>
      </c>
      <c r="E416" s="237" t="s">
        <v>17</v>
      </c>
      <c r="F416" s="163" t="s">
        <v>54</v>
      </c>
      <c r="G416" s="364"/>
      <c r="H416" s="141">
        <v>70620</v>
      </c>
      <c r="I416" s="142" t="s">
        <v>900</v>
      </c>
      <c r="J416" s="144">
        <v>5000000</v>
      </c>
      <c r="K416" s="627">
        <v>1000000</v>
      </c>
      <c r="L416" s="394"/>
      <c r="M416" s="394" t="s">
        <v>5133</v>
      </c>
      <c r="N416" s="277">
        <v>5000000</v>
      </c>
      <c r="O416" s="162" t="s">
        <v>2470</v>
      </c>
    </row>
    <row r="417" spans="1:258" ht="36.75" customHeight="1" x14ac:dyDescent="0.35">
      <c r="A417" s="427" t="s">
        <v>2836</v>
      </c>
      <c r="B417" s="497" t="s">
        <v>327</v>
      </c>
      <c r="C417" s="363" t="s">
        <v>5</v>
      </c>
      <c r="D417" s="163" t="s">
        <v>4</v>
      </c>
      <c r="E417" s="237" t="s">
        <v>17</v>
      </c>
      <c r="F417" s="163" t="s">
        <v>54</v>
      </c>
      <c r="G417" s="364"/>
      <c r="H417" s="141">
        <v>70620</v>
      </c>
      <c r="I417" s="142" t="s">
        <v>900</v>
      </c>
      <c r="J417" s="676">
        <v>4000000</v>
      </c>
      <c r="K417" s="627">
        <v>2000000</v>
      </c>
      <c r="L417" s="394"/>
      <c r="M417" s="394" t="s">
        <v>5133</v>
      </c>
      <c r="N417" s="677">
        <v>4000000</v>
      </c>
      <c r="O417" s="162" t="s">
        <v>327</v>
      </c>
    </row>
    <row r="418" spans="1:258" s="247" customFormat="1" ht="39" customHeight="1" x14ac:dyDescent="0.3">
      <c r="A418" s="245"/>
      <c r="B418" s="360" t="s">
        <v>2479</v>
      </c>
      <c r="C418" s="188"/>
      <c r="D418" s="257"/>
      <c r="E418" s="273"/>
      <c r="F418" s="257" t="s">
        <v>984</v>
      </c>
      <c r="G418" s="273"/>
      <c r="H418" s="257"/>
      <c r="I418" s="273"/>
      <c r="J418" s="259">
        <f>SUM(J391:J417)</f>
        <v>1201400560</v>
      </c>
      <c r="K418" s="259">
        <f>SUM(K391:K417)</f>
        <v>419056812</v>
      </c>
      <c r="L418" s="707"/>
      <c r="M418" s="707"/>
      <c r="N418" s="259">
        <f>SUM(N391:N417)</f>
        <v>1332568321</v>
      </c>
      <c r="O418" s="245" t="s">
        <v>2479</v>
      </c>
      <c r="P418" s="246">
        <f>K418+K427</f>
        <v>428556812</v>
      </c>
    </row>
    <row r="419" spans="1:258" ht="18" customHeight="1" x14ac:dyDescent="0.35">
      <c r="A419" s="498"/>
      <c r="B419" s="499"/>
      <c r="C419" s="366"/>
      <c r="D419" s="283"/>
      <c r="E419" s="330"/>
      <c r="F419" s="283"/>
      <c r="G419" s="367"/>
      <c r="H419" s="154"/>
      <c r="I419" s="350"/>
      <c r="J419" s="351"/>
      <c r="K419" s="458"/>
      <c r="L419" s="704"/>
      <c r="M419" s="704"/>
      <c r="N419" s="157"/>
      <c r="O419" s="368"/>
    </row>
    <row r="420" spans="1:258" x14ac:dyDescent="0.35">
      <c r="A420" s="498"/>
      <c r="B420" s="499"/>
      <c r="C420" s="366"/>
      <c r="D420" s="283"/>
      <c r="E420" s="330"/>
      <c r="F420" s="283"/>
      <c r="G420" s="367"/>
      <c r="H420" s="154"/>
      <c r="I420" s="350"/>
      <c r="J420" s="351"/>
      <c r="K420" s="458"/>
      <c r="L420" s="704"/>
      <c r="M420" s="704"/>
      <c r="N420" s="157"/>
      <c r="O420" s="368"/>
    </row>
    <row r="421" spans="1:258" s="415" customFormat="1" ht="69" customHeight="1" x14ac:dyDescent="0.3">
      <c r="A421" s="619" t="s">
        <v>317</v>
      </c>
      <c r="B421" s="370"/>
      <c r="C421" s="370"/>
      <c r="D421" s="370"/>
      <c r="E421" s="370"/>
      <c r="F421" s="370"/>
      <c r="G421" s="370"/>
      <c r="H421" s="370"/>
      <c r="I421" s="370"/>
      <c r="J421" s="370"/>
      <c r="K421" s="630"/>
      <c r="L421" s="710"/>
      <c r="M421" s="710"/>
      <c r="N421" s="370"/>
      <c r="O421" s="370"/>
      <c r="P421" s="370"/>
      <c r="Q421" s="370"/>
      <c r="R421" s="370"/>
      <c r="S421" s="370"/>
      <c r="T421" s="370"/>
      <c r="U421" s="370"/>
      <c r="V421" s="370"/>
      <c r="W421" s="370"/>
      <c r="X421" s="370"/>
      <c r="Y421" s="370"/>
      <c r="Z421" s="370"/>
      <c r="AA421" s="370"/>
      <c r="AB421" s="370"/>
      <c r="AC421" s="370"/>
      <c r="AD421" s="370"/>
      <c r="AE421" s="370"/>
      <c r="AF421" s="370"/>
      <c r="AG421" s="370"/>
      <c r="AH421" s="370"/>
      <c r="AI421" s="370"/>
      <c r="AJ421" s="370"/>
      <c r="AK421" s="370"/>
      <c r="AL421" s="370"/>
      <c r="AM421" s="370"/>
      <c r="AN421" s="370"/>
      <c r="AO421" s="370"/>
      <c r="AP421" s="370"/>
      <c r="AQ421" s="370"/>
      <c r="AR421" s="370"/>
      <c r="AS421" s="370"/>
      <c r="AT421" s="370"/>
      <c r="AU421" s="370"/>
      <c r="AV421" s="370"/>
      <c r="AW421" s="370"/>
      <c r="AX421" s="370"/>
      <c r="AY421" s="370"/>
      <c r="AZ421" s="370"/>
      <c r="BA421" s="370"/>
      <c r="BB421" s="370"/>
      <c r="BC421" s="370"/>
      <c r="BD421" s="370"/>
      <c r="BE421" s="370"/>
      <c r="BF421" s="370"/>
      <c r="BG421" s="370"/>
      <c r="BH421" s="370"/>
      <c r="BI421" s="370"/>
      <c r="BJ421" s="370"/>
      <c r="BK421" s="370"/>
      <c r="BL421" s="370"/>
      <c r="BM421" s="370"/>
      <c r="BN421" s="370"/>
      <c r="BO421" s="370"/>
      <c r="BP421" s="370"/>
      <c r="BQ421" s="370"/>
      <c r="BR421" s="370"/>
      <c r="BS421" s="370"/>
      <c r="BT421" s="370"/>
      <c r="BU421" s="370"/>
      <c r="BV421" s="370"/>
      <c r="BW421" s="370"/>
      <c r="BX421" s="370"/>
      <c r="BY421" s="370"/>
      <c r="BZ421" s="370"/>
      <c r="CA421" s="370"/>
      <c r="CB421" s="370"/>
      <c r="CC421" s="370"/>
      <c r="CD421" s="370"/>
      <c r="CE421" s="370"/>
      <c r="CF421" s="370"/>
      <c r="CG421" s="370"/>
      <c r="CH421" s="370"/>
      <c r="CI421" s="370"/>
      <c r="CJ421" s="370"/>
      <c r="CK421" s="370"/>
      <c r="CL421" s="370"/>
      <c r="CM421" s="370"/>
      <c r="CN421" s="370"/>
      <c r="CO421" s="370"/>
      <c r="CP421" s="370"/>
      <c r="CQ421" s="370"/>
      <c r="CR421" s="370"/>
      <c r="CS421" s="370"/>
      <c r="CT421" s="370"/>
      <c r="CU421" s="370"/>
      <c r="CV421" s="370"/>
      <c r="CW421" s="370"/>
      <c r="CX421" s="370"/>
      <c r="CY421" s="370"/>
      <c r="CZ421" s="370"/>
      <c r="DA421" s="370"/>
      <c r="DB421" s="370"/>
      <c r="DC421" s="370"/>
      <c r="DD421" s="370"/>
      <c r="DE421" s="370"/>
      <c r="DF421" s="370"/>
      <c r="DG421" s="370"/>
      <c r="DH421" s="370"/>
      <c r="DI421" s="370"/>
      <c r="DJ421" s="370"/>
      <c r="DK421" s="370"/>
      <c r="DL421" s="370"/>
      <c r="DM421" s="370"/>
      <c r="DN421" s="370"/>
      <c r="DO421" s="370"/>
      <c r="DP421" s="370"/>
      <c r="DQ421" s="370"/>
      <c r="DR421" s="370"/>
      <c r="DS421" s="370"/>
      <c r="DT421" s="370"/>
      <c r="DU421" s="370"/>
      <c r="DV421" s="370"/>
      <c r="DW421" s="370"/>
      <c r="DX421" s="370"/>
      <c r="DY421" s="370"/>
      <c r="DZ421" s="370"/>
      <c r="EA421" s="370"/>
      <c r="EB421" s="370"/>
      <c r="EC421" s="370"/>
      <c r="ED421" s="370"/>
      <c r="EE421" s="370"/>
      <c r="EF421" s="370"/>
      <c r="EG421" s="370"/>
      <c r="EH421" s="370"/>
      <c r="EI421" s="370"/>
      <c r="EJ421" s="370"/>
      <c r="EK421" s="370"/>
      <c r="EL421" s="370"/>
      <c r="EM421" s="370"/>
      <c r="EN421" s="370"/>
      <c r="EO421" s="370"/>
      <c r="EP421" s="370"/>
      <c r="EQ421" s="370"/>
      <c r="ER421" s="370"/>
      <c r="ES421" s="370"/>
      <c r="ET421" s="370"/>
      <c r="EU421" s="370"/>
      <c r="EV421" s="370"/>
      <c r="EW421" s="370"/>
      <c r="EX421" s="370"/>
      <c r="EY421" s="370"/>
      <c r="EZ421" s="370"/>
      <c r="FA421" s="370"/>
      <c r="FB421" s="370"/>
      <c r="FC421" s="370"/>
      <c r="FD421" s="370"/>
      <c r="FE421" s="370"/>
      <c r="FF421" s="370"/>
      <c r="FG421" s="370"/>
      <c r="FH421" s="370"/>
      <c r="FI421" s="370"/>
      <c r="FJ421" s="370"/>
      <c r="FK421" s="370"/>
      <c r="FL421" s="370"/>
      <c r="FM421" s="370"/>
      <c r="FN421" s="370"/>
      <c r="FO421" s="370"/>
      <c r="FP421" s="370"/>
      <c r="FQ421" s="370"/>
      <c r="FR421" s="370"/>
      <c r="FS421" s="370"/>
      <c r="FT421" s="370"/>
      <c r="FU421" s="370"/>
      <c r="FV421" s="370"/>
      <c r="FW421" s="370"/>
      <c r="FX421" s="370"/>
      <c r="FY421" s="370"/>
      <c r="FZ421" s="370"/>
      <c r="GA421" s="370"/>
      <c r="GB421" s="370"/>
      <c r="GC421" s="370"/>
      <c r="GD421" s="370"/>
      <c r="GE421" s="370"/>
      <c r="GF421" s="370"/>
      <c r="GG421" s="370"/>
      <c r="GH421" s="370"/>
      <c r="GI421" s="370"/>
      <c r="GJ421" s="370"/>
      <c r="GK421" s="370"/>
      <c r="GL421" s="370"/>
      <c r="GM421" s="370"/>
      <c r="GN421" s="370"/>
      <c r="GO421" s="370"/>
      <c r="GP421" s="370"/>
      <c r="GQ421" s="370"/>
      <c r="GR421" s="370"/>
      <c r="GS421" s="370"/>
      <c r="GT421" s="370"/>
      <c r="GU421" s="370"/>
      <c r="GV421" s="370"/>
      <c r="GW421" s="370"/>
      <c r="GX421" s="370"/>
      <c r="GY421" s="370"/>
      <c r="GZ421" s="370"/>
      <c r="HA421" s="370"/>
      <c r="HB421" s="370"/>
      <c r="HC421" s="370"/>
      <c r="HD421" s="370"/>
      <c r="HE421" s="370"/>
      <c r="HF421" s="370"/>
      <c r="HG421" s="370"/>
      <c r="HH421" s="370"/>
      <c r="HI421" s="370"/>
      <c r="HJ421" s="370"/>
      <c r="HK421" s="370"/>
      <c r="HL421" s="370"/>
      <c r="HM421" s="370"/>
      <c r="HN421" s="370"/>
      <c r="HO421" s="370"/>
      <c r="HP421" s="370"/>
      <c r="HQ421" s="370"/>
      <c r="HR421" s="370"/>
      <c r="HS421" s="370"/>
      <c r="HT421" s="370"/>
      <c r="HU421" s="370"/>
      <c r="HV421" s="370"/>
      <c r="HW421" s="370"/>
      <c r="HX421" s="370"/>
      <c r="HY421" s="370"/>
      <c r="HZ421" s="370"/>
      <c r="IA421" s="370"/>
      <c r="IB421" s="370"/>
      <c r="IC421" s="370"/>
      <c r="ID421" s="370"/>
      <c r="IE421" s="370"/>
      <c r="IF421" s="370"/>
      <c r="IG421" s="370"/>
      <c r="IH421" s="370"/>
      <c r="II421" s="370"/>
      <c r="IJ421" s="370"/>
      <c r="IK421" s="370"/>
      <c r="IL421" s="370"/>
      <c r="IM421" s="370"/>
      <c r="IN421" s="370"/>
      <c r="IO421" s="370"/>
      <c r="IP421" s="370"/>
      <c r="IQ421" s="370"/>
      <c r="IR421" s="370"/>
      <c r="IS421" s="370"/>
      <c r="IT421" s="370"/>
      <c r="IU421" s="370"/>
      <c r="IV421" s="370"/>
      <c r="IW421" s="370"/>
      <c r="IX421" s="370"/>
    </row>
    <row r="422" spans="1:258" s="370" customFormat="1" ht="75.75" customHeight="1" x14ac:dyDescent="0.3">
      <c r="A422" s="178" t="s">
        <v>1007</v>
      </c>
      <c r="B422" s="360" t="s">
        <v>50</v>
      </c>
      <c r="C422" s="175" t="s">
        <v>898</v>
      </c>
      <c r="D422" s="326" t="s">
        <v>52</v>
      </c>
      <c r="E422" s="178" t="s">
        <v>49</v>
      </c>
      <c r="F422" s="326" t="s">
        <v>1</v>
      </c>
      <c r="G422" s="178"/>
      <c r="H422" s="326" t="s">
        <v>51</v>
      </c>
      <c r="I422" s="178" t="s">
        <v>2</v>
      </c>
      <c r="J422" s="327" t="s">
        <v>4862</v>
      </c>
      <c r="K422" s="189" t="s">
        <v>5140</v>
      </c>
      <c r="L422" s="623" t="s">
        <v>5132</v>
      </c>
      <c r="M422" s="623" t="s">
        <v>5132</v>
      </c>
      <c r="N422" s="327" t="s">
        <v>1006</v>
      </c>
      <c r="O422" s="178" t="s">
        <v>50</v>
      </c>
      <c r="P422" s="369"/>
    </row>
    <row r="423" spans="1:258" ht="27" customHeight="1" x14ac:dyDescent="0.35">
      <c r="A423" s="427" t="s">
        <v>2837</v>
      </c>
      <c r="B423" s="497" t="s">
        <v>118</v>
      </c>
      <c r="C423" s="371" t="s">
        <v>1074</v>
      </c>
      <c r="D423" s="145" t="s">
        <v>4</v>
      </c>
      <c r="E423" s="142" t="s">
        <v>2480</v>
      </c>
      <c r="F423" s="163" t="s">
        <v>62</v>
      </c>
      <c r="G423" s="164"/>
      <c r="H423" s="372" t="s">
        <v>2481</v>
      </c>
      <c r="I423" s="142"/>
      <c r="J423" s="144">
        <v>5000000</v>
      </c>
      <c r="K423" s="627">
        <v>1000000</v>
      </c>
      <c r="L423" s="394"/>
      <c r="M423" s="394" t="s">
        <v>5133</v>
      </c>
      <c r="N423" s="616">
        <v>12000000</v>
      </c>
      <c r="O423" s="162" t="s">
        <v>118</v>
      </c>
    </row>
    <row r="424" spans="1:258" ht="23.25" customHeight="1" x14ac:dyDescent="0.35">
      <c r="A424" s="427" t="s">
        <v>2838</v>
      </c>
      <c r="B424" s="497" t="s">
        <v>119</v>
      </c>
      <c r="C424" s="371" t="s">
        <v>1074</v>
      </c>
      <c r="D424" s="145" t="s">
        <v>4</v>
      </c>
      <c r="E424" s="142" t="s">
        <v>2480</v>
      </c>
      <c r="F424" s="163" t="s">
        <v>62</v>
      </c>
      <c r="G424" s="164"/>
      <c r="H424" s="372" t="s">
        <v>2481</v>
      </c>
      <c r="I424" s="142"/>
      <c r="J424" s="144">
        <v>2000000</v>
      </c>
      <c r="K424" s="627">
        <v>3500000</v>
      </c>
      <c r="L424" s="394"/>
      <c r="M424" s="394" t="s">
        <v>5133</v>
      </c>
      <c r="N424" s="617"/>
      <c r="O424" s="162" t="s">
        <v>119</v>
      </c>
    </row>
    <row r="425" spans="1:258" ht="23.25" customHeight="1" x14ac:dyDescent="0.35">
      <c r="A425" s="427" t="s">
        <v>2839</v>
      </c>
      <c r="B425" s="497" t="s">
        <v>60</v>
      </c>
      <c r="C425" s="371" t="s">
        <v>1074</v>
      </c>
      <c r="D425" s="145" t="s">
        <v>4</v>
      </c>
      <c r="E425" s="142" t="s">
        <v>2480</v>
      </c>
      <c r="F425" s="163" t="str">
        <f>F413</f>
        <v>00031050418</v>
      </c>
      <c r="G425" s="164"/>
      <c r="H425" s="372" t="s">
        <v>2481</v>
      </c>
      <c r="I425" s="142"/>
      <c r="J425" s="144">
        <v>1000000</v>
      </c>
      <c r="K425" s="627">
        <v>2500000</v>
      </c>
      <c r="L425" s="394"/>
      <c r="M425" s="394" t="s">
        <v>5133</v>
      </c>
      <c r="N425" s="617"/>
      <c r="O425" s="162" t="s">
        <v>60</v>
      </c>
    </row>
    <row r="426" spans="1:258" ht="23.25" customHeight="1" x14ac:dyDescent="0.35">
      <c r="A426" s="427" t="s">
        <v>2840</v>
      </c>
      <c r="B426" s="497" t="s">
        <v>4948</v>
      </c>
      <c r="C426" s="371" t="s">
        <v>1074</v>
      </c>
      <c r="D426" s="145" t="s">
        <v>4</v>
      </c>
      <c r="E426" s="142" t="s">
        <v>2480</v>
      </c>
      <c r="F426" s="163" t="s">
        <v>299</v>
      </c>
      <c r="G426" s="164"/>
      <c r="H426" s="372" t="s">
        <v>2481</v>
      </c>
      <c r="I426" s="142"/>
      <c r="J426" s="144">
        <v>4000000</v>
      </c>
      <c r="K426" s="627">
        <v>2500000</v>
      </c>
      <c r="L426" s="394"/>
      <c r="M426" s="394" t="s">
        <v>5133</v>
      </c>
      <c r="N426" s="618"/>
      <c r="O426" s="162" t="s">
        <v>2482</v>
      </c>
    </row>
    <row r="427" spans="1:258" ht="23.25" customHeight="1" x14ac:dyDescent="0.35">
      <c r="A427" s="245"/>
      <c r="B427" s="360" t="s">
        <v>2479</v>
      </c>
      <c r="C427" s="188"/>
      <c r="D427" s="373"/>
      <c r="E427" s="245"/>
      <c r="F427" s="373"/>
      <c r="G427" s="245"/>
      <c r="H427" s="373"/>
      <c r="I427" s="245"/>
      <c r="J427" s="374">
        <f>SUM(J423:J426)</f>
        <v>12000000</v>
      </c>
      <c r="K427" s="374">
        <f>SUM(K423:K426)</f>
        <v>9500000</v>
      </c>
      <c r="L427" s="707"/>
      <c r="M427" s="707"/>
      <c r="N427" s="374">
        <f>J427</f>
        <v>12000000</v>
      </c>
      <c r="O427" s="245" t="s">
        <v>2479</v>
      </c>
      <c r="P427" s="310"/>
      <c r="Q427" s="245"/>
      <c r="R427" s="245"/>
    </row>
    <row r="428" spans="1:258" s="247" customFormat="1" ht="22.5" x14ac:dyDescent="0.3">
      <c r="A428" s="342"/>
      <c r="B428" s="361"/>
      <c r="C428" s="338"/>
      <c r="D428" s="544"/>
      <c r="E428" s="342"/>
      <c r="F428" s="544"/>
      <c r="G428" s="342"/>
      <c r="H428" s="544"/>
      <c r="I428" s="342"/>
      <c r="J428" s="545"/>
      <c r="K428" s="628"/>
      <c r="L428" s="706"/>
      <c r="M428" s="706"/>
      <c r="N428" s="545"/>
      <c r="O428" s="245"/>
      <c r="P428" s="310"/>
      <c r="Q428" s="245"/>
      <c r="R428" s="245"/>
    </row>
    <row r="429" spans="1:258" ht="40.5" hidden="1" customHeight="1" x14ac:dyDescent="0.35">
      <c r="A429" s="401" t="s">
        <v>2621</v>
      </c>
      <c r="B429" s="716"/>
      <c r="C429" s="402"/>
      <c r="D429" s="403"/>
      <c r="E429" s="404"/>
      <c r="F429" s="403"/>
      <c r="G429" s="404"/>
      <c r="H429" s="403"/>
      <c r="I429" s="404"/>
      <c r="J429" s="405"/>
      <c r="K429" s="458"/>
      <c r="L429" s="704"/>
      <c r="M429" s="704"/>
      <c r="N429" s="405"/>
      <c r="O429" s="600"/>
    </row>
    <row r="430" spans="1:258" ht="31.5" customHeight="1" x14ac:dyDescent="0.35">
      <c r="A430" s="401" t="s">
        <v>2603</v>
      </c>
      <c r="B430" s="716"/>
      <c r="C430" s="402"/>
      <c r="D430" s="403"/>
      <c r="E430" s="404"/>
      <c r="F430" s="403"/>
      <c r="G430" s="404"/>
      <c r="H430" s="403"/>
      <c r="I430" s="404"/>
      <c r="J430" s="405"/>
      <c r="K430" s="458"/>
      <c r="L430" s="704"/>
      <c r="M430" s="704"/>
      <c r="N430" s="405"/>
      <c r="O430" s="357"/>
    </row>
    <row r="431" spans="1:258" s="235" customFormat="1" ht="51" customHeight="1" x14ac:dyDescent="0.35">
      <c r="A431" s="187" t="s">
        <v>1007</v>
      </c>
      <c r="B431" s="360" t="s">
        <v>50</v>
      </c>
      <c r="C431" s="175" t="s">
        <v>898</v>
      </c>
      <c r="D431" s="175" t="s">
        <v>52</v>
      </c>
      <c r="E431" s="187" t="s">
        <v>49</v>
      </c>
      <c r="F431" s="175" t="s">
        <v>1</v>
      </c>
      <c r="G431" s="187"/>
      <c r="H431" s="175" t="s">
        <v>51</v>
      </c>
      <c r="I431" s="187" t="s">
        <v>2</v>
      </c>
      <c r="J431" s="189" t="s">
        <v>4862</v>
      </c>
      <c r="K431" s="189" t="s">
        <v>5140</v>
      </c>
      <c r="L431" s="623" t="s">
        <v>5132</v>
      </c>
      <c r="M431" s="623" t="s">
        <v>5132</v>
      </c>
      <c r="N431" s="189" t="s">
        <v>1006</v>
      </c>
      <c r="O431" s="187" t="s">
        <v>50</v>
      </c>
      <c r="P431" s="234"/>
    </row>
    <row r="432" spans="1:258" ht="32.25" customHeight="1" x14ac:dyDescent="0.35">
      <c r="A432" s="272" t="s">
        <v>2841</v>
      </c>
      <c r="B432" s="497" t="s">
        <v>119</v>
      </c>
      <c r="C432" s="165" t="s">
        <v>5</v>
      </c>
      <c r="D432" s="163" t="s">
        <v>4</v>
      </c>
      <c r="E432" s="237" t="s">
        <v>23</v>
      </c>
      <c r="F432" s="375" t="s">
        <v>54</v>
      </c>
      <c r="G432" s="164"/>
      <c r="H432" s="253">
        <v>70850</v>
      </c>
      <c r="I432" s="142" t="s">
        <v>900</v>
      </c>
      <c r="J432" s="488">
        <v>12000000</v>
      </c>
      <c r="K432" s="627"/>
      <c r="L432" s="394"/>
      <c r="M432" s="394" t="s">
        <v>5133</v>
      </c>
      <c r="N432" s="161">
        <v>12000000</v>
      </c>
      <c r="O432" s="162" t="s">
        <v>119</v>
      </c>
    </row>
    <row r="433" spans="1:15" ht="32.25" customHeight="1" x14ac:dyDescent="0.35">
      <c r="A433" s="272" t="s">
        <v>2842</v>
      </c>
      <c r="B433" s="497" t="s">
        <v>118</v>
      </c>
      <c r="C433" s="165" t="s">
        <v>5</v>
      </c>
      <c r="D433" s="163" t="s">
        <v>4</v>
      </c>
      <c r="E433" s="237" t="s">
        <v>23</v>
      </c>
      <c r="F433" s="375" t="s">
        <v>62</v>
      </c>
      <c r="G433" s="364"/>
      <c r="H433" s="253">
        <v>70850</v>
      </c>
      <c r="I433" s="142" t="s">
        <v>904</v>
      </c>
      <c r="J433" s="488">
        <v>9000000</v>
      </c>
      <c r="K433" s="627"/>
      <c r="L433" s="394"/>
      <c r="M433" s="394" t="s">
        <v>5133</v>
      </c>
      <c r="N433" s="161">
        <v>9000000</v>
      </c>
      <c r="O433" s="162" t="s">
        <v>118</v>
      </c>
    </row>
    <row r="434" spans="1:15" ht="32.25" customHeight="1" x14ac:dyDescent="0.35">
      <c r="A434" s="272" t="s">
        <v>2843</v>
      </c>
      <c r="B434" s="497" t="s">
        <v>328</v>
      </c>
      <c r="C434" s="165" t="s">
        <v>5</v>
      </c>
      <c r="D434" s="163" t="s">
        <v>4</v>
      </c>
      <c r="E434" s="237" t="s">
        <v>23</v>
      </c>
      <c r="F434" s="375" t="s">
        <v>54</v>
      </c>
      <c r="G434" s="164"/>
      <c r="H434" s="253">
        <v>70850</v>
      </c>
      <c r="I434" s="142" t="s">
        <v>900</v>
      </c>
      <c r="J434" s="488">
        <v>1000000</v>
      </c>
      <c r="K434" s="627"/>
      <c r="L434" s="394"/>
      <c r="M434" s="394" t="s">
        <v>5133</v>
      </c>
      <c r="N434" s="161">
        <v>1058000</v>
      </c>
      <c r="O434" s="162" t="s">
        <v>328</v>
      </c>
    </row>
    <row r="435" spans="1:15" ht="32.25" customHeight="1" x14ac:dyDescent="0.35">
      <c r="A435" s="272" t="s">
        <v>2844</v>
      </c>
      <c r="B435" s="497" t="s">
        <v>935</v>
      </c>
      <c r="C435" s="165" t="s">
        <v>5</v>
      </c>
      <c r="D435" s="163" t="s">
        <v>4</v>
      </c>
      <c r="E435" s="237" t="s">
        <v>23</v>
      </c>
      <c r="F435" s="375" t="s">
        <v>54</v>
      </c>
      <c r="G435" s="164"/>
      <c r="H435" s="253">
        <v>70850</v>
      </c>
      <c r="I435" s="142" t="s">
        <v>900</v>
      </c>
      <c r="J435" s="488">
        <v>5000000</v>
      </c>
      <c r="K435" s="627">
        <v>4000000</v>
      </c>
      <c r="L435" s="394"/>
      <c r="M435" s="394" t="s">
        <v>5133</v>
      </c>
      <c r="N435" s="161">
        <v>6400000</v>
      </c>
      <c r="O435" s="162" t="s">
        <v>935</v>
      </c>
    </row>
    <row r="436" spans="1:15" ht="32.25" customHeight="1" x14ac:dyDescent="0.35">
      <c r="A436" s="272" t="s">
        <v>2845</v>
      </c>
      <c r="B436" s="497" t="s">
        <v>2604</v>
      </c>
      <c r="C436" s="363" t="s">
        <v>5</v>
      </c>
      <c r="D436" s="163" t="s">
        <v>4</v>
      </c>
      <c r="E436" s="169" t="s">
        <v>23</v>
      </c>
      <c r="F436" s="375" t="s">
        <v>56</v>
      </c>
      <c r="G436" s="376"/>
      <c r="H436" s="253">
        <v>70850</v>
      </c>
      <c r="I436" s="153" t="s">
        <v>901</v>
      </c>
      <c r="J436" s="488">
        <v>2000000</v>
      </c>
      <c r="K436" s="627">
        <v>1000000</v>
      </c>
      <c r="L436" s="394"/>
      <c r="M436" s="394" t="s">
        <v>5133</v>
      </c>
      <c r="N436" s="161">
        <v>2600000</v>
      </c>
      <c r="O436" s="162" t="s">
        <v>2604</v>
      </c>
    </row>
    <row r="437" spans="1:15" ht="32.25" customHeight="1" x14ac:dyDescent="0.35">
      <c r="A437" s="272" t="s">
        <v>2846</v>
      </c>
      <c r="B437" s="497" t="s">
        <v>60</v>
      </c>
      <c r="C437" s="363" t="s">
        <v>5</v>
      </c>
      <c r="D437" s="163" t="s">
        <v>4</v>
      </c>
      <c r="E437" s="237" t="s">
        <v>23</v>
      </c>
      <c r="F437" s="377" t="s">
        <v>549</v>
      </c>
      <c r="G437" s="164"/>
      <c r="H437" s="253">
        <v>70850</v>
      </c>
      <c r="I437" s="142" t="s">
        <v>902</v>
      </c>
      <c r="J437" s="488">
        <v>7000000</v>
      </c>
      <c r="K437" s="627">
        <v>7000000</v>
      </c>
      <c r="L437" s="394"/>
      <c r="M437" s="394" t="s">
        <v>5133</v>
      </c>
      <c r="N437" s="161">
        <v>7000000</v>
      </c>
      <c r="O437" s="162" t="s">
        <v>60</v>
      </c>
    </row>
    <row r="438" spans="1:15" ht="32.25" customHeight="1" x14ac:dyDescent="0.35">
      <c r="A438" s="272" t="s">
        <v>2847</v>
      </c>
      <c r="B438" s="497" t="s">
        <v>2605</v>
      </c>
      <c r="C438" s="363" t="s">
        <v>5</v>
      </c>
      <c r="D438" s="163" t="s">
        <v>4</v>
      </c>
      <c r="E438" s="237" t="s">
        <v>23</v>
      </c>
      <c r="F438" s="375" t="s">
        <v>988</v>
      </c>
      <c r="G438" s="365"/>
      <c r="H438" s="253">
        <v>70850</v>
      </c>
      <c r="I438" s="142" t="s">
        <v>907</v>
      </c>
      <c r="J438" s="488">
        <v>1576295</v>
      </c>
      <c r="K438" s="627"/>
      <c r="L438" s="394"/>
      <c r="M438" s="394" t="s">
        <v>5133</v>
      </c>
      <c r="N438" s="161">
        <v>1630000</v>
      </c>
      <c r="O438" s="162" t="s">
        <v>2605</v>
      </c>
    </row>
    <row r="439" spans="1:15" ht="32.25" customHeight="1" x14ac:dyDescent="0.35">
      <c r="A439" s="272" t="s">
        <v>2848</v>
      </c>
      <c r="B439" s="497" t="s">
        <v>2606</v>
      </c>
      <c r="C439" s="363" t="s">
        <v>5</v>
      </c>
      <c r="D439" s="163" t="s">
        <v>4</v>
      </c>
      <c r="E439" s="237" t="s">
        <v>23</v>
      </c>
      <c r="F439" s="375" t="s">
        <v>2620</v>
      </c>
      <c r="G439" s="164"/>
      <c r="H439" s="253">
        <v>70850</v>
      </c>
      <c r="I439" s="364" t="s">
        <v>329</v>
      </c>
      <c r="J439" s="488">
        <v>10000000</v>
      </c>
      <c r="K439" s="627">
        <v>5000000</v>
      </c>
      <c r="L439" s="394"/>
      <c r="M439" s="394" t="s">
        <v>5133</v>
      </c>
      <c r="N439" s="161">
        <v>30000000</v>
      </c>
      <c r="O439" s="162" t="s">
        <v>2606</v>
      </c>
    </row>
    <row r="440" spans="1:15" ht="26.25" customHeight="1" x14ac:dyDescent="0.35">
      <c r="A440" s="272" t="s">
        <v>2849</v>
      </c>
      <c r="B440" s="497" t="s">
        <v>2607</v>
      </c>
      <c r="C440" s="363" t="s">
        <v>309</v>
      </c>
      <c r="D440" s="163" t="s">
        <v>4</v>
      </c>
      <c r="E440" s="237" t="s">
        <v>23</v>
      </c>
      <c r="F440" s="375" t="s">
        <v>324</v>
      </c>
      <c r="G440" s="164"/>
      <c r="H440" s="253">
        <v>70850</v>
      </c>
      <c r="I440" s="364" t="s">
        <v>329</v>
      </c>
      <c r="J440" s="488">
        <v>10000000</v>
      </c>
      <c r="K440" s="627"/>
      <c r="L440" s="394"/>
      <c r="M440" s="394" t="s">
        <v>5133</v>
      </c>
      <c r="N440" s="161">
        <v>10066100</v>
      </c>
      <c r="O440" s="162" t="s">
        <v>2607</v>
      </c>
    </row>
    <row r="441" spans="1:15" ht="46.5" customHeight="1" x14ac:dyDescent="0.35">
      <c r="A441" s="272" t="s">
        <v>2850</v>
      </c>
      <c r="B441" s="497" t="s">
        <v>2608</v>
      </c>
      <c r="C441" s="363" t="s">
        <v>5</v>
      </c>
      <c r="D441" s="163" t="s">
        <v>4</v>
      </c>
      <c r="E441" s="237" t="s">
        <v>23</v>
      </c>
      <c r="F441" s="375" t="s">
        <v>324</v>
      </c>
      <c r="G441" s="164"/>
      <c r="H441" s="253">
        <v>70850</v>
      </c>
      <c r="I441" s="364" t="s">
        <v>329</v>
      </c>
      <c r="J441" s="488">
        <v>5000000</v>
      </c>
      <c r="K441" s="627"/>
      <c r="L441" s="394"/>
      <c r="M441" s="394" t="s">
        <v>5133</v>
      </c>
      <c r="N441" s="161">
        <v>20000000</v>
      </c>
      <c r="O441" s="162" t="s">
        <v>2608</v>
      </c>
    </row>
    <row r="442" spans="1:15" ht="46.5" customHeight="1" x14ac:dyDescent="0.35">
      <c r="A442" s="272" t="s">
        <v>2851</v>
      </c>
      <c r="B442" s="497" t="s">
        <v>2609</v>
      </c>
      <c r="C442" s="363" t="s">
        <v>331</v>
      </c>
      <c r="D442" s="163" t="s">
        <v>4</v>
      </c>
      <c r="E442" s="237" t="s">
        <v>23</v>
      </c>
      <c r="F442" s="375" t="s">
        <v>990</v>
      </c>
      <c r="G442" s="164"/>
      <c r="H442" s="253">
        <v>70850</v>
      </c>
      <c r="I442" s="364" t="s">
        <v>329</v>
      </c>
      <c r="J442" s="488">
        <v>10000000</v>
      </c>
      <c r="K442" s="627"/>
      <c r="L442" s="394"/>
      <c r="M442" s="394" t="s">
        <v>5133</v>
      </c>
      <c r="N442" s="161">
        <v>30000000</v>
      </c>
      <c r="O442" s="162" t="s">
        <v>2609</v>
      </c>
    </row>
    <row r="443" spans="1:15" ht="37.5" customHeight="1" x14ac:dyDescent="0.35">
      <c r="A443" s="272" t="s">
        <v>2852</v>
      </c>
      <c r="B443" s="497" t="s">
        <v>2610</v>
      </c>
      <c r="C443" s="363" t="s">
        <v>5</v>
      </c>
      <c r="D443" s="163" t="s">
        <v>4</v>
      </c>
      <c r="E443" s="237" t="s">
        <v>23</v>
      </c>
      <c r="F443" s="375" t="s">
        <v>2620</v>
      </c>
      <c r="G443" s="164"/>
      <c r="H443" s="253">
        <v>70850</v>
      </c>
      <c r="I443" s="364" t="s">
        <v>329</v>
      </c>
      <c r="J443" s="488">
        <f>117000000+5000000</f>
        <v>122000000</v>
      </c>
      <c r="K443" s="627">
        <v>30000000</v>
      </c>
      <c r="L443" s="394"/>
      <c r="M443" s="394" t="s">
        <v>5133</v>
      </c>
      <c r="N443" s="161">
        <v>25000000</v>
      </c>
      <c r="O443" s="162" t="s">
        <v>2610</v>
      </c>
    </row>
    <row r="444" spans="1:15" ht="57" customHeight="1" x14ac:dyDescent="0.35">
      <c r="A444" s="272" t="s">
        <v>2853</v>
      </c>
      <c r="B444" s="497" t="s">
        <v>2611</v>
      </c>
      <c r="C444" s="363" t="s">
        <v>5</v>
      </c>
      <c r="D444" s="163" t="s">
        <v>4</v>
      </c>
      <c r="E444" s="237" t="s">
        <v>23</v>
      </c>
      <c r="F444" s="375" t="s">
        <v>333</v>
      </c>
      <c r="G444" s="164"/>
      <c r="H444" s="253">
        <v>70850</v>
      </c>
      <c r="I444" s="364" t="s">
        <v>332</v>
      </c>
      <c r="J444" s="488">
        <v>2000000</v>
      </c>
      <c r="K444" s="627"/>
      <c r="L444" s="394"/>
      <c r="M444" s="394" t="s">
        <v>5133</v>
      </c>
      <c r="N444" s="161">
        <v>14000000</v>
      </c>
      <c r="O444" s="162" t="s">
        <v>2611</v>
      </c>
    </row>
    <row r="445" spans="1:15" ht="30" customHeight="1" x14ac:dyDescent="0.35">
      <c r="A445" s="272" t="s">
        <v>2854</v>
      </c>
      <c r="B445" s="497" t="s">
        <v>2612</v>
      </c>
      <c r="C445" s="363" t="s">
        <v>5</v>
      </c>
      <c r="D445" s="163" t="s">
        <v>4</v>
      </c>
      <c r="E445" s="237" t="s">
        <v>23</v>
      </c>
      <c r="F445" s="375" t="s">
        <v>334</v>
      </c>
      <c r="G445" s="164"/>
      <c r="H445" s="253">
        <v>70850</v>
      </c>
      <c r="I445" s="364" t="s">
        <v>332</v>
      </c>
      <c r="J445" s="488">
        <v>3000000</v>
      </c>
      <c r="K445" s="627"/>
      <c r="L445" s="394"/>
      <c r="M445" s="394" t="s">
        <v>5133</v>
      </c>
      <c r="N445" s="161">
        <v>6000000</v>
      </c>
      <c r="O445" s="162" t="s">
        <v>2612</v>
      </c>
    </row>
    <row r="446" spans="1:15" ht="33.75" customHeight="1" x14ac:dyDescent="0.35">
      <c r="A446" s="272" t="s">
        <v>2855</v>
      </c>
      <c r="B446" s="497" t="s">
        <v>3405</v>
      </c>
      <c r="C446" s="363" t="s">
        <v>5</v>
      </c>
      <c r="D446" s="163" t="s">
        <v>4</v>
      </c>
      <c r="E446" s="237" t="s">
        <v>23</v>
      </c>
      <c r="F446" s="378" t="s">
        <v>398</v>
      </c>
      <c r="G446" s="164"/>
      <c r="H446" s="253">
        <v>70850</v>
      </c>
      <c r="I446" s="364" t="s">
        <v>329</v>
      </c>
      <c r="J446" s="488">
        <v>400000000</v>
      </c>
      <c r="K446" s="627">
        <v>251200000</v>
      </c>
      <c r="L446" s="394"/>
      <c r="M446" s="394" t="s">
        <v>5133</v>
      </c>
      <c r="N446" s="161">
        <v>7000000</v>
      </c>
      <c r="O446" s="162" t="s">
        <v>2613</v>
      </c>
    </row>
    <row r="447" spans="1:15" ht="33.75" customHeight="1" x14ac:dyDescent="0.35">
      <c r="A447" s="272" t="s">
        <v>2856</v>
      </c>
      <c r="B447" s="480" t="s">
        <v>3621</v>
      </c>
      <c r="C447" s="165" t="s">
        <v>5</v>
      </c>
      <c r="D447" s="141" t="s">
        <v>4</v>
      </c>
      <c r="E447" s="237" t="s">
        <v>27</v>
      </c>
      <c r="F447" s="163" t="s">
        <v>76</v>
      </c>
      <c r="G447" s="240"/>
      <c r="H447" s="141">
        <v>70111</v>
      </c>
      <c r="I447" s="142" t="s">
        <v>77</v>
      </c>
      <c r="J447" s="144">
        <v>700000000</v>
      </c>
      <c r="K447" s="627">
        <v>600000000</v>
      </c>
      <c r="L447" s="394"/>
      <c r="M447" s="394" t="s">
        <v>5133</v>
      </c>
      <c r="N447" s="149">
        <v>900000000</v>
      </c>
      <c r="O447" s="162"/>
    </row>
    <row r="448" spans="1:15" ht="48.75" customHeight="1" x14ac:dyDescent="0.35">
      <c r="A448" s="272" t="s">
        <v>2857</v>
      </c>
      <c r="B448" s="497" t="s">
        <v>336</v>
      </c>
      <c r="C448" s="363" t="s">
        <v>309</v>
      </c>
      <c r="D448" s="163" t="s">
        <v>4</v>
      </c>
      <c r="E448" s="237" t="s">
        <v>23</v>
      </c>
      <c r="F448" s="375" t="s">
        <v>324</v>
      </c>
      <c r="G448" s="164"/>
      <c r="H448" s="253">
        <v>70850</v>
      </c>
      <c r="I448" s="142" t="s">
        <v>335</v>
      </c>
      <c r="J448" s="488">
        <v>5000000</v>
      </c>
      <c r="K448" s="627"/>
      <c r="L448" s="394"/>
      <c r="M448" s="394" t="s">
        <v>5133</v>
      </c>
      <c r="N448" s="161">
        <v>100000000</v>
      </c>
      <c r="O448" s="162" t="s">
        <v>336</v>
      </c>
    </row>
    <row r="449" spans="1:17" ht="24.75" customHeight="1" x14ac:dyDescent="0.35">
      <c r="A449" s="272" t="s">
        <v>2858</v>
      </c>
      <c r="B449" s="497" t="s">
        <v>2614</v>
      </c>
      <c r="C449" s="363" t="s">
        <v>5</v>
      </c>
      <c r="D449" s="163" t="s">
        <v>4</v>
      </c>
      <c r="E449" s="237" t="s">
        <v>23</v>
      </c>
      <c r="F449" s="375" t="s">
        <v>330</v>
      </c>
      <c r="G449" s="164"/>
      <c r="H449" s="253">
        <v>70850</v>
      </c>
      <c r="I449" s="364" t="s">
        <v>332</v>
      </c>
      <c r="J449" s="488">
        <v>1000000</v>
      </c>
      <c r="K449" s="627"/>
      <c r="L449" s="394"/>
      <c r="M449" s="394" t="s">
        <v>5133</v>
      </c>
      <c r="N449" s="161">
        <v>15000000</v>
      </c>
      <c r="O449" s="162" t="s">
        <v>2614</v>
      </c>
    </row>
    <row r="450" spans="1:17" ht="53.25" customHeight="1" x14ac:dyDescent="0.35">
      <c r="A450" s="272" t="s">
        <v>2859</v>
      </c>
      <c r="B450" s="497" t="s">
        <v>2615</v>
      </c>
      <c r="C450" s="363" t="s">
        <v>5</v>
      </c>
      <c r="D450" s="163" t="s">
        <v>4</v>
      </c>
      <c r="E450" s="237" t="s">
        <v>23</v>
      </c>
      <c r="F450" s="375" t="s">
        <v>990</v>
      </c>
      <c r="G450" s="164"/>
      <c r="H450" s="253">
        <v>70850</v>
      </c>
      <c r="I450" s="364" t="s">
        <v>329</v>
      </c>
      <c r="J450" s="488">
        <v>1000000</v>
      </c>
      <c r="K450" s="627"/>
      <c r="L450" s="394"/>
      <c r="M450" s="394" t="s">
        <v>5133</v>
      </c>
      <c r="N450" s="161">
        <v>2000000</v>
      </c>
      <c r="O450" s="162" t="s">
        <v>2615</v>
      </c>
    </row>
    <row r="451" spans="1:17" ht="36" customHeight="1" x14ac:dyDescent="0.35">
      <c r="A451" s="272" t="s">
        <v>2860</v>
      </c>
      <c r="B451" s="497" t="s">
        <v>337</v>
      </c>
      <c r="C451" s="363" t="s">
        <v>5</v>
      </c>
      <c r="D451" s="163" t="s">
        <v>4</v>
      </c>
      <c r="E451" s="237" t="s">
        <v>23</v>
      </c>
      <c r="F451" s="375" t="s">
        <v>986</v>
      </c>
      <c r="G451" s="164"/>
      <c r="H451" s="253">
        <v>70850</v>
      </c>
      <c r="I451" s="364" t="s">
        <v>329</v>
      </c>
      <c r="J451" s="488">
        <v>1000000</v>
      </c>
      <c r="K451" s="627"/>
      <c r="L451" s="394"/>
      <c r="M451" s="394" t="s">
        <v>5133</v>
      </c>
      <c r="N451" s="161">
        <v>3000000</v>
      </c>
      <c r="O451" s="162" t="s">
        <v>337</v>
      </c>
    </row>
    <row r="452" spans="1:17" ht="36" customHeight="1" x14ac:dyDescent="0.35">
      <c r="A452" s="272" t="s">
        <v>2861</v>
      </c>
      <c r="B452" s="497" t="s">
        <v>2616</v>
      </c>
      <c r="C452" s="363" t="s">
        <v>188</v>
      </c>
      <c r="D452" s="163" t="s">
        <v>4</v>
      </c>
      <c r="E452" s="237" t="s">
        <v>23</v>
      </c>
      <c r="F452" s="375" t="s">
        <v>54</v>
      </c>
      <c r="G452" s="164"/>
      <c r="H452" s="253">
        <v>70850</v>
      </c>
      <c r="I452" s="364" t="s">
        <v>329</v>
      </c>
      <c r="J452" s="488">
        <v>22000000</v>
      </c>
      <c r="K452" s="627">
        <v>5000000</v>
      </c>
      <c r="L452" s="394"/>
      <c r="M452" s="394" t="s">
        <v>5133</v>
      </c>
      <c r="N452" s="161">
        <v>2000000</v>
      </c>
      <c r="O452" s="162" t="s">
        <v>2616</v>
      </c>
    </row>
    <row r="453" spans="1:17" ht="36" customHeight="1" x14ac:dyDescent="0.35">
      <c r="A453" s="272" t="s">
        <v>2862</v>
      </c>
      <c r="B453" s="497" t="s">
        <v>2617</v>
      </c>
      <c r="C453" s="165" t="s">
        <v>5</v>
      </c>
      <c r="D453" s="163" t="s">
        <v>4</v>
      </c>
      <c r="E453" s="237" t="s">
        <v>23</v>
      </c>
      <c r="F453" s="375" t="s">
        <v>54</v>
      </c>
      <c r="G453" s="164"/>
      <c r="H453" s="253">
        <v>70850</v>
      </c>
      <c r="I453" s="142" t="s">
        <v>902</v>
      </c>
      <c r="J453" s="306">
        <v>19000000</v>
      </c>
      <c r="K453" s="627">
        <v>8000000</v>
      </c>
      <c r="L453" s="394"/>
      <c r="M453" s="394" t="s">
        <v>5133</v>
      </c>
      <c r="N453" s="161">
        <v>24000000</v>
      </c>
      <c r="O453" s="162" t="s">
        <v>2617</v>
      </c>
    </row>
    <row r="454" spans="1:17" ht="36" customHeight="1" x14ac:dyDescent="0.35">
      <c r="A454" s="272" t="s">
        <v>3622</v>
      </c>
      <c r="B454" s="497" t="s">
        <v>4653</v>
      </c>
      <c r="C454" s="165" t="s">
        <v>5</v>
      </c>
      <c r="D454" s="163" t="s">
        <v>4</v>
      </c>
      <c r="E454" s="237" t="s">
        <v>23</v>
      </c>
      <c r="F454" s="294" t="s">
        <v>2619</v>
      </c>
      <c r="G454" s="164"/>
      <c r="H454" s="253">
        <v>70850</v>
      </c>
      <c r="I454" s="142" t="s">
        <v>902</v>
      </c>
      <c r="J454" s="306">
        <v>3000000</v>
      </c>
      <c r="K454" s="627"/>
      <c r="L454" s="394"/>
      <c r="M454" s="394" t="s">
        <v>5133</v>
      </c>
      <c r="N454" s="161">
        <f>[3]Capital!$J$27</f>
        <v>8000000</v>
      </c>
      <c r="O454" s="162" t="s">
        <v>2618</v>
      </c>
    </row>
    <row r="455" spans="1:17" s="247" customFormat="1" ht="39" customHeight="1" x14ac:dyDescent="0.3">
      <c r="A455" s="245"/>
      <c r="B455" s="360" t="s">
        <v>1008</v>
      </c>
      <c r="C455" s="188"/>
      <c r="D455" s="257"/>
      <c r="E455" s="273"/>
      <c r="F455" s="257" t="s">
        <v>984</v>
      </c>
      <c r="G455" s="273"/>
      <c r="H455" s="257"/>
      <c r="I455" s="273"/>
      <c r="J455" s="259">
        <f>SUM(J432:J454)</f>
        <v>1351576295</v>
      </c>
      <c r="K455" s="259">
        <f>SUM(K432:K454)</f>
        <v>911200000</v>
      </c>
      <c r="L455" s="707"/>
      <c r="M455" s="707"/>
      <c r="N455" s="259">
        <f>SUM(N432:N454)</f>
        <v>1235754100</v>
      </c>
      <c r="O455" s="245" t="s">
        <v>1008</v>
      </c>
      <c r="P455" s="246"/>
    </row>
    <row r="456" spans="1:17" ht="20.25" customHeight="1" x14ac:dyDescent="0.35">
      <c r="A456" s="286"/>
      <c r="B456" s="492"/>
      <c r="C456" s="282"/>
      <c r="D456" s="283"/>
      <c r="E456" s="330"/>
      <c r="F456" s="283"/>
      <c r="G456" s="330"/>
      <c r="H456" s="283"/>
      <c r="I456" s="330"/>
      <c r="J456" s="341"/>
      <c r="K456" s="458"/>
      <c r="L456" s="704"/>
      <c r="M456" s="704"/>
      <c r="N456" s="285"/>
      <c r="O456" s="286"/>
    </row>
    <row r="457" spans="1:17" ht="39" hidden="1" customHeight="1" x14ac:dyDescent="0.35">
      <c r="A457" s="600" t="s">
        <v>338</v>
      </c>
      <c r="B457" s="600"/>
      <c r="C457" s="600"/>
      <c r="D457" s="600"/>
      <c r="E457" s="600"/>
      <c r="F457" s="600"/>
      <c r="G457" s="600"/>
      <c r="H457" s="600"/>
      <c r="I457" s="600"/>
      <c r="J457" s="600"/>
      <c r="K457" s="458"/>
      <c r="L457" s="704"/>
      <c r="M457" s="704"/>
      <c r="N457" s="600"/>
      <c r="O457" s="601"/>
    </row>
    <row r="458" spans="1:17" ht="39" customHeight="1" x14ac:dyDescent="0.35">
      <c r="A458" s="357" t="s">
        <v>4793</v>
      </c>
      <c r="B458" s="357"/>
      <c r="C458" s="357"/>
      <c r="D458" s="357"/>
      <c r="E458" s="357"/>
      <c r="F458" s="357"/>
      <c r="G458" s="357"/>
      <c r="H458" s="357"/>
      <c r="I458" s="357"/>
      <c r="J458" s="357"/>
      <c r="K458" s="458"/>
      <c r="L458" s="704"/>
      <c r="M458" s="704"/>
      <c r="N458" s="357"/>
      <c r="O458" s="605"/>
    </row>
    <row r="459" spans="1:17" s="235" customFormat="1" ht="81.75" customHeight="1" x14ac:dyDescent="0.35">
      <c r="A459" s="187" t="s">
        <v>1007</v>
      </c>
      <c r="B459" s="360" t="s">
        <v>50</v>
      </c>
      <c r="C459" s="175" t="s">
        <v>898</v>
      </c>
      <c r="D459" s="175" t="s">
        <v>52</v>
      </c>
      <c r="E459" s="187" t="s">
        <v>49</v>
      </c>
      <c r="F459" s="175" t="s">
        <v>1</v>
      </c>
      <c r="G459" s="187"/>
      <c r="H459" s="175" t="s">
        <v>51</v>
      </c>
      <c r="I459" s="187" t="s">
        <v>2</v>
      </c>
      <c r="J459" s="189" t="s">
        <v>4862</v>
      </c>
      <c r="K459" s="189" t="s">
        <v>5140</v>
      </c>
      <c r="L459" s="623" t="s">
        <v>5132</v>
      </c>
      <c r="M459" s="623" t="s">
        <v>5132</v>
      </c>
      <c r="N459" s="189" t="s">
        <v>1006</v>
      </c>
      <c r="O459" s="187" t="s">
        <v>50</v>
      </c>
      <c r="P459" s="234"/>
    </row>
    <row r="460" spans="1:17" ht="38.25" customHeight="1" x14ac:dyDescent="0.35">
      <c r="A460" s="379" t="s">
        <v>2863</v>
      </c>
      <c r="B460" s="500" t="s">
        <v>1267</v>
      </c>
      <c r="C460" s="165" t="s">
        <v>5</v>
      </c>
      <c r="D460" s="141" t="s">
        <v>4</v>
      </c>
      <c r="E460" s="237" t="s">
        <v>7</v>
      </c>
      <c r="F460" s="163" t="s">
        <v>991</v>
      </c>
      <c r="G460" s="146"/>
      <c r="H460" s="141">
        <v>70421</v>
      </c>
      <c r="I460" s="142" t="s">
        <v>353</v>
      </c>
      <c r="J460" s="144">
        <v>10000000</v>
      </c>
      <c r="K460" s="144">
        <v>10000000</v>
      </c>
      <c r="L460" s="394"/>
      <c r="M460" s="394" t="s">
        <v>5133</v>
      </c>
      <c r="N460" s="166">
        <v>20378182</v>
      </c>
      <c r="O460" s="379" t="s">
        <v>1267</v>
      </c>
    </row>
    <row r="461" spans="1:17" ht="55.5" customHeight="1" x14ac:dyDescent="0.35">
      <c r="A461" s="379" t="s">
        <v>1288</v>
      </c>
      <c r="B461" s="500" t="s">
        <v>1268</v>
      </c>
      <c r="C461" s="165" t="s">
        <v>344</v>
      </c>
      <c r="D461" s="141" t="s">
        <v>4</v>
      </c>
      <c r="E461" s="237" t="s">
        <v>7</v>
      </c>
      <c r="F461" s="163" t="s">
        <v>992</v>
      </c>
      <c r="G461" s="146"/>
      <c r="H461" s="141">
        <v>70421</v>
      </c>
      <c r="I461" s="142" t="s">
        <v>505</v>
      </c>
      <c r="J461" s="144">
        <v>29000000</v>
      </c>
      <c r="K461" s="144">
        <v>30000000</v>
      </c>
      <c r="L461" s="144">
        <v>30000000</v>
      </c>
      <c r="M461" s="718" t="s">
        <v>5123</v>
      </c>
      <c r="N461" s="166">
        <v>42000000</v>
      </c>
      <c r="O461" s="379" t="s">
        <v>1268</v>
      </c>
      <c r="P461" s="231">
        <v>3120000000</v>
      </c>
    </row>
    <row r="462" spans="1:17" ht="61.5" customHeight="1" x14ac:dyDescent="0.35">
      <c r="A462" s="379" t="s">
        <v>2864</v>
      </c>
      <c r="B462" s="500" t="s">
        <v>355</v>
      </c>
      <c r="C462" s="165" t="s">
        <v>5</v>
      </c>
      <c r="D462" s="141" t="s">
        <v>4</v>
      </c>
      <c r="E462" s="237" t="s">
        <v>7</v>
      </c>
      <c r="F462" s="163" t="s">
        <v>992</v>
      </c>
      <c r="G462" s="146"/>
      <c r="H462" s="141">
        <v>70421</v>
      </c>
      <c r="I462" s="142" t="s">
        <v>902</v>
      </c>
      <c r="J462" s="144">
        <v>22000000</v>
      </c>
      <c r="K462" s="144">
        <v>22000000</v>
      </c>
      <c r="L462" s="394"/>
      <c r="M462" s="394" t="s">
        <v>5133</v>
      </c>
      <c r="N462" s="166">
        <v>60000000</v>
      </c>
      <c r="O462" s="379" t="s">
        <v>355</v>
      </c>
      <c r="P462" s="289">
        <v>5000000000</v>
      </c>
      <c r="Q462" s="271"/>
    </row>
    <row r="463" spans="1:17" ht="49.5" customHeight="1" x14ac:dyDescent="0.35">
      <c r="A463" s="379" t="s">
        <v>1289</v>
      </c>
      <c r="B463" s="500" t="s">
        <v>356</v>
      </c>
      <c r="C463" s="165" t="s">
        <v>357</v>
      </c>
      <c r="D463" s="141" t="s">
        <v>4</v>
      </c>
      <c r="E463" s="237" t="s">
        <v>7</v>
      </c>
      <c r="F463" s="163" t="s">
        <v>992</v>
      </c>
      <c r="G463" s="146"/>
      <c r="H463" s="141">
        <v>70421</v>
      </c>
      <c r="I463" s="142" t="s">
        <v>902</v>
      </c>
      <c r="J463" s="144">
        <v>15000000</v>
      </c>
      <c r="K463" s="144">
        <v>15000000</v>
      </c>
      <c r="L463" s="394"/>
      <c r="M463" s="394" t="s">
        <v>5133</v>
      </c>
      <c r="N463" s="166">
        <v>24500000</v>
      </c>
      <c r="O463" s="379" t="s">
        <v>356</v>
      </c>
      <c r="P463" s="231">
        <f>P462-P461</f>
        <v>1880000000</v>
      </c>
    </row>
    <row r="464" spans="1:17" ht="51.75" customHeight="1" x14ac:dyDescent="0.35">
      <c r="A464" s="379" t="s">
        <v>1290</v>
      </c>
      <c r="B464" s="500" t="s">
        <v>1234</v>
      </c>
      <c r="C464" s="165" t="s">
        <v>188</v>
      </c>
      <c r="D464" s="141" t="s">
        <v>4</v>
      </c>
      <c r="E464" s="237" t="s">
        <v>7</v>
      </c>
      <c r="F464" s="163" t="s">
        <v>992</v>
      </c>
      <c r="G464" s="146"/>
      <c r="H464" s="141">
        <v>70421</v>
      </c>
      <c r="I464" s="142" t="s">
        <v>902</v>
      </c>
      <c r="J464" s="144">
        <v>5000000</v>
      </c>
      <c r="K464" s="144">
        <v>5000000</v>
      </c>
      <c r="L464" s="394"/>
      <c r="M464" s="394" t="s">
        <v>5133</v>
      </c>
      <c r="N464" s="166">
        <v>14000000</v>
      </c>
      <c r="O464" s="379" t="s">
        <v>1234</v>
      </c>
    </row>
    <row r="465" spans="1:15" ht="51" customHeight="1" x14ac:dyDescent="0.35">
      <c r="A465" s="379" t="s">
        <v>1291</v>
      </c>
      <c r="B465" s="500" t="s">
        <v>1269</v>
      </c>
      <c r="C465" s="165" t="s">
        <v>5</v>
      </c>
      <c r="D465" s="141" t="s">
        <v>4</v>
      </c>
      <c r="E465" s="237" t="s">
        <v>7</v>
      </c>
      <c r="F465" s="163" t="s">
        <v>342</v>
      </c>
      <c r="G465" s="146"/>
      <c r="H465" s="141">
        <v>70421</v>
      </c>
      <c r="I465" s="142" t="s">
        <v>11</v>
      </c>
      <c r="J465" s="144">
        <v>2000000</v>
      </c>
      <c r="K465" s="144">
        <v>20000000</v>
      </c>
      <c r="L465" s="144">
        <v>20000000</v>
      </c>
      <c r="M465" s="718" t="s">
        <v>5123</v>
      </c>
      <c r="N465" s="166">
        <v>7800000</v>
      </c>
      <c r="O465" s="379" t="s">
        <v>1269</v>
      </c>
    </row>
    <row r="466" spans="1:15" ht="51.75" customHeight="1" x14ac:dyDescent="0.35">
      <c r="A466" s="379" t="s">
        <v>2865</v>
      </c>
      <c r="B466" s="500" t="s">
        <v>1270</v>
      </c>
      <c r="C466" s="165" t="s">
        <v>5</v>
      </c>
      <c r="D466" s="141" t="s">
        <v>4</v>
      </c>
      <c r="E466" s="237" t="s">
        <v>7</v>
      </c>
      <c r="F466" s="163" t="s">
        <v>342</v>
      </c>
      <c r="G466" s="146"/>
      <c r="H466" s="141">
        <v>70421</v>
      </c>
      <c r="I466" s="142" t="s">
        <v>11</v>
      </c>
      <c r="J466" s="144">
        <v>5000000</v>
      </c>
      <c r="K466" s="144">
        <v>1000000</v>
      </c>
      <c r="L466" s="394"/>
      <c r="M466" s="394" t="s">
        <v>5133</v>
      </c>
      <c r="N466" s="166">
        <v>0</v>
      </c>
      <c r="O466" s="379" t="s">
        <v>1270</v>
      </c>
    </row>
    <row r="467" spans="1:15" ht="35.25" customHeight="1" x14ac:dyDescent="0.35">
      <c r="A467" s="379" t="s">
        <v>1292</v>
      </c>
      <c r="B467" s="500" t="s">
        <v>346</v>
      </c>
      <c r="C467" s="165" t="s">
        <v>5</v>
      </c>
      <c r="D467" s="141" t="s">
        <v>4</v>
      </c>
      <c r="E467" s="237" t="s">
        <v>7</v>
      </c>
      <c r="F467" s="163" t="s">
        <v>342</v>
      </c>
      <c r="G467" s="146"/>
      <c r="H467" s="141">
        <v>70421</v>
      </c>
      <c r="I467" s="142" t="s">
        <v>11</v>
      </c>
      <c r="J467" s="144">
        <v>4000000</v>
      </c>
      <c r="K467" s="144" t="s">
        <v>4946</v>
      </c>
      <c r="L467" s="394"/>
      <c r="M467" s="394" t="s">
        <v>5133</v>
      </c>
      <c r="N467" s="166">
        <v>5157000</v>
      </c>
      <c r="O467" s="379" t="s">
        <v>346</v>
      </c>
    </row>
    <row r="468" spans="1:15" ht="35.25" customHeight="1" x14ac:dyDescent="0.35">
      <c r="A468" s="379" t="s">
        <v>1293</v>
      </c>
      <c r="B468" s="500" t="s">
        <v>347</v>
      </c>
      <c r="C468" s="165" t="s">
        <v>5</v>
      </c>
      <c r="D468" s="141" t="s">
        <v>4</v>
      </c>
      <c r="E468" s="237" t="s">
        <v>7</v>
      </c>
      <c r="F468" s="163" t="s">
        <v>342</v>
      </c>
      <c r="G468" s="146"/>
      <c r="H468" s="141">
        <v>70421</v>
      </c>
      <c r="I468" s="142" t="s">
        <v>11</v>
      </c>
      <c r="J468" s="144">
        <v>10000000</v>
      </c>
      <c r="K468" s="144" t="s">
        <v>4946</v>
      </c>
      <c r="L468" s="394"/>
      <c r="M468" s="394" t="s">
        <v>5133</v>
      </c>
      <c r="N468" s="166">
        <v>7800000</v>
      </c>
      <c r="O468" s="379" t="s">
        <v>347</v>
      </c>
    </row>
    <row r="469" spans="1:15" ht="35.25" customHeight="1" x14ac:dyDescent="0.35">
      <c r="A469" s="379" t="s">
        <v>1294</v>
      </c>
      <c r="B469" s="500" t="s">
        <v>348</v>
      </c>
      <c r="C469" s="165" t="s">
        <v>5</v>
      </c>
      <c r="D469" s="141" t="s">
        <v>4</v>
      </c>
      <c r="E469" s="237" t="s">
        <v>7</v>
      </c>
      <c r="F469" s="163" t="s">
        <v>342</v>
      </c>
      <c r="G469" s="146"/>
      <c r="H469" s="141">
        <v>70421</v>
      </c>
      <c r="I469" s="142" t="s">
        <v>11</v>
      </c>
      <c r="J469" s="144">
        <v>100000000</v>
      </c>
      <c r="K469" s="144">
        <v>150000000</v>
      </c>
      <c r="L469" s="144">
        <v>150000000</v>
      </c>
      <c r="M469" s="718" t="s">
        <v>5123</v>
      </c>
      <c r="N469" s="166">
        <v>158130000</v>
      </c>
      <c r="O469" s="379" t="s">
        <v>348</v>
      </c>
    </row>
    <row r="470" spans="1:15" ht="49.5" customHeight="1" x14ac:dyDescent="0.35">
      <c r="A470" s="379" t="s">
        <v>2866</v>
      </c>
      <c r="B470" s="500" t="s">
        <v>349</v>
      </c>
      <c r="C470" s="165" t="s">
        <v>5</v>
      </c>
      <c r="D470" s="141" t="s">
        <v>4</v>
      </c>
      <c r="E470" s="237" t="s">
        <v>7</v>
      </c>
      <c r="F470" s="163" t="s">
        <v>342</v>
      </c>
      <c r="G470" s="146"/>
      <c r="H470" s="141">
        <v>70421</v>
      </c>
      <c r="I470" s="142" t="s">
        <v>11</v>
      </c>
      <c r="J470" s="144">
        <v>70000000</v>
      </c>
      <c r="K470" s="144">
        <v>48000000</v>
      </c>
      <c r="L470" s="144">
        <v>48000000</v>
      </c>
      <c r="M470" s="718" t="s">
        <v>5123</v>
      </c>
      <c r="N470" s="166">
        <v>430000000</v>
      </c>
      <c r="O470" s="379" t="s">
        <v>349</v>
      </c>
    </row>
    <row r="471" spans="1:15" ht="39.75" customHeight="1" x14ac:dyDescent="0.35">
      <c r="A471" s="379" t="s">
        <v>1295</v>
      </c>
      <c r="B471" s="500" t="s">
        <v>350</v>
      </c>
      <c r="C471" s="165" t="s">
        <v>5</v>
      </c>
      <c r="D471" s="141" t="s">
        <v>4</v>
      </c>
      <c r="E471" s="237" t="s">
        <v>7</v>
      </c>
      <c r="F471" s="163" t="s">
        <v>342</v>
      </c>
      <c r="G471" s="146"/>
      <c r="H471" s="141">
        <v>70421</v>
      </c>
      <c r="I471" s="142" t="s">
        <v>11</v>
      </c>
      <c r="J471" s="144">
        <v>50000000</v>
      </c>
      <c r="K471" s="144">
        <v>50000000</v>
      </c>
      <c r="L471" s="144">
        <v>50000000</v>
      </c>
      <c r="M471" s="718" t="s">
        <v>5123</v>
      </c>
      <c r="N471" s="166">
        <v>78000000</v>
      </c>
      <c r="O471" s="379" t="s">
        <v>350</v>
      </c>
    </row>
    <row r="472" spans="1:15" ht="38.25" customHeight="1" x14ac:dyDescent="0.35">
      <c r="A472" s="379" t="s">
        <v>1296</v>
      </c>
      <c r="B472" s="500" t="s">
        <v>358</v>
      </c>
      <c r="C472" s="165" t="s">
        <v>5</v>
      </c>
      <c r="D472" s="141" t="s">
        <v>4</v>
      </c>
      <c r="E472" s="237" t="s">
        <v>7</v>
      </c>
      <c r="F472" s="163" t="s">
        <v>342</v>
      </c>
      <c r="G472" s="146"/>
      <c r="H472" s="141">
        <v>70421</v>
      </c>
      <c r="I472" s="142" t="s">
        <v>11</v>
      </c>
      <c r="J472" s="144">
        <v>50000000</v>
      </c>
      <c r="K472" s="144">
        <v>50000000</v>
      </c>
      <c r="L472" s="144">
        <v>50000000</v>
      </c>
      <c r="M472" s="718" t="s">
        <v>5123</v>
      </c>
      <c r="N472" s="166">
        <v>90000000</v>
      </c>
      <c r="O472" s="379" t="s">
        <v>358</v>
      </c>
    </row>
    <row r="473" spans="1:15" ht="33.75" customHeight="1" x14ac:dyDescent="0.35">
      <c r="A473" s="379" t="s">
        <v>1297</v>
      </c>
      <c r="B473" s="500" t="s">
        <v>1277</v>
      </c>
      <c r="C473" s="165" t="s">
        <v>5</v>
      </c>
      <c r="D473" s="141" t="s">
        <v>4</v>
      </c>
      <c r="E473" s="237" t="s">
        <v>7</v>
      </c>
      <c r="F473" s="163" t="s">
        <v>342</v>
      </c>
      <c r="G473" s="146"/>
      <c r="H473" s="141">
        <v>70421</v>
      </c>
      <c r="I473" s="142" t="s">
        <v>11</v>
      </c>
      <c r="J473" s="144">
        <v>55000000</v>
      </c>
      <c r="K473" s="144">
        <v>70000000</v>
      </c>
      <c r="L473" s="144">
        <v>70000000</v>
      </c>
      <c r="M473" s="718" t="s">
        <v>5123</v>
      </c>
      <c r="N473" s="166">
        <v>162000000</v>
      </c>
      <c r="O473" s="379" t="s">
        <v>1277</v>
      </c>
    </row>
    <row r="474" spans="1:15" ht="51.75" customHeight="1" x14ac:dyDescent="0.35">
      <c r="A474" s="379" t="s">
        <v>1298</v>
      </c>
      <c r="B474" s="500" t="s">
        <v>1271</v>
      </c>
      <c r="C474" s="165" t="s">
        <v>5</v>
      </c>
      <c r="D474" s="141" t="s">
        <v>4</v>
      </c>
      <c r="E474" s="237" t="s">
        <v>7</v>
      </c>
      <c r="F474" s="163" t="s">
        <v>342</v>
      </c>
      <c r="G474" s="146"/>
      <c r="H474" s="141">
        <v>70421</v>
      </c>
      <c r="I474" s="142" t="s">
        <v>11</v>
      </c>
      <c r="J474" s="144">
        <v>15000000</v>
      </c>
      <c r="K474" s="144">
        <v>52000000</v>
      </c>
      <c r="L474" s="144">
        <v>52000000</v>
      </c>
      <c r="M474" s="718" t="s">
        <v>5123</v>
      </c>
      <c r="N474" s="166">
        <v>21000000</v>
      </c>
      <c r="O474" s="379" t="s">
        <v>1271</v>
      </c>
    </row>
    <row r="475" spans="1:15" ht="52.5" customHeight="1" x14ac:dyDescent="0.35">
      <c r="A475" s="379" t="s">
        <v>2867</v>
      </c>
      <c r="B475" s="500" t="s">
        <v>1272</v>
      </c>
      <c r="C475" s="165" t="s">
        <v>5</v>
      </c>
      <c r="D475" s="141" t="s">
        <v>4</v>
      </c>
      <c r="E475" s="237" t="s">
        <v>7</v>
      </c>
      <c r="F475" s="163" t="s">
        <v>342</v>
      </c>
      <c r="G475" s="146"/>
      <c r="H475" s="141">
        <v>70421</v>
      </c>
      <c r="I475" s="142" t="s">
        <v>11</v>
      </c>
      <c r="J475" s="144">
        <v>10000000</v>
      </c>
      <c r="K475" s="144">
        <v>10000000</v>
      </c>
      <c r="L475" s="144">
        <v>10000000</v>
      </c>
      <c r="M475" s="718" t="s">
        <v>5123</v>
      </c>
      <c r="N475" s="166">
        <v>3000000</v>
      </c>
      <c r="O475" s="379" t="s">
        <v>1272</v>
      </c>
    </row>
    <row r="476" spans="1:15" ht="36.75" customHeight="1" x14ac:dyDescent="0.35">
      <c r="A476" s="379" t="s">
        <v>1299</v>
      </c>
      <c r="B476" s="500" t="s">
        <v>359</v>
      </c>
      <c r="C476" s="165" t="s">
        <v>5</v>
      </c>
      <c r="D476" s="141" t="s">
        <v>4</v>
      </c>
      <c r="E476" s="237" t="s">
        <v>7</v>
      </c>
      <c r="F476" s="163" t="s">
        <v>342</v>
      </c>
      <c r="G476" s="146"/>
      <c r="H476" s="141">
        <v>70421</v>
      </c>
      <c r="I476" s="142" t="s">
        <v>11</v>
      </c>
      <c r="J476" s="144">
        <v>80000000</v>
      </c>
      <c r="K476" s="144">
        <v>80000000</v>
      </c>
      <c r="L476" s="144">
        <v>80000000</v>
      </c>
      <c r="M476" s="718" t="s">
        <v>5123</v>
      </c>
      <c r="N476" s="166">
        <v>279603125</v>
      </c>
      <c r="O476" s="379" t="s">
        <v>359</v>
      </c>
    </row>
    <row r="477" spans="1:15" ht="33.75" customHeight="1" x14ac:dyDescent="0.35">
      <c r="A477" s="379" t="s">
        <v>2868</v>
      </c>
      <c r="B477" s="500" t="s">
        <v>361</v>
      </c>
      <c r="C477" s="165" t="s">
        <v>5</v>
      </c>
      <c r="D477" s="141" t="s">
        <v>4</v>
      </c>
      <c r="E477" s="237" t="s">
        <v>7</v>
      </c>
      <c r="F477" s="163" t="s">
        <v>342</v>
      </c>
      <c r="G477" s="146"/>
      <c r="H477" s="141">
        <v>70421</v>
      </c>
      <c r="I477" s="142" t="s">
        <v>11</v>
      </c>
      <c r="J477" s="144">
        <v>1000000</v>
      </c>
      <c r="K477" s="144">
        <v>1000000</v>
      </c>
      <c r="L477" s="394"/>
      <c r="M477" s="394" t="s">
        <v>5133</v>
      </c>
      <c r="N477" s="166">
        <v>2500000</v>
      </c>
      <c r="O477" s="379" t="s">
        <v>361</v>
      </c>
    </row>
    <row r="478" spans="1:15" ht="28.5" customHeight="1" x14ac:dyDescent="0.35">
      <c r="A478" s="379" t="s">
        <v>1300</v>
      </c>
      <c r="B478" s="500" t="s">
        <v>1262</v>
      </c>
      <c r="C478" s="165" t="s">
        <v>5</v>
      </c>
      <c r="D478" s="141" t="s">
        <v>4</v>
      </c>
      <c r="E478" s="237" t="s">
        <v>7</v>
      </c>
      <c r="F478" s="163" t="s">
        <v>342</v>
      </c>
      <c r="G478" s="146"/>
      <c r="H478" s="141">
        <v>70421</v>
      </c>
      <c r="I478" s="142" t="s">
        <v>11</v>
      </c>
      <c r="J478" s="144">
        <v>95000000</v>
      </c>
      <c r="K478" s="144">
        <v>95000000</v>
      </c>
      <c r="L478" s="144">
        <v>95000000</v>
      </c>
      <c r="M478" s="718" t="s">
        <v>5123</v>
      </c>
      <c r="N478" s="166">
        <v>230000000</v>
      </c>
      <c r="O478" s="379" t="s">
        <v>1262</v>
      </c>
    </row>
    <row r="479" spans="1:15" ht="72" customHeight="1" x14ac:dyDescent="0.35">
      <c r="A479" s="379" t="s">
        <v>1301</v>
      </c>
      <c r="B479" s="500" t="s">
        <v>363</v>
      </c>
      <c r="C479" s="165" t="s">
        <v>5</v>
      </c>
      <c r="D479" s="141" t="s">
        <v>4</v>
      </c>
      <c r="E479" s="237" t="s">
        <v>7</v>
      </c>
      <c r="F479" s="163" t="s">
        <v>342</v>
      </c>
      <c r="G479" s="146"/>
      <c r="H479" s="141">
        <v>70421</v>
      </c>
      <c r="I479" s="142" t="s">
        <v>11</v>
      </c>
      <c r="J479" s="144">
        <v>80000000</v>
      </c>
      <c r="K479" s="144">
        <v>100000000</v>
      </c>
      <c r="L479" s="144">
        <v>100000000</v>
      </c>
      <c r="M479" s="718" t="s">
        <v>5123</v>
      </c>
      <c r="N479" s="166">
        <v>200000000</v>
      </c>
      <c r="O479" s="379" t="s">
        <v>363</v>
      </c>
    </row>
    <row r="480" spans="1:15" ht="39" customHeight="1" x14ac:dyDescent="0.35">
      <c r="A480" s="379" t="s">
        <v>2869</v>
      </c>
      <c r="B480" s="500" t="s">
        <v>1263</v>
      </c>
      <c r="C480" s="165" t="s">
        <v>5</v>
      </c>
      <c r="D480" s="141" t="s">
        <v>4</v>
      </c>
      <c r="E480" s="237" t="s">
        <v>7</v>
      </c>
      <c r="F480" s="163" t="s">
        <v>342</v>
      </c>
      <c r="G480" s="146"/>
      <c r="H480" s="141">
        <v>70421</v>
      </c>
      <c r="I480" s="142" t="s">
        <v>11</v>
      </c>
      <c r="J480" s="144">
        <v>35000000</v>
      </c>
      <c r="K480" s="144">
        <v>55000000</v>
      </c>
      <c r="L480" s="394"/>
      <c r="M480" s="394" t="s">
        <v>5133</v>
      </c>
      <c r="N480" s="166">
        <v>128000000</v>
      </c>
      <c r="O480" s="379" t="s">
        <v>1263</v>
      </c>
    </row>
    <row r="481" spans="1:16" ht="69.75" customHeight="1" x14ac:dyDescent="0.35">
      <c r="A481" s="379" t="s">
        <v>1302</v>
      </c>
      <c r="B481" s="500" t="s">
        <v>1273</v>
      </c>
      <c r="C481" s="165" t="s">
        <v>5</v>
      </c>
      <c r="D481" s="141" t="s">
        <v>4</v>
      </c>
      <c r="E481" s="237" t="s">
        <v>7</v>
      </c>
      <c r="F481" s="163" t="s">
        <v>339</v>
      </c>
      <c r="G481" s="146"/>
      <c r="H481" s="141">
        <v>70421</v>
      </c>
      <c r="I481" s="142" t="s">
        <v>340</v>
      </c>
      <c r="J481" s="144">
        <v>2000000</v>
      </c>
      <c r="K481" s="144">
        <v>2000000</v>
      </c>
      <c r="L481" s="394"/>
      <c r="M481" s="394" t="s">
        <v>5133</v>
      </c>
      <c r="N481" s="166">
        <v>4000000</v>
      </c>
      <c r="O481" s="379" t="s">
        <v>1273</v>
      </c>
    </row>
    <row r="482" spans="1:16" ht="45.75" customHeight="1" x14ac:dyDescent="0.35">
      <c r="A482" s="379" t="s">
        <v>1303</v>
      </c>
      <c r="B482" s="500" t="s">
        <v>341</v>
      </c>
      <c r="C482" s="165" t="s">
        <v>5</v>
      </c>
      <c r="D482" s="141" t="s">
        <v>4</v>
      </c>
      <c r="E482" s="237" t="s">
        <v>7</v>
      </c>
      <c r="F482" s="163" t="s">
        <v>339</v>
      </c>
      <c r="G482" s="146"/>
      <c r="H482" s="141">
        <v>70421</v>
      </c>
      <c r="I482" s="142" t="s">
        <v>340</v>
      </c>
      <c r="J482" s="144">
        <v>100000000</v>
      </c>
      <c r="K482" s="144">
        <v>25000000</v>
      </c>
      <c r="L482" s="718"/>
      <c r="M482" s="718" t="s">
        <v>5123</v>
      </c>
      <c r="N482" s="166">
        <v>120000000</v>
      </c>
      <c r="O482" s="379" t="s">
        <v>341</v>
      </c>
    </row>
    <row r="483" spans="1:16" ht="40.5" customHeight="1" x14ac:dyDescent="0.35">
      <c r="A483" s="379" t="s">
        <v>1304</v>
      </c>
      <c r="B483" s="500" t="s">
        <v>351</v>
      </c>
      <c r="C483" s="165" t="s">
        <v>354</v>
      </c>
      <c r="D483" s="141" t="s">
        <v>4</v>
      </c>
      <c r="E483" s="237" t="s">
        <v>7</v>
      </c>
      <c r="F483" s="163" t="s">
        <v>352</v>
      </c>
      <c r="G483" s="146"/>
      <c r="H483" s="141">
        <v>70421</v>
      </c>
      <c r="I483" s="142" t="s">
        <v>353</v>
      </c>
      <c r="J483" s="144">
        <v>15000000</v>
      </c>
      <c r="K483" s="144">
        <v>15000000</v>
      </c>
      <c r="L483" s="144">
        <v>15000000</v>
      </c>
      <c r="M483" s="718" t="s">
        <v>5123</v>
      </c>
      <c r="N483" s="166">
        <v>40000000</v>
      </c>
      <c r="O483" s="379" t="s">
        <v>351</v>
      </c>
    </row>
    <row r="484" spans="1:16" ht="52.5" customHeight="1" x14ac:dyDescent="0.35">
      <c r="A484" s="379" t="s">
        <v>1305</v>
      </c>
      <c r="B484" s="500" t="s">
        <v>364</v>
      </c>
      <c r="C484" s="165" t="s">
        <v>5</v>
      </c>
      <c r="D484" s="141" t="s">
        <v>4</v>
      </c>
      <c r="E484" s="237" t="s">
        <v>7</v>
      </c>
      <c r="F484" s="163" t="s">
        <v>101</v>
      </c>
      <c r="G484" s="146"/>
      <c r="H484" s="141">
        <v>70421</v>
      </c>
      <c r="I484" s="142" t="s">
        <v>345</v>
      </c>
      <c r="J484" s="144">
        <v>90000000</v>
      </c>
      <c r="K484" s="144">
        <v>25000000</v>
      </c>
      <c r="L484" s="394"/>
      <c r="M484" s="394" t="s">
        <v>5133</v>
      </c>
      <c r="N484" s="166">
        <v>300000000</v>
      </c>
      <c r="O484" s="379" t="s">
        <v>364</v>
      </c>
    </row>
    <row r="485" spans="1:16" ht="71.25" customHeight="1" x14ac:dyDescent="0.35">
      <c r="A485" s="379" t="s">
        <v>1306</v>
      </c>
      <c r="B485" s="500" t="s">
        <v>1274</v>
      </c>
      <c r="C485" s="165" t="s">
        <v>5</v>
      </c>
      <c r="D485" s="141" t="s">
        <v>4</v>
      </c>
      <c r="E485" s="237" t="s">
        <v>7</v>
      </c>
      <c r="F485" s="163" t="s">
        <v>54</v>
      </c>
      <c r="G485" s="146"/>
      <c r="H485" s="141">
        <v>70421</v>
      </c>
      <c r="I485" s="142" t="s">
        <v>900</v>
      </c>
      <c r="J485" s="144">
        <v>2000000</v>
      </c>
      <c r="K485" s="144">
        <v>2000000</v>
      </c>
      <c r="L485" s="394"/>
      <c r="M485" s="394" t="s">
        <v>5133</v>
      </c>
      <c r="N485" s="166">
        <v>5000000</v>
      </c>
      <c r="O485" s="379" t="s">
        <v>1274</v>
      </c>
    </row>
    <row r="486" spans="1:16" ht="36" customHeight="1" x14ac:dyDescent="0.35">
      <c r="A486" s="379" t="s">
        <v>2870</v>
      </c>
      <c r="B486" s="500" t="s">
        <v>360</v>
      </c>
      <c r="C486" s="165" t="s">
        <v>5</v>
      </c>
      <c r="D486" s="141" t="s">
        <v>4</v>
      </c>
      <c r="E486" s="237" t="s">
        <v>7</v>
      </c>
      <c r="F486" s="163" t="s">
        <v>54</v>
      </c>
      <c r="G486" s="146"/>
      <c r="H486" s="141">
        <v>70421</v>
      </c>
      <c r="I486" s="142" t="s">
        <v>900</v>
      </c>
      <c r="J486" s="144">
        <v>15000000</v>
      </c>
      <c r="K486" s="144">
        <v>15000000</v>
      </c>
      <c r="L486" s="394"/>
      <c r="M486" s="394" t="s">
        <v>5133</v>
      </c>
      <c r="N486" s="166">
        <v>47000000</v>
      </c>
      <c r="O486" s="379" t="s">
        <v>360</v>
      </c>
    </row>
    <row r="487" spans="1:16" ht="57.75" customHeight="1" x14ac:dyDescent="0.35">
      <c r="A487" s="379" t="s">
        <v>1307</v>
      </c>
      <c r="B487" s="500" t="s">
        <v>362</v>
      </c>
      <c r="C487" s="165" t="s">
        <v>5</v>
      </c>
      <c r="D487" s="141" t="s">
        <v>4</v>
      </c>
      <c r="E487" s="237" t="s">
        <v>7</v>
      </c>
      <c r="F487" s="163" t="s">
        <v>62</v>
      </c>
      <c r="G487" s="146"/>
      <c r="H487" s="141">
        <v>70421</v>
      </c>
      <c r="I487" s="142" t="s">
        <v>904</v>
      </c>
      <c r="J487" s="144">
        <v>1000000</v>
      </c>
      <c r="K487" s="144" t="s">
        <v>4946</v>
      </c>
      <c r="L487" s="394"/>
      <c r="M487" s="394" t="s">
        <v>5133</v>
      </c>
      <c r="N487" s="166">
        <v>4000000</v>
      </c>
      <c r="O487" s="379" t="s">
        <v>362</v>
      </c>
    </row>
    <row r="488" spans="1:16" ht="36" customHeight="1" x14ac:dyDescent="0.35">
      <c r="A488" s="379" t="s">
        <v>1308</v>
      </c>
      <c r="B488" s="500" t="s">
        <v>3397</v>
      </c>
      <c r="C488" s="165"/>
      <c r="D488" s="141" t="s">
        <v>4</v>
      </c>
      <c r="E488" s="237" t="s">
        <v>7</v>
      </c>
      <c r="F488" s="163" t="s">
        <v>342</v>
      </c>
      <c r="G488" s="146"/>
      <c r="H488" s="141">
        <v>70421</v>
      </c>
      <c r="I488" s="142"/>
      <c r="J488" s="144">
        <v>1000000000</v>
      </c>
      <c r="K488" s="144">
        <f>500000000+500000000</f>
        <v>1000000000</v>
      </c>
      <c r="L488" s="144">
        <f>500000000+500000000</f>
        <v>1000000000</v>
      </c>
      <c r="M488" s="718" t="s">
        <v>5123</v>
      </c>
      <c r="N488" s="166"/>
      <c r="O488" s="379"/>
    </row>
    <row r="489" spans="1:16" ht="55.5" customHeight="1" x14ac:dyDescent="0.35">
      <c r="A489" s="379" t="s">
        <v>1309</v>
      </c>
      <c r="B489" s="468" t="s">
        <v>1275</v>
      </c>
      <c r="C489" s="165" t="s">
        <v>1074</v>
      </c>
      <c r="D489" s="141" t="s">
        <v>4</v>
      </c>
      <c r="E489" s="237" t="s">
        <v>7</v>
      </c>
      <c r="F489" s="163" t="s">
        <v>342</v>
      </c>
      <c r="G489" s="146"/>
      <c r="H489" s="141">
        <v>70421</v>
      </c>
      <c r="I489" s="142"/>
      <c r="J489" s="144">
        <v>5000000</v>
      </c>
      <c r="K489" s="144">
        <v>5000000</v>
      </c>
      <c r="L489" s="394"/>
      <c r="M489" s="394" t="s">
        <v>5133</v>
      </c>
      <c r="N489" s="580" t="s">
        <v>5125</v>
      </c>
      <c r="O489" s="380" t="s">
        <v>1275</v>
      </c>
    </row>
    <row r="490" spans="1:16" ht="48.75" customHeight="1" x14ac:dyDescent="0.35">
      <c r="A490" s="379" t="s">
        <v>1310</v>
      </c>
      <c r="B490" s="468" t="s">
        <v>1276</v>
      </c>
      <c r="C490" s="165" t="s">
        <v>1074</v>
      </c>
      <c r="D490" s="141" t="s">
        <v>4</v>
      </c>
      <c r="E490" s="237" t="s">
        <v>7</v>
      </c>
      <c r="F490" s="163" t="s">
        <v>342</v>
      </c>
      <c r="G490" s="146"/>
      <c r="H490" s="141">
        <v>70421</v>
      </c>
      <c r="I490" s="142"/>
      <c r="J490" s="144">
        <v>25000000</v>
      </c>
      <c r="K490" s="144">
        <v>35000000</v>
      </c>
      <c r="L490" s="394"/>
      <c r="M490" s="394" t="s">
        <v>5133</v>
      </c>
      <c r="N490" s="580" t="s">
        <v>5126</v>
      </c>
      <c r="O490" s="380" t="s">
        <v>1276</v>
      </c>
    </row>
    <row r="491" spans="1:16" ht="27" customHeight="1" x14ac:dyDescent="0.35">
      <c r="A491" s="379" t="s">
        <v>2871</v>
      </c>
      <c r="B491" s="468" t="s">
        <v>1278</v>
      </c>
      <c r="C491" s="165" t="s">
        <v>1074</v>
      </c>
      <c r="D491" s="141" t="s">
        <v>4</v>
      </c>
      <c r="E491" s="237" t="s">
        <v>7</v>
      </c>
      <c r="F491" s="163" t="s">
        <v>342</v>
      </c>
      <c r="G491" s="146"/>
      <c r="H491" s="141">
        <v>70421</v>
      </c>
      <c r="I491" s="142"/>
      <c r="J491" s="144">
        <v>11246476</v>
      </c>
      <c r="K491" s="144">
        <v>10000000</v>
      </c>
      <c r="L491" s="394"/>
      <c r="M491" s="394" t="s">
        <v>5133</v>
      </c>
      <c r="N491" s="166"/>
      <c r="O491" s="380" t="s">
        <v>1278</v>
      </c>
    </row>
    <row r="492" spans="1:16" ht="49.5" customHeight="1" x14ac:dyDescent="0.35">
      <c r="A492" s="379" t="s">
        <v>3623</v>
      </c>
      <c r="B492" s="468" t="s">
        <v>1279</v>
      </c>
      <c r="C492" s="165" t="s">
        <v>1074</v>
      </c>
      <c r="D492" s="141" t="s">
        <v>4</v>
      </c>
      <c r="E492" s="237" t="s">
        <v>7</v>
      </c>
      <c r="F492" s="163" t="s">
        <v>992</v>
      </c>
      <c r="G492" s="146"/>
      <c r="H492" s="141">
        <v>70421</v>
      </c>
      <c r="I492" s="142"/>
      <c r="J492" s="144">
        <v>2000000</v>
      </c>
      <c r="K492" s="144">
        <v>2000000</v>
      </c>
      <c r="L492" s="394"/>
      <c r="M492" s="394" t="s">
        <v>5133</v>
      </c>
      <c r="N492" s="166"/>
      <c r="O492" s="381" t="s">
        <v>1279</v>
      </c>
    </row>
    <row r="493" spans="1:16" ht="49.5" customHeight="1" x14ac:dyDescent="0.35">
      <c r="A493" s="379" t="s">
        <v>5127</v>
      </c>
      <c r="B493" s="468" t="s">
        <v>5125</v>
      </c>
      <c r="C493" s="165" t="s">
        <v>5</v>
      </c>
      <c r="D493" s="141" t="s">
        <v>4</v>
      </c>
      <c r="E493" s="237" t="s">
        <v>7</v>
      </c>
      <c r="F493" s="163" t="s">
        <v>342</v>
      </c>
      <c r="G493" s="146"/>
      <c r="H493" s="141">
        <v>70421</v>
      </c>
      <c r="I493" s="142" t="s">
        <v>11</v>
      </c>
      <c r="J493" s="144"/>
      <c r="K493" s="144">
        <v>300000000</v>
      </c>
      <c r="L493" s="144">
        <v>300000000</v>
      </c>
      <c r="M493" s="718" t="s">
        <v>5123</v>
      </c>
      <c r="N493" s="166"/>
      <c r="O493" s="381"/>
    </row>
    <row r="494" spans="1:16" ht="49.5" customHeight="1" x14ac:dyDescent="0.35">
      <c r="A494" s="379" t="s">
        <v>5128</v>
      </c>
      <c r="B494" s="468" t="s">
        <v>5126</v>
      </c>
      <c r="C494" s="165" t="s">
        <v>5</v>
      </c>
      <c r="D494" s="141" t="s">
        <v>4</v>
      </c>
      <c r="E494" s="237" t="s">
        <v>7</v>
      </c>
      <c r="F494" s="163" t="s">
        <v>342</v>
      </c>
      <c r="G494" s="146"/>
      <c r="H494" s="141">
        <v>70421</v>
      </c>
      <c r="I494" s="142" t="s">
        <v>11</v>
      </c>
      <c r="J494" s="144"/>
      <c r="K494" s="144">
        <v>1000000000</v>
      </c>
      <c r="L494" s="144">
        <v>1000000000</v>
      </c>
      <c r="M494" s="718" t="s">
        <v>5123</v>
      </c>
      <c r="N494" s="166"/>
      <c r="O494" s="381"/>
    </row>
    <row r="495" spans="1:16" s="247" customFormat="1" ht="38.25" customHeight="1" x14ac:dyDescent="0.3">
      <c r="A495" s="245"/>
      <c r="B495" s="360" t="s">
        <v>1008</v>
      </c>
      <c r="C495" s="188"/>
      <c r="D495" s="257"/>
      <c r="E495" s="273"/>
      <c r="F495" s="257" t="s">
        <v>984</v>
      </c>
      <c r="G495" s="273"/>
      <c r="H495" s="257"/>
      <c r="I495" s="273"/>
      <c r="J495" s="259">
        <f>SUM(J460:J492)</f>
        <v>2011246476</v>
      </c>
      <c r="K495" s="259">
        <f>SUM(K460:K494)</f>
        <v>3300000000</v>
      </c>
      <c r="L495" s="707"/>
      <c r="M495" s="707"/>
      <c r="N495" s="259">
        <v>2988000000</v>
      </c>
      <c r="O495" s="245" t="s">
        <v>1008</v>
      </c>
      <c r="P495" s="246"/>
    </row>
    <row r="496" spans="1:16" ht="38.25" customHeight="1" x14ac:dyDescent="0.35">
      <c r="A496" s="382"/>
      <c r="B496" s="491"/>
      <c r="C496" s="311"/>
      <c r="D496" s="312"/>
      <c r="E496" s="322"/>
      <c r="F496" s="312"/>
      <c r="G496" s="322"/>
      <c r="H496" s="312"/>
      <c r="I496" s="322"/>
      <c r="J496" s="314"/>
      <c r="K496" s="458"/>
      <c r="L496" s="704"/>
      <c r="M496" s="704"/>
      <c r="N496" s="314"/>
      <c r="O496" s="382"/>
    </row>
    <row r="497" spans="1:16" ht="23.25" hidden="1" customHeight="1" x14ac:dyDescent="0.35">
      <c r="A497" s="501" t="s">
        <v>365</v>
      </c>
      <c r="B497" s="584"/>
      <c r="C497" s="502"/>
      <c r="D497" s="503"/>
      <c r="E497" s="504"/>
      <c r="F497" s="503"/>
      <c r="G497" s="504"/>
      <c r="H497" s="503"/>
      <c r="I497" s="504"/>
      <c r="J497" s="505"/>
      <c r="K497" s="458"/>
      <c r="L497" s="704"/>
      <c r="M497" s="704"/>
      <c r="N497" s="505"/>
      <c r="O497" s="383"/>
    </row>
    <row r="498" spans="1:16" ht="35.25" customHeight="1" x14ac:dyDescent="0.35">
      <c r="A498" s="428" t="s">
        <v>1247</v>
      </c>
      <c r="B498" s="583"/>
      <c r="C498" s="429"/>
      <c r="D498" s="430"/>
      <c r="E498" s="494"/>
      <c r="F498" s="430"/>
      <c r="G498" s="494"/>
      <c r="H498" s="430"/>
      <c r="I498" s="494"/>
      <c r="J498" s="495"/>
      <c r="K498" s="458"/>
      <c r="L498" s="704"/>
      <c r="M498" s="704"/>
      <c r="N498" s="495"/>
      <c r="O498" s="357"/>
    </row>
    <row r="499" spans="1:16" ht="78.75" customHeight="1" x14ac:dyDescent="0.35">
      <c r="A499" s="187" t="s">
        <v>1007</v>
      </c>
      <c r="B499" s="360" t="s">
        <v>50</v>
      </c>
      <c r="C499" s="175" t="s">
        <v>898</v>
      </c>
      <c r="D499" s="175" t="s">
        <v>52</v>
      </c>
      <c r="E499" s="187" t="s">
        <v>49</v>
      </c>
      <c r="F499" s="175" t="s">
        <v>1</v>
      </c>
      <c r="G499" s="187"/>
      <c r="H499" s="175" t="s">
        <v>51</v>
      </c>
      <c r="I499" s="187" t="s">
        <v>2</v>
      </c>
      <c r="J499" s="189" t="s">
        <v>4862</v>
      </c>
      <c r="K499" s="189" t="s">
        <v>5140</v>
      </c>
      <c r="L499" s="623" t="s">
        <v>5132</v>
      </c>
      <c r="M499" s="623" t="s">
        <v>5132</v>
      </c>
      <c r="N499" s="189" t="s">
        <v>1006</v>
      </c>
      <c r="O499" s="187" t="s">
        <v>50</v>
      </c>
      <c r="P499" s="697"/>
    </row>
    <row r="500" spans="1:16" ht="30.75" customHeight="1" x14ac:dyDescent="0.35">
      <c r="A500" s="379" t="s">
        <v>2872</v>
      </c>
      <c r="B500" s="463" t="s">
        <v>397</v>
      </c>
      <c r="C500" s="165" t="s">
        <v>5</v>
      </c>
      <c r="D500" s="141" t="s">
        <v>4</v>
      </c>
      <c r="E500" s="237" t="s">
        <v>22</v>
      </c>
      <c r="F500" s="163" t="s">
        <v>993</v>
      </c>
      <c r="G500" s="146"/>
      <c r="H500" s="141">
        <v>70411</v>
      </c>
      <c r="I500" s="142" t="s">
        <v>372</v>
      </c>
      <c r="J500" s="144">
        <v>5000000</v>
      </c>
      <c r="K500" s="144">
        <v>5000000</v>
      </c>
      <c r="L500" s="394"/>
      <c r="M500" s="394" t="s">
        <v>5133</v>
      </c>
      <c r="N500" s="625">
        <v>5000000</v>
      </c>
      <c r="O500" s="180" t="s">
        <v>397</v>
      </c>
      <c r="P500" s="384">
        <v>5000000</v>
      </c>
    </row>
    <row r="501" spans="1:16" ht="39.75" customHeight="1" x14ac:dyDescent="0.35">
      <c r="A501" s="379" t="s">
        <v>2873</v>
      </c>
      <c r="B501" s="463" t="s">
        <v>368</v>
      </c>
      <c r="C501" s="165" t="s">
        <v>5</v>
      </c>
      <c r="D501" s="141" t="s">
        <v>4</v>
      </c>
      <c r="E501" s="237" t="s">
        <v>22</v>
      </c>
      <c r="F501" s="163" t="s">
        <v>369</v>
      </c>
      <c r="G501" s="146"/>
      <c r="H501" s="141">
        <v>70411</v>
      </c>
      <c r="I501" s="142" t="s">
        <v>367</v>
      </c>
      <c r="J501" s="144">
        <v>20000000</v>
      </c>
      <c r="K501" s="144"/>
      <c r="L501" s="394"/>
      <c r="M501" s="394" t="s">
        <v>5133</v>
      </c>
      <c r="N501" s="149">
        <v>30000000</v>
      </c>
      <c r="O501" s="180" t="s">
        <v>368</v>
      </c>
      <c r="P501" s="384">
        <v>20000000</v>
      </c>
    </row>
    <row r="502" spans="1:16" ht="42.75" customHeight="1" x14ac:dyDescent="0.35">
      <c r="A502" s="379" t="s">
        <v>2874</v>
      </c>
      <c r="B502" s="463" t="s">
        <v>4951</v>
      </c>
      <c r="C502" s="165" t="s">
        <v>5</v>
      </c>
      <c r="D502" s="141" t="s">
        <v>4</v>
      </c>
      <c r="E502" s="237" t="s">
        <v>22</v>
      </c>
      <c r="F502" s="163" t="s">
        <v>395</v>
      </c>
      <c r="G502" s="146"/>
      <c r="H502" s="141">
        <v>70411</v>
      </c>
      <c r="I502" s="142" t="s">
        <v>396</v>
      </c>
      <c r="J502" s="144">
        <v>2000000</v>
      </c>
      <c r="K502" s="719"/>
      <c r="L502" s="394"/>
      <c r="M502" s="394" t="s">
        <v>5133</v>
      </c>
      <c r="N502" s="166">
        <v>2423200</v>
      </c>
      <c r="O502" s="180" t="s">
        <v>394</v>
      </c>
      <c r="P502" s="384">
        <v>2000000</v>
      </c>
    </row>
    <row r="503" spans="1:16" ht="42" customHeight="1" x14ac:dyDescent="0.35">
      <c r="A503" s="379" t="s">
        <v>2875</v>
      </c>
      <c r="B503" s="463" t="s">
        <v>3338</v>
      </c>
      <c r="C503" s="165" t="s">
        <v>5</v>
      </c>
      <c r="D503" s="141" t="s">
        <v>4</v>
      </c>
      <c r="E503" s="237" t="s">
        <v>22</v>
      </c>
      <c r="F503" s="163" t="s">
        <v>366</v>
      </c>
      <c r="G503" s="146"/>
      <c r="H503" s="141">
        <v>70411</v>
      </c>
      <c r="I503" s="142" t="s">
        <v>367</v>
      </c>
      <c r="J503" s="144">
        <v>50000000</v>
      </c>
      <c r="K503" s="144">
        <v>50000000</v>
      </c>
      <c r="L503" s="144">
        <v>50000000</v>
      </c>
      <c r="M503" s="394" t="s">
        <v>5133</v>
      </c>
      <c r="N503" s="149">
        <v>20000000</v>
      </c>
      <c r="O503" s="180" t="s">
        <v>3338</v>
      </c>
      <c r="P503" s="384">
        <v>50000000</v>
      </c>
    </row>
    <row r="504" spans="1:16" ht="36" customHeight="1" x14ac:dyDescent="0.35">
      <c r="A504" s="379" t="s">
        <v>3624</v>
      </c>
      <c r="B504" s="463" t="s">
        <v>4651</v>
      </c>
      <c r="C504" s="165" t="s">
        <v>5</v>
      </c>
      <c r="D504" s="141" t="s">
        <v>4</v>
      </c>
      <c r="E504" s="237" t="s">
        <v>22</v>
      </c>
      <c r="F504" s="163" t="s">
        <v>76</v>
      </c>
      <c r="G504" s="146"/>
      <c r="H504" s="141">
        <v>70411</v>
      </c>
      <c r="I504" s="142" t="s">
        <v>372</v>
      </c>
      <c r="J504" s="144">
        <v>350000000</v>
      </c>
      <c r="K504" s="144"/>
      <c r="L504" s="394"/>
      <c r="M504" s="394" t="s">
        <v>5133</v>
      </c>
      <c r="N504" s="624">
        <v>700000000</v>
      </c>
      <c r="O504" s="180" t="s">
        <v>373</v>
      </c>
      <c r="P504" s="384">
        <v>0</v>
      </c>
    </row>
    <row r="505" spans="1:16" ht="30.75" customHeight="1" x14ac:dyDescent="0.35">
      <c r="A505" s="379" t="s">
        <v>2876</v>
      </c>
      <c r="B505" s="463" t="s">
        <v>60</v>
      </c>
      <c r="C505" s="165" t="s">
        <v>5</v>
      </c>
      <c r="D505" s="141" t="s">
        <v>4</v>
      </c>
      <c r="E505" s="237" t="s">
        <v>22</v>
      </c>
      <c r="F505" s="163" t="s">
        <v>76</v>
      </c>
      <c r="G505" s="146"/>
      <c r="H505" s="141">
        <v>70411</v>
      </c>
      <c r="I505" s="142" t="s">
        <v>372</v>
      </c>
      <c r="J505" s="144">
        <v>5000000</v>
      </c>
      <c r="K505" s="144">
        <v>5000000</v>
      </c>
      <c r="L505" s="394"/>
      <c r="M505" s="394" t="s">
        <v>5133</v>
      </c>
      <c r="N505" s="625">
        <v>10366120</v>
      </c>
      <c r="O505" s="180" t="s">
        <v>60</v>
      </c>
      <c r="P505" s="384">
        <v>5000000</v>
      </c>
    </row>
    <row r="506" spans="1:16" ht="57" customHeight="1" x14ac:dyDescent="0.35">
      <c r="A506" s="379" t="s">
        <v>2877</v>
      </c>
      <c r="B506" s="463" t="s">
        <v>376</v>
      </c>
      <c r="C506" s="165" t="s">
        <v>5</v>
      </c>
      <c r="D506" s="141" t="s">
        <v>4</v>
      </c>
      <c r="E506" s="237" t="s">
        <v>22</v>
      </c>
      <c r="F506" s="163" t="s">
        <v>265</v>
      </c>
      <c r="G506" s="146"/>
      <c r="H506" s="141">
        <v>70411</v>
      </c>
      <c r="I506" s="142" t="s">
        <v>909</v>
      </c>
      <c r="J506" s="144">
        <v>10000000</v>
      </c>
      <c r="K506" s="144"/>
      <c r="L506" s="394"/>
      <c r="M506" s="394" t="s">
        <v>5133</v>
      </c>
      <c r="N506" s="624">
        <v>10000000</v>
      </c>
      <c r="O506" s="180" t="s">
        <v>376</v>
      </c>
      <c r="P506" s="384">
        <v>10000000</v>
      </c>
    </row>
    <row r="507" spans="1:16" ht="39" customHeight="1" x14ac:dyDescent="0.35">
      <c r="A507" s="379" t="s">
        <v>2878</v>
      </c>
      <c r="B507" s="463" t="s">
        <v>384</v>
      </c>
      <c r="C507" s="165" t="s">
        <v>5</v>
      </c>
      <c r="D507" s="141" t="s">
        <v>4</v>
      </c>
      <c r="E507" s="237" t="s">
        <v>22</v>
      </c>
      <c r="F507" s="163" t="s">
        <v>265</v>
      </c>
      <c r="G507" s="146"/>
      <c r="H507" s="141">
        <v>70411</v>
      </c>
      <c r="I507" s="142" t="s">
        <v>909</v>
      </c>
      <c r="J507" s="144">
        <v>5000000</v>
      </c>
      <c r="K507" s="144"/>
      <c r="L507" s="394"/>
      <c r="M507" s="394" t="s">
        <v>5133</v>
      </c>
      <c r="N507" s="624">
        <v>10000000</v>
      </c>
      <c r="O507" s="180" t="s">
        <v>384</v>
      </c>
      <c r="P507" s="384">
        <v>5000000</v>
      </c>
    </row>
    <row r="508" spans="1:16" ht="39.75" customHeight="1" x14ac:dyDescent="0.35">
      <c r="A508" s="379" t="s">
        <v>2879</v>
      </c>
      <c r="B508" s="463" t="s">
        <v>4649</v>
      </c>
      <c r="C508" s="165" t="s">
        <v>5</v>
      </c>
      <c r="D508" s="141" t="s">
        <v>4</v>
      </c>
      <c r="E508" s="237" t="s">
        <v>22</v>
      </c>
      <c r="F508" s="163" t="s">
        <v>265</v>
      </c>
      <c r="G508" s="146"/>
      <c r="H508" s="141">
        <v>70411</v>
      </c>
      <c r="I508" s="142" t="s">
        <v>909</v>
      </c>
      <c r="J508" s="144">
        <v>5000000</v>
      </c>
      <c r="K508" s="144"/>
      <c r="L508" s="394"/>
      <c r="M508" s="394" t="s">
        <v>5133</v>
      </c>
      <c r="N508" s="624"/>
      <c r="O508" s="180" t="s">
        <v>3339</v>
      </c>
      <c r="P508" s="384">
        <v>5000000</v>
      </c>
    </row>
    <row r="509" spans="1:16" ht="30.75" customHeight="1" x14ac:dyDescent="0.35">
      <c r="A509" s="379" t="s">
        <v>2880</v>
      </c>
      <c r="B509" s="463" t="s">
        <v>385</v>
      </c>
      <c r="C509" s="165" t="s">
        <v>5</v>
      </c>
      <c r="D509" s="141" t="s">
        <v>4</v>
      </c>
      <c r="E509" s="237" t="s">
        <v>22</v>
      </c>
      <c r="F509" s="163" t="s">
        <v>265</v>
      </c>
      <c r="G509" s="146"/>
      <c r="H509" s="141">
        <v>70411</v>
      </c>
      <c r="I509" s="142" t="s">
        <v>909</v>
      </c>
      <c r="J509" s="144">
        <v>10000000</v>
      </c>
      <c r="K509" s="144">
        <v>9424200</v>
      </c>
      <c r="L509" s="394"/>
      <c r="M509" s="394" t="s">
        <v>5133</v>
      </c>
      <c r="N509" s="624">
        <v>20000000</v>
      </c>
      <c r="O509" s="180" t="s">
        <v>385</v>
      </c>
      <c r="P509" s="384">
        <v>10000000</v>
      </c>
    </row>
    <row r="510" spans="1:16" ht="30.75" customHeight="1" x14ac:dyDescent="0.35">
      <c r="A510" s="379" t="s">
        <v>2881</v>
      </c>
      <c r="B510" s="463" t="s">
        <v>4667</v>
      </c>
      <c r="C510" s="165" t="s">
        <v>5</v>
      </c>
      <c r="D510" s="141" t="s">
        <v>4</v>
      </c>
      <c r="E510" s="237" t="s">
        <v>22</v>
      </c>
      <c r="F510" s="163" t="s">
        <v>374</v>
      </c>
      <c r="G510" s="146"/>
      <c r="H510" s="141">
        <v>70411</v>
      </c>
      <c r="I510" s="142" t="s">
        <v>372</v>
      </c>
      <c r="J510" s="144">
        <v>1300000000</v>
      </c>
      <c r="K510" s="144">
        <v>350000000</v>
      </c>
      <c r="L510" s="394"/>
      <c r="M510" s="394" t="s">
        <v>5133</v>
      </c>
      <c r="N510" s="624">
        <v>700000000</v>
      </c>
      <c r="O510" s="180" t="s">
        <v>375</v>
      </c>
      <c r="P510" s="384">
        <v>10000000</v>
      </c>
    </row>
    <row r="511" spans="1:16" ht="30.75" customHeight="1" x14ac:dyDescent="0.35">
      <c r="A511" s="379" t="s">
        <v>3625</v>
      </c>
      <c r="B511" s="463" t="s">
        <v>3477</v>
      </c>
      <c r="C511" s="379" t="s">
        <v>5</v>
      </c>
      <c r="D511" s="379" t="s">
        <v>4</v>
      </c>
      <c r="E511" s="379" t="s">
        <v>22</v>
      </c>
      <c r="F511" s="379" t="s">
        <v>374</v>
      </c>
      <c r="G511" s="379"/>
      <c r="H511" s="379">
        <v>70411</v>
      </c>
      <c r="I511" s="379" t="s">
        <v>372</v>
      </c>
      <c r="J511" s="144">
        <v>1200000000</v>
      </c>
      <c r="K511" s="144">
        <f>3000000000+250000000</f>
        <v>3250000000</v>
      </c>
      <c r="L511" s="144">
        <f>3000000000+250000000</f>
        <v>3250000000</v>
      </c>
      <c r="M511" s="720" t="s">
        <v>5123</v>
      </c>
      <c r="N511" s="346">
        <f>[2]CAPEX!$K$432</f>
        <v>500000000</v>
      </c>
      <c r="O511" s="180"/>
      <c r="P511" s="384">
        <v>0</v>
      </c>
    </row>
    <row r="512" spans="1:16" ht="35.25" customHeight="1" x14ac:dyDescent="0.35">
      <c r="A512" s="379" t="s">
        <v>3626</v>
      </c>
      <c r="B512" s="463" t="s">
        <v>380</v>
      </c>
      <c r="C512" s="165" t="s">
        <v>381</v>
      </c>
      <c r="D512" s="141" t="s">
        <v>4</v>
      </c>
      <c r="E512" s="237" t="s">
        <v>22</v>
      </c>
      <c r="F512" s="163" t="s">
        <v>374</v>
      </c>
      <c r="G512" s="146"/>
      <c r="H512" s="141">
        <v>70411</v>
      </c>
      <c r="I512" s="142" t="s">
        <v>372</v>
      </c>
      <c r="J512" s="144">
        <f>186697000+90000000</f>
        <v>276697000</v>
      </c>
      <c r="K512" s="144">
        <v>100000000</v>
      </c>
      <c r="L512" s="394"/>
      <c r="M512" s="394" t="s">
        <v>5133</v>
      </c>
      <c r="N512" s="624">
        <v>244466044.68000001</v>
      </c>
      <c r="O512" s="180" t="s">
        <v>380</v>
      </c>
      <c r="P512" s="384">
        <f>276697000-90000000</f>
        <v>186697000</v>
      </c>
    </row>
    <row r="513" spans="1:16" ht="30.75" customHeight="1" x14ac:dyDescent="0.35">
      <c r="A513" s="379" t="s">
        <v>2882</v>
      </c>
      <c r="B513" s="463" t="s">
        <v>382</v>
      </c>
      <c r="C513" s="165" t="s">
        <v>5</v>
      </c>
      <c r="D513" s="141" t="s">
        <v>4</v>
      </c>
      <c r="E513" s="237" t="s">
        <v>22</v>
      </c>
      <c r="F513" s="163" t="s">
        <v>374</v>
      </c>
      <c r="G513" s="146"/>
      <c r="H513" s="141">
        <v>70411</v>
      </c>
      <c r="I513" s="142" t="s">
        <v>372</v>
      </c>
      <c r="J513" s="144">
        <f>101000000+500000000</f>
        <v>601000000</v>
      </c>
      <c r="K513" s="144">
        <v>500000000</v>
      </c>
      <c r="L513" s="394"/>
      <c r="M513" s="394" t="s">
        <v>5133</v>
      </c>
      <c r="N513" s="624">
        <v>260200636.71000001</v>
      </c>
      <c r="O513" s="180" t="s">
        <v>382</v>
      </c>
      <c r="P513" s="384">
        <v>101000000</v>
      </c>
    </row>
    <row r="514" spans="1:16" ht="30.75" customHeight="1" x14ac:dyDescent="0.35">
      <c r="A514" s="379" t="s">
        <v>3627</v>
      </c>
      <c r="B514" s="463" t="s">
        <v>4626</v>
      </c>
      <c r="C514" s="165" t="s">
        <v>5</v>
      </c>
      <c r="D514" s="141" t="s">
        <v>4</v>
      </c>
      <c r="E514" s="237" t="s">
        <v>22</v>
      </c>
      <c r="F514" s="163" t="s">
        <v>374</v>
      </c>
      <c r="G514" s="146"/>
      <c r="H514" s="141">
        <v>70411</v>
      </c>
      <c r="I514" s="142" t="s">
        <v>372</v>
      </c>
      <c r="J514" s="144">
        <v>800000000</v>
      </c>
      <c r="K514" s="144">
        <v>500000000</v>
      </c>
      <c r="L514" s="144">
        <v>500000000</v>
      </c>
      <c r="M514" s="394" t="str">
        <f>M511</f>
        <v>CRP</v>
      </c>
      <c r="N514" s="346">
        <f>[2]CAPEX!$K$732</f>
        <v>250000000</v>
      </c>
      <c r="O514" s="180"/>
      <c r="P514" s="384">
        <v>0</v>
      </c>
    </row>
    <row r="515" spans="1:16" ht="30.75" customHeight="1" x14ac:dyDescent="0.35">
      <c r="A515" s="379" t="s">
        <v>3628</v>
      </c>
      <c r="B515" s="463" t="s">
        <v>386</v>
      </c>
      <c r="C515" s="165" t="s">
        <v>387</v>
      </c>
      <c r="D515" s="141" t="s">
        <v>4</v>
      </c>
      <c r="E515" s="237" t="s">
        <v>22</v>
      </c>
      <c r="F515" s="163" t="s">
        <v>374</v>
      </c>
      <c r="G515" s="146"/>
      <c r="H515" s="141">
        <v>70411</v>
      </c>
      <c r="I515" s="142" t="s">
        <v>372</v>
      </c>
      <c r="J515" s="144">
        <v>181303000</v>
      </c>
      <c r="K515" s="144">
        <v>120000000</v>
      </c>
      <c r="L515" s="394"/>
      <c r="M515" s="394" t="s">
        <v>5133</v>
      </c>
      <c r="N515" s="624">
        <v>200927954.84999999</v>
      </c>
      <c r="O515" s="180" t="s">
        <v>386</v>
      </c>
      <c r="P515" s="384">
        <v>181303000</v>
      </c>
    </row>
    <row r="516" spans="1:16" ht="30.75" customHeight="1" x14ac:dyDescent="0.35">
      <c r="A516" s="379" t="s">
        <v>3629</v>
      </c>
      <c r="B516" s="463" t="s">
        <v>3335</v>
      </c>
      <c r="C516" s="165" t="s">
        <v>389</v>
      </c>
      <c r="D516" s="141" t="s">
        <v>4</v>
      </c>
      <c r="E516" s="237" t="s">
        <v>22</v>
      </c>
      <c r="F516" s="163" t="s">
        <v>374</v>
      </c>
      <c r="G516" s="146"/>
      <c r="H516" s="141">
        <v>70411</v>
      </c>
      <c r="I516" s="142" t="s">
        <v>372</v>
      </c>
      <c r="J516" s="144">
        <v>110424200</v>
      </c>
      <c r="K516" s="144">
        <v>100000000</v>
      </c>
      <c r="L516" s="394"/>
      <c r="M516" s="394" t="s">
        <v>5133</v>
      </c>
      <c r="N516" s="624">
        <v>80000000</v>
      </c>
      <c r="O516" s="180" t="s">
        <v>3335</v>
      </c>
      <c r="P516" s="384">
        <v>110424200</v>
      </c>
    </row>
    <row r="517" spans="1:16" ht="30.75" customHeight="1" x14ac:dyDescent="0.35">
      <c r="A517" s="379" t="s">
        <v>2883</v>
      </c>
      <c r="B517" s="463" t="s">
        <v>4644</v>
      </c>
      <c r="C517" s="165"/>
      <c r="D517" s="141" t="s">
        <v>4</v>
      </c>
      <c r="E517" s="237" t="s">
        <v>22</v>
      </c>
      <c r="F517" s="163" t="s">
        <v>374</v>
      </c>
      <c r="G517" s="146"/>
      <c r="H517" s="141">
        <v>70411</v>
      </c>
      <c r="I517" s="142"/>
      <c r="J517" s="144">
        <v>70000000</v>
      </c>
      <c r="K517" s="144">
        <v>80000000</v>
      </c>
      <c r="L517" s="394"/>
      <c r="M517" s="394" t="s">
        <v>5133</v>
      </c>
      <c r="N517" s="411">
        <f>[2]CAPEX!$K$448</f>
        <v>160772741.61000001</v>
      </c>
      <c r="O517" s="180"/>
      <c r="P517" s="384"/>
    </row>
    <row r="518" spans="1:16" ht="30.75" customHeight="1" x14ac:dyDescent="0.35">
      <c r="A518" s="379" t="s">
        <v>2884</v>
      </c>
      <c r="B518" s="463" t="s">
        <v>4645</v>
      </c>
      <c r="C518" s="165"/>
      <c r="D518" s="141" t="s">
        <v>4</v>
      </c>
      <c r="E518" s="237" t="s">
        <v>22</v>
      </c>
      <c r="F518" s="163" t="s">
        <v>374</v>
      </c>
      <c r="G518" s="146"/>
      <c r="H518" s="141">
        <v>70411</v>
      </c>
      <c r="I518" s="142"/>
      <c r="J518" s="144">
        <v>80000000</v>
      </c>
      <c r="K518" s="144">
        <v>50000000</v>
      </c>
      <c r="L518" s="394"/>
      <c r="M518" s="394" t="s">
        <v>5133</v>
      </c>
      <c r="N518" s="411">
        <f>[2]CAPEX!$K$736</f>
        <v>219192691.02000001</v>
      </c>
      <c r="O518" s="180"/>
      <c r="P518" s="384"/>
    </row>
    <row r="519" spans="1:16" ht="30.75" customHeight="1" x14ac:dyDescent="0.35">
      <c r="A519" s="379" t="s">
        <v>3630</v>
      </c>
      <c r="B519" s="463" t="s">
        <v>4646</v>
      </c>
      <c r="C519" s="165"/>
      <c r="D519" s="141" t="s">
        <v>4</v>
      </c>
      <c r="E519" s="237" t="s">
        <v>22</v>
      </c>
      <c r="F519" s="163" t="s">
        <v>374</v>
      </c>
      <c r="G519" s="146"/>
      <c r="H519" s="141">
        <v>70411</v>
      </c>
      <c r="I519" s="142"/>
      <c r="J519" s="144">
        <v>150000000</v>
      </c>
      <c r="K519" s="144">
        <v>100000000</v>
      </c>
      <c r="L519" s="394"/>
      <c r="M519" s="394" t="s">
        <v>5133</v>
      </c>
      <c r="N519" s="411">
        <f>[2]CAPEX!$K$446</f>
        <v>313376527.43000001</v>
      </c>
      <c r="O519" s="180"/>
      <c r="P519" s="384"/>
    </row>
    <row r="520" spans="1:16" ht="30.75" customHeight="1" x14ac:dyDescent="0.35">
      <c r="A520" s="379" t="s">
        <v>2885</v>
      </c>
      <c r="B520" s="463" t="s">
        <v>4650</v>
      </c>
      <c r="C520" s="165"/>
      <c r="D520" s="141" t="s">
        <v>4</v>
      </c>
      <c r="E520" s="237" t="s">
        <v>22</v>
      </c>
      <c r="F520" s="163" t="s">
        <v>374</v>
      </c>
      <c r="G520" s="146"/>
      <c r="H520" s="141">
        <v>70411</v>
      </c>
      <c r="I520" s="142"/>
      <c r="J520" s="144">
        <v>80000000</v>
      </c>
      <c r="K520" s="144">
        <v>50000000</v>
      </c>
      <c r="L520" s="394"/>
      <c r="M520" s="394" t="s">
        <v>5133</v>
      </c>
      <c r="N520" s="411">
        <f>[2]CAPEX!$K$735</f>
        <v>237698804.78</v>
      </c>
      <c r="O520" s="180"/>
      <c r="P520" s="384"/>
    </row>
    <row r="521" spans="1:16" ht="32.25" customHeight="1" x14ac:dyDescent="0.35">
      <c r="A521" s="379" t="s">
        <v>3631</v>
      </c>
      <c r="B521" s="463" t="s">
        <v>399</v>
      </c>
      <c r="C521" s="165" t="s">
        <v>5</v>
      </c>
      <c r="D521" s="141" t="s">
        <v>4</v>
      </c>
      <c r="E521" s="237" t="s">
        <v>22</v>
      </c>
      <c r="F521" s="163" t="s">
        <v>192</v>
      </c>
      <c r="G521" s="146"/>
      <c r="H521" s="141">
        <v>70411</v>
      </c>
      <c r="I521" s="142" t="s">
        <v>400</v>
      </c>
      <c r="J521" s="144">
        <v>20000000</v>
      </c>
      <c r="K521" s="144"/>
      <c r="L521" s="394"/>
      <c r="M521" s="394" t="s">
        <v>5133</v>
      </c>
      <c r="N521" s="625">
        <v>30000000</v>
      </c>
      <c r="O521" s="180" t="s">
        <v>399</v>
      </c>
      <c r="P521" s="384">
        <v>20000000</v>
      </c>
    </row>
    <row r="522" spans="1:16" ht="54.75" customHeight="1" x14ac:dyDescent="0.35">
      <c r="A522" s="379" t="s">
        <v>2886</v>
      </c>
      <c r="B522" s="463" t="s">
        <v>4691</v>
      </c>
      <c r="C522" s="165" t="s">
        <v>5</v>
      </c>
      <c r="D522" s="141" t="s">
        <v>4</v>
      </c>
      <c r="E522" s="237" t="s">
        <v>22</v>
      </c>
      <c r="F522" s="163" t="s">
        <v>371</v>
      </c>
      <c r="G522" s="146"/>
      <c r="H522" s="141">
        <v>70411</v>
      </c>
      <c r="I522" s="142" t="s">
        <v>372</v>
      </c>
      <c r="J522" s="144">
        <v>20000000</v>
      </c>
      <c r="K522" s="144">
        <v>15000000</v>
      </c>
      <c r="L522" s="394"/>
      <c r="M522" s="394" t="s">
        <v>5133</v>
      </c>
      <c r="N522" s="624">
        <v>38666699.079999998</v>
      </c>
      <c r="O522" s="180" t="s">
        <v>370</v>
      </c>
      <c r="P522" s="384">
        <v>20000000</v>
      </c>
    </row>
    <row r="523" spans="1:16" ht="30" customHeight="1" x14ac:dyDescent="0.35">
      <c r="A523" s="379" t="s">
        <v>4592</v>
      </c>
      <c r="B523" s="463" t="s">
        <v>3336</v>
      </c>
      <c r="C523" s="165" t="s">
        <v>5</v>
      </c>
      <c r="D523" s="141" t="s">
        <v>4</v>
      </c>
      <c r="E523" s="237" t="s">
        <v>22</v>
      </c>
      <c r="F523" s="163">
        <v>32010606</v>
      </c>
      <c r="G523" s="146"/>
      <c r="H523" s="141">
        <v>70411</v>
      </c>
      <c r="I523" s="142" t="s">
        <v>904</v>
      </c>
      <c r="J523" s="144">
        <v>7181800</v>
      </c>
      <c r="K523" s="144"/>
      <c r="L523" s="394"/>
      <c r="M523" s="394" t="s">
        <v>5133</v>
      </c>
      <c r="N523" s="625">
        <v>14889600</v>
      </c>
      <c r="O523" s="180" t="s">
        <v>3336</v>
      </c>
      <c r="P523" s="384">
        <v>7181800</v>
      </c>
    </row>
    <row r="524" spans="1:16" ht="30" customHeight="1" x14ac:dyDescent="0.35">
      <c r="A524" s="379" t="s">
        <v>4720</v>
      </c>
      <c r="B524" s="463" t="s">
        <v>3337</v>
      </c>
      <c r="C524" s="165" t="s">
        <v>5</v>
      </c>
      <c r="D524" s="141" t="s">
        <v>4</v>
      </c>
      <c r="E524" s="237" t="s">
        <v>3068</v>
      </c>
      <c r="F524" s="163" t="s">
        <v>62</v>
      </c>
      <c r="G524" s="146"/>
      <c r="H524" s="141">
        <v>70411</v>
      </c>
      <c r="I524" s="142" t="s">
        <v>904</v>
      </c>
      <c r="J524" s="144">
        <v>8000000</v>
      </c>
      <c r="K524" s="144"/>
      <c r="L524" s="394"/>
      <c r="M524" s="394" t="s">
        <v>5133</v>
      </c>
      <c r="N524" s="625"/>
      <c r="O524" s="180" t="s">
        <v>3337</v>
      </c>
      <c r="P524" s="384">
        <v>8000000</v>
      </c>
    </row>
    <row r="525" spans="1:16" ht="30" customHeight="1" x14ac:dyDescent="0.35">
      <c r="A525" s="379" t="s">
        <v>4721</v>
      </c>
      <c r="B525" s="463" t="s">
        <v>3065</v>
      </c>
      <c r="C525" s="165" t="s">
        <v>5</v>
      </c>
      <c r="D525" s="141" t="s">
        <v>3067</v>
      </c>
      <c r="E525" s="237" t="s">
        <v>7</v>
      </c>
      <c r="F525" s="163" t="s">
        <v>54</v>
      </c>
      <c r="G525" s="146"/>
      <c r="H525" s="141">
        <v>70421</v>
      </c>
      <c r="I525" s="142" t="s">
        <v>900</v>
      </c>
      <c r="J525" s="144">
        <v>7000000</v>
      </c>
      <c r="K525" s="144"/>
      <c r="L525" s="394"/>
      <c r="M525" s="394" t="s">
        <v>5133</v>
      </c>
      <c r="N525" s="625"/>
      <c r="O525" s="180" t="s">
        <v>3065</v>
      </c>
      <c r="P525" s="384">
        <v>7000000</v>
      </c>
    </row>
    <row r="526" spans="1:16" ht="30.75" customHeight="1" x14ac:dyDescent="0.35">
      <c r="A526" s="379" t="s">
        <v>4722</v>
      </c>
      <c r="B526" s="463" t="s">
        <v>3066</v>
      </c>
      <c r="C526" s="165" t="s">
        <v>5</v>
      </c>
      <c r="D526" s="141" t="s">
        <v>4</v>
      </c>
      <c r="E526" s="237" t="s">
        <v>3068</v>
      </c>
      <c r="F526" s="163" t="s">
        <v>62</v>
      </c>
      <c r="G526" s="146"/>
      <c r="H526" s="141">
        <v>70411</v>
      </c>
      <c r="I526" s="142" t="s">
        <v>904</v>
      </c>
      <c r="J526" s="144">
        <v>6000000</v>
      </c>
      <c r="K526" s="144"/>
      <c r="L526" s="394"/>
      <c r="M526" s="394" t="s">
        <v>5133</v>
      </c>
      <c r="N526" s="625">
        <v>10889600</v>
      </c>
      <c r="O526" s="180" t="s">
        <v>3066</v>
      </c>
      <c r="P526" s="384">
        <v>6000000</v>
      </c>
    </row>
    <row r="527" spans="1:16" ht="30.75" customHeight="1" x14ac:dyDescent="0.35">
      <c r="A527" s="379" t="s">
        <v>4723</v>
      </c>
      <c r="B527" s="463" t="s">
        <v>3069</v>
      </c>
      <c r="C527" s="363" t="s">
        <v>5</v>
      </c>
      <c r="D527" s="163" t="s">
        <v>4</v>
      </c>
      <c r="E527" s="237" t="s">
        <v>17</v>
      </c>
      <c r="F527" s="163" t="s">
        <v>105</v>
      </c>
      <c r="G527" s="365"/>
      <c r="H527" s="141">
        <v>70620</v>
      </c>
      <c r="I527" s="142" t="s">
        <v>59</v>
      </c>
      <c r="J527" s="144">
        <v>50000000</v>
      </c>
      <c r="K527" s="144">
        <v>50000000</v>
      </c>
      <c r="L527" s="394"/>
      <c r="M527" s="394" t="s">
        <v>5133</v>
      </c>
      <c r="N527" s="625"/>
      <c r="O527" s="180" t="s">
        <v>3069</v>
      </c>
      <c r="P527" s="384">
        <v>50000000</v>
      </c>
    </row>
    <row r="528" spans="1:16" ht="38.25" customHeight="1" x14ac:dyDescent="0.35">
      <c r="A528" s="178"/>
      <c r="B528" s="360" t="s">
        <v>1008</v>
      </c>
      <c r="C528" s="188"/>
      <c r="D528" s="171"/>
      <c r="E528" s="273"/>
      <c r="F528" s="257"/>
      <c r="G528" s="274"/>
      <c r="H528" s="171"/>
      <c r="I528" s="275"/>
      <c r="J528" s="385">
        <f>SUM(J500:J527)</f>
        <v>5429606000</v>
      </c>
      <c r="K528" s="385">
        <f>SUM(K500:K527)</f>
        <v>5334424200</v>
      </c>
      <c r="L528" s="711"/>
      <c r="M528" s="711"/>
      <c r="N528" s="680">
        <f>SUM(N500:N526)</f>
        <v>4068870620.1599998</v>
      </c>
      <c r="O528" s="178" t="s">
        <v>1008</v>
      </c>
      <c r="P528" s="231">
        <f>SUM(P500:P527)</f>
        <v>819606000</v>
      </c>
    </row>
    <row r="529" spans="1:35" ht="42" customHeight="1" x14ac:dyDescent="0.35">
      <c r="A529" s="286"/>
      <c r="B529" s="492"/>
      <c r="C529" s="282"/>
      <c r="D529" s="283"/>
      <c r="E529" s="330"/>
      <c r="F529" s="283"/>
      <c r="G529" s="330"/>
      <c r="H529" s="283"/>
      <c r="I529" s="330"/>
      <c r="J529" s="285"/>
      <c r="K529" s="458"/>
      <c r="L529" s="704"/>
      <c r="M529" s="704"/>
      <c r="N529" s="285"/>
      <c r="O529" s="286">
        <v>2039424200</v>
      </c>
      <c r="P529" s="231">
        <f>O529-K528</f>
        <v>-3295000000</v>
      </c>
    </row>
    <row r="530" spans="1:35" ht="24.75" hidden="1" customHeight="1" x14ac:dyDescent="0.35">
      <c r="A530" s="160" t="s">
        <v>2594</v>
      </c>
      <c r="B530" s="585"/>
      <c r="C530" s="506"/>
      <c r="D530" s="507"/>
      <c r="E530" s="508"/>
      <c r="F530" s="507"/>
      <c r="G530" s="508"/>
      <c r="H530" s="507"/>
      <c r="I530" s="508"/>
      <c r="J530" s="509"/>
      <c r="K530" s="458"/>
      <c r="L530" s="704"/>
      <c r="M530" s="704"/>
      <c r="N530" s="509"/>
      <c r="O530" s="386"/>
    </row>
    <row r="531" spans="1:35" x14ac:dyDescent="0.35">
      <c r="A531" s="510" t="s">
        <v>2892</v>
      </c>
      <c r="B531" s="583"/>
      <c r="C531" s="429"/>
      <c r="D531" s="430"/>
      <c r="E531" s="494"/>
      <c r="F531" s="430"/>
      <c r="G531" s="494"/>
      <c r="H531" s="430"/>
      <c r="I531" s="494"/>
      <c r="J531" s="495"/>
      <c r="K531" s="458"/>
      <c r="L531" s="704"/>
      <c r="M531" s="704"/>
      <c r="N531" s="495"/>
      <c r="O531" s="357"/>
    </row>
    <row r="532" spans="1:35" ht="45.75" customHeight="1" x14ac:dyDescent="0.35">
      <c r="A532" s="187" t="s">
        <v>1007</v>
      </c>
      <c r="B532" s="360" t="s">
        <v>50</v>
      </c>
      <c r="C532" s="175" t="s">
        <v>898</v>
      </c>
      <c r="D532" s="175" t="s">
        <v>52</v>
      </c>
      <c r="E532" s="187" t="s">
        <v>49</v>
      </c>
      <c r="F532" s="175" t="s">
        <v>1</v>
      </c>
      <c r="G532" s="187"/>
      <c r="H532" s="175" t="s">
        <v>51</v>
      </c>
      <c r="I532" s="187" t="s">
        <v>2</v>
      </c>
      <c r="J532" s="189" t="s">
        <v>4862</v>
      </c>
      <c r="K532" s="189" t="s">
        <v>5140</v>
      </c>
      <c r="L532" s="623" t="s">
        <v>5132</v>
      </c>
      <c r="M532" s="623" t="s">
        <v>5132</v>
      </c>
      <c r="N532" s="189" t="s">
        <v>1006</v>
      </c>
      <c r="O532" s="187" t="s">
        <v>50</v>
      </c>
      <c r="P532" s="387"/>
      <c r="Q532" s="187"/>
      <c r="R532" s="187"/>
      <c r="S532" s="187"/>
      <c r="T532" s="187"/>
      <c r="U532" s="187"/>
      <c r="V532" s="187"/>
      <c r="W532" s="187"/>
      <c r="X532" s="187"/>
      <c r="Y532" s="187"/>
      <c r="Z532" s="187"/>
      <c r="AA532" s="187"/>
    </row>
    <row r="533" spans="1:35" ht="63" customHeight="1" x14ac:dyDescent="0.35">
      <c r="A533" s="379" t="s">
        <v>2887</v>
      </c>
      <c r="B533" s="463" t="s">
        <v>401</v>
      </c>
      <c r="C533" s="165" t="s">
        <v>5</v>
      </c>
      <c r="D533" s="141" t="s">
        <v>4</v>
      </c>
      <c r="E533" s="237" t="s">
        <v>36</v>
      </c>
      <c r="F533" s="163" t="s">
        <v>366</v>
      </c>
      <c r="G533" s="146"/>
      <c r="H533" s="141">
        <v>70411</v>
      </c>
      <c r="I533" s="142" t="s">
        <v>367</v>
      </c>
      <c r="J533" s="144">
        <v>100000000</v>
      </c>
      <c r="K533" s="627">
        <v>50000000</v>
      </c>
      <c r="L533" s="394"/>
      <c r="M533" s="394" t="s">
        <v>5133</v>
      </c>
      <c r="N533" s="277">
        <v>100000000</v>
      </c>
      <c r="O533" s="180" t="s">
        <v>401</v>
      </c>
    </row>
    <row r="534" spans="1:35" ht="27.75" customHeight="1" x14ac:dyDescent="0.35">
      <c r="A534" s="379" t="s">
        <v>2888</v>
      </c>
      <c r="B534" s="463" t="s">
        <v>402</v>
      </c>
      <c r="C534" s="165" t="s">
        <v>5</v>
      </c>
      <c r="D534" s="141" t="s">
        <v>4</v>
      </c>
      <c r="E534" s="237" t="s">
        <v>36</v>
      </c>
      <c r="F534" s="163" t="s">
        <v>366</v>
      </c>
      <c r="G534" s="146"/>
      <c r="H534" s="141">
        <v>70411</v>
      </c>
      <c r="I534" s="142" t="s">
        <v>367</v>
      </c>
      <c r="J534" s="144">
        <v>100000000</v>
      </c>
      <c r="K534" s="627">
        <v>60000000</v>
      </c>
      <c r="L534" s="394"/>
      <c r="M534" s="394" t="s">
        <v>5133</v>
      </c>
      <c r="N534" s="277">
        <v>100000000</v>
      </c>
      <c r="O534" s="180" t="s">
        <v>402</v>
      </c>
    </row>
    <row r="535" spans="1:35" ht="27.75" customHeight="1" x14ac:dyDescent="0.35">
      <c r="A535" s="379" t="s">
        <v>2889</v>
      </c>
      <c r="B535" s="463" t="s">
        <v>403</v>
      </c>
      <c r="C535" s="165" t="s">
        <v>5</v>
      </c>
      <c r="D535" s="141" t="s">
        <v>4</v>
      </c>
      <c r="E535" s="237" t="s">
        <v>36</v>
      </c>
      <c r="F535" s="163" t="s">
        <v>366</v>
      </c>
      <c r="G535" s="146"/>
      <c r="H535" s="141">
        <v>70411</v>
      </c>
      <c r="I535" s="142" t="s">
        <v>367</v>
      </c>
      <c r="J535" s="144">
        <v>100000000</v>
      </c>
      <c r="K535" s="627">
        <v>50000000</v>
      </c>
      <c r="L535" s="394"/>
      <c r="M535" s="394" t="s">
        <v>5133</v>
      </c>
      <c r="N535" s="277">
        <v>100000000</v>
      </c>
      <c r="O535" s="180" t="s">
        <v>403</v>
      </c>
    </row>
    <row r="536" spans="1:35" ht="45.75" customHeight="1" x14ac:dyDescent="0.35">
      <c r="A536" s="379" t="s">
        <v>2890</v>
      </c>
      <c r="B536" s="463" t="s">
        <v>404</v>
      </c>
      <c r="C536" s="165" t="s">
        <v>5</v>
      </c>
      <c r="D536" s="141" t="s">
        <v>4</v>
      </c>
      <c r="E536" s="237" t="s">
        <v>36</v>
      </c>
      <c r="F536" s="163" t="s">
        <v>366</v>
      </c>
      <c r="G536" s="146"/>
      <c r="H536" s="141">
        <v>70411</v>
      </c>
      <c r="I536" s="142" t="s">
        <v>367</v>
      </c>
      <c r="J536" s="144">
        <v>100000000</v>
      </c>
      <c r="K536" s="627">
        <v>55000000</v>
      </c>
      <c r="L536" s="394"/>
      <c r="M536" s="394" t="s">
        <v>5133</v>
      </c>
      <c r="N536" s="277">
        <v>100000000</v>
      </c>
      <c r="O536" s="180" t="s">
        <v>404</v>
      </c>
    </row>
    <row r="537" spans="1:35" ht="27.75" customHeight="1" x14ac:dyDescent="0.35">
      <c r="A537" s="379" t="s">
        <v>2891</v>
      </c>
      <c r="B537" s="463" t="s">
        <v>405</v>
      </c>
      <c r="C537" s="165" t="s">
        <v>5</v>
      </c>
      <c r="D537" s="141" t="s">
        <v>4</v>
      </c>
      <c r="E537" s="237" t="s">
        <v>36</v>
      </c>
      <c r="F537" s="163" t="s">
        <v>366</v>
      </c>
      <c r="G537" s="146"/>
      <c r="H537" s="141">
        <v>70411</v>
      </c>
      <c r="I537" s="142" t="s">
        <v>367</v>
      </c>
      <c r="J537" s="144">
        <v>100000000</v>
      </c>
      <c r="K537" s="627">
        <v>55000000</v>
      </c>
      <c r="L537" s="394"/>
      <c r="M537" s="394" t="s">
        <v>5133</v>
      </c>
      <c r="N537" s="277">
        <v>100000000</v>
      </c>
      <c r="O537" s="180" t="s">
        <v>405</v>
      </c>
    </row>
    <row r="538" spans="1:35" ht="27.75" customHeight="1" x14ac:dyDescent="0.35">
      <c r="A538" s="379" t="s">
        <v>5129</v>
      </c>
      <c r="B538" s="463" t="s">
        <v>5130</v>
      </c>
      <c r="C538" s="165"/>
      <c r="D538" s="141"/>
      <c r="E538" s="237"/>
      <c r="F538" s="163"/>
      <c r="G538" s="146"/>
      <c r="H538" s="141"/>
      <c r="I538" s="142"/>
      <c r="J538" s="144"/>
      <c r="K538" s="627">
        <v>1000000000</v>
      </c>
      <c r="L538" s="627">
        <v>1000000000</v>
      </c>
      <c r="M538" s="394" t="s">
        <v>5123</v>
      </c>
      <c r="N538" s="277"/>
      <c r="O538" s="180"/>
    </row>
    <row r="539" spans="1:35" s="247" customFormat="1" ht="43.5" customHeight="1" x14ac:dyDescent="0.3">
      <c r="A539" s="245"/>
      <c r="B539" s="360" t="s">
        <v>1008</v>
      </c>
      <c r="C539" s="188"/>
      <c r="D539" s="257"/>
      <c r="E539" s="273"/>
      <c r="F539" s="257"/>
      <c r="G539" s="273"/>
      <c r="H539" s="257"/>
      <c r="I539" s="273"/>
      <c r="J539" s="259">
        <f>SUM(J533:J537)</f>
        <v>500000000</v>
      </c>
      <c r="K539" s="259">
        <f>SUM(K533:K538)</f>
        <v>1270000000</v>
      </c>
      <c r="L539" s="707"/>
      <c r="M539" s="707"/>
      <c r="N539" s="259">
        <f>SUM(N533:N537)</f>
        <v>500000000</v>
      </c>
      <c r="O539" s="245" t="s">
        <v>1008</v>
      </c>
      <c r="P539" s="246"/>
    </row>
    <row r="540" spans="1:35" ht="36.75" customHeight="1" x14ac:dyDescent="0.35">
      <c r="A540" s="286"/>
      <c r="B540" s="492"/>
      <c r="C540" s="282"/>
      <c r="D540" s="283"/>
      <c r="E540" s="330"/>
      <c r="F540" s="283"/>
      <c r="G540" s="330"/>
      <c r="H540" s="283"/>
      <c r="I540" s="330"/>
      <c r="J540" s="285"/>
      <c r="K540" s="458"/>
      <c r="L540" s="704"/>
      <c r="M540" s="704"/>
      <c r="N540" s="285"/>
      <c r="O540" s="286"/>
    </row>
    <row r="541" spans="1:35" ht="47.25" customHeight="1" x14ac:dyDescent="0.35">
      <c r="A541" s="401" t="s">
        <v>1377</v>
      </c>
      <c r="B541" s="716"/>
      <c r="C541" s="402"/>
      <c r="D541" s="403"/>
      <c r="E541" s="404"/>
      <c r="F541" s="403"/>
      <c r="G541" s="404"/>
      <c r="H541" s="403"/>
      <c r="I541" s="404"/>
      <c r="J541" s="405"/>
      <c r="K541" s="458"/>
      <c r="L541" s="704"/>
      <c r="M541" s="704"/>
      <c r="N541" s="405"/>
      <c r="O541" s="600"/>
    </row>
    <row r="542" spans="1:35" ht="13.5" hidden="1" customHeight="1" x14ac:dyDescent="0.35">
      <c r="A542" s="428" t="s">
        <v>406</v>
      </c>
      <c r="B542" s="583"/>
      <c r="C542" s="429"/>
      <c r="D542" s="430"/>
      <c r="E542" s="494"/>
      <c r="F542" s="430"/>
      <c r="G542" s="494"/>
      <c r="H542" s="430"/>
      <c r="I542" s="494"/>
      <c r="J542" s="495"/>
      <c r="K542" s="458"/>
      <c r="L542" s="704"/>
      <c r="M542" s="704"/>
      <c r="N542" s="495"/>
      <c r="O542" s="357"/>
    </row>
    <row r="543" spans="1:35" s="235" customFormat="1" ht="81" customHeight="1" x14ac:dyDescent="0.35">
      <c r="A543" s="187" t="s">
        <v>1007</v>
      </c>
      <c r="B543" s="360" t="s">
        <v>50</v>
      </c>
      <c r="C543" s="175" t="s">
        <v>898</v>
      </c>
      <c r="D543" s="175" t="s">
        <v>52</v>
      </c>
      <c r="E543" s="187" t="s">
        <v>49</v>
      </c>
      <c r="F543" s="175" t="s">
        <v>1</v>
      </c>
      <c r="G543" s="187"/>
      <c r="H543" s="175" t="s">
        <v>51</v>
      </c>
      <c r="I543" s="187" t="s">
        <v>2</v>
      </c>
      <c r="J543" s="189" t="s">
        <v>4862</v>
      </c>
      <c r="K543" s="189" t="s">
        <v>5140</v>
      </c>
      <c r="L543" s="623" t="s">
        <v>5132</v>
      </c>
      <c r="M543" s="623" t="s">
        <v>5132</v>
      </c>
      <c r="N543" s="189" t="s">
        <v>1006</v>
      </c>
      <c r="O543" s="187" t="s">
        <v>50</v>
      </c>
      <c r="P543" s="387"/>
      <c r="Q543" s="187"/>
      <c r="R543" s="187"/>
      <c r="S543" s="187"/>
      <c r="T543" s="187"/>
      <c r="U543" s="187"/>
      <c r="V543" s="187"/>
      <c r="W543" s="187"/>
      <c r="X543" s="187"/>
      <c r="Y543" s="187"/>
      <c r="Z543" s="187"/>
      <c r="AA543" s="187"/>
      <c r="AB543" s="187"/>
      <c r="AC543" s="187"/>
      <c r="AD543" s="187"/>
      <c r="AE543" s="187"/>
      <c r="AF543" s="187"/>
      <c r="AG543" s="187"/>
      <c r="AH543" s="187"/>
      <c r="AI543" s="187"/>
    </row>
    <row r="544" spans="1:35" s="235" customFormat="1" ht="60.75" customHeight="1" x14ac:dyDescent="0.35">
      <c r="A544" s="468" t="s">
        <v>3480</v>
      </c>
      <c r="B544" s="463" t="s">
        <v>414</v>
      </c>
      <c r="C544" s="331" t="s">
        <v>407</v>
      </c>
      <c r="D544" s="468" t="s">
        <v>4</v>
      </c>
      <c r="E544" s="468" t="s">
        <v>12</v>
      </c>
      <c r="F544" s="468" t="s">
        <v>980</v>
      </c>
      <c r="G544" s="271"/>
      <c r="H544" s="468" t="s">
        <v>3451</v>
      </c>
      <c r="I544" s="142" t="s">
        <v>421</v>
      </c>
      <c r="J544" s="394">
        <v>49607250</v>
      </c>
      <c r="K544" s="394"/>
      <c r="L544" s="394"/>
      <c r="M544" s="394" t="s">
        <v>5133</v>
      </c>
      <c r="N544" s="394">
        <v>49607250</v>
      </c>
      <c r="O544" s="150" t="s">
        <v>413</v>
      </c>
      <c r="P544" s="234"/>
    </row>
    <row r="545" spans="1:16" s="235" customFormat="1" ht="78.75" customHeight="1" x14ac:dyDescent="0.35">
      <c r="A545" s="468" t="s">
        <v>3481</v>
      </c>
      <c r="B545" s="463" t="s">
        <v>417</v>
      </c>
      <c r="C545" s="331" t="s">
        <v>418</v>
      </c>
      <c r="D545" s="468" t="s">
        <v>4</v>
      </c>
      <c r="E545" s="468" t="s">
        <v>12</v>
      </c>
      <c r="F545" s="468" t="s">
        <v>980</v>
      </c>
      <c r="G545" s="271"/>
      <c r="H545" s="468" t="s">
        <v>3451</v>
      </c>
      <c r="I545" s="142" t="s">
        <v>421</v>
      </c>
      <c r="J545" s="394">
        <v>826740.52</v>
      </c>
      <c r="K545" s="394">
        <v>826741</v>
      </c>
      <c r="L545" s="394"/>
      <c r="M545" s="394" t="s">
        <v>5133</v>
      </c>
      <c r="N545" s="394">
        <v>826740.52</v>
      </c>
      <c r="O545" s="150" t="s">
        <v>414</v>
      </c>
      <c r="P545" s="234"/>
    </row>
    <row r="546" spans="1:16" s="235" customFormat="1" ht="54" customHeight="1" x14ac:dyDescent="0.35">
      <c r="A546" s="468" t="s">
        <v>3482</v>
      </c>
      <c r="B546" s="463" t="s">
        <v>2569</v>
      </c>
      <c r="C546" s="331">
        <v>319</v>
      </c>
      <c r="D546" s="468" t="s">
        <v>4</v>
      </c>
      <c r="E546" s="468" t="s">
        <v>12</v>
      </c>
      <c r="F546" s="468" t="s">
        <v>980</v>
      </c>
      <c r="G546" s="271"/>
      <c r="H546" s="468" t="s">
        <v>3451</v>
      </c>
      <c r="I546" s="142" t="s">
        <v>421</v>
      </c>
      <c r="J546" s="394">
        <f>63086548.75-10000000</f>
        <v>53086548.75</v>
      </c>
      <c r="K546" s="394">
        <v>53086549</v>
      </c>
      <c r="L546" s="394"/>
      <c r="M546" s="394" t="s">
        <v>5133</v>
      </c>
      <c r="N546" s="189"/>
      <c r="O546" s="150" t="s">
        <v>417</v>
      </c>
      <c r="P546" s="234">
        <v>10000000</v>
      </c>
    </row>
    <row r="547" spans="1:16" s="235" customFormat="1" ht="66.75" customHeight="1" x14ac:dyDescent="0.35">
      <c r="A547" s="468" t="s">
        <v>3483</v>
      </c>
      <c r="B547" s="463" t="s">
        <v>2570</v>
      </c>
      <c r="C547" s="331">
        <v>318</v>
      </c>
      <c r="D547" s="468" t="s">
        <v>4</v>
      </c>
      <c r="E547" s="468" t="s">
        <v>12</v>
      </c>
      <c r="F547" s="468" t="s">
        <v>980</v>
      </c>
      <c r="G547" s="271"/>
      <c r="H547" s="468" t="s">
        <v>3451</v>
      </c>
      <c r="I547" s="142" t="s">
        <v>421</v>
      </c>
      <c r="J547" s="394">
        <v>24900618.75</v>
      </c>
      <c r="K547" s="394"/>
      <c r="L547" s="394"/>
      <c r="M547" s="394" t="s">
        <v>5133</v>
      </c>
      <c r="N547" s="189"/>
      <c r="O547" s="180" t="s">
        <v>2569</v>
      </c>
      <c r="P547" s="234"/>
    </row>
    <row r="548" spans="1:16" s="235" customFormat="1" ht="78.75" customHeight="1" x14ac:dyDescent="0.35">
      <c r="A548" s="468" t="s">
        <v>3484</v>
      </c>
      <c r="B548" s="463" t="s">
        <v>420</v>
      </c>
      <c r="C548" s="331">
        <v>216</v>
      </c>
      <c r="D548" s="468" t="s">
        <v>4</v>
      </c>
      <c r="E548" s="468" t="s">
        <v>12</v>
      </c>
      <c r="F548" s="468" t="s">
        <v>980</v>
      </c>
      <c r="G548" s="271"/>
      <c r="H548" s="468" t="s">
        <v>3451</v>
      </c>
      <c r="I548" s="142" t="s">
        <v>421</v>
      </c>
      <c r="J548" s="394">
        <v>31597167.210000001</v>
      </c>
      <c r="K548" s="394">
        <v>31597167</v>
      </c>
      <c r="L548" s="394"/>
      <c r="M548" s="394" t="s">
        <v>5133</v>
      </c>
      <c r="N548" s="394">
        <v>31597167.210000001</v>
      </c>
      <c r="O548" s="180" t="s">
        <v>2570</v>
      </c>
      <c r="P548" s="234"/>
    </row>
    <row r="549" spans="1:16" s="235" customFormat="1" ht="91.5" customHeight="1" x14ac:dyDescent="0.35">
      <c r="A549" s="468" t="s">
        <v>3485</v>
      </c>
      <c r="B549" s="463" t="s">
        <v>422</v>
      </c>
      <c r="C549" s="331">
        <v>319</v>
      </c>
      <c r="D549" s="468" t="s">
        <v>4</v>
      </c>
      <c r="E549" s="468" t="s">
        <v>12</v>
      </c>
      <c r="F549" s="468" t="s">
        <v>980</v>
      </c>
      <c r="G549" s="271"/>
      <c r="H549" s="468" t="s">
        <v>3451</v>
      </c>
      <c r="I549" s="142" t="s">
        <v>421</v>
      </c>
      <c r="J549" s="394">
        <v>7804556.4699999997</v>
      </c>
      <c r="K549" s="394"/>
      <c r="L549" s="394"/>
      <c r="M549" s="394" t="s">
        <v>5133</v>
      </c>
      <c r="N549" s="394">
        <v>7804556.4699999997</v>
      </c>
      <c r="O549" s="148" t="s">
        <v>420</v>
      </c>
      <c r="P549" s="234"/>
    </row>
    <row r="550" spans="1:16" s="235" customFormat="1" ht="61.5" customHeight="1" x14ac:dyDescent="0.35">
      <c r="A550" s="468" t="s">
        <v>3486</v>
      </c>
      <c r="B550" s="463" t="s">
        <v>423</v>
      </c>
      <c r="C550" s="331" t="s">
        <v>3266</v>
      </c>
      <c r="D550" s="468" t="s">
        <v>4</v>
      </c>
      <c r="E550" s="468" t="s">
        <v>12</v>
      </c>
      <c r="F550" s="468" t="s">
        <v>980</v>
      </c>
      <c r="G550" s="271"/>
      <c r="H550" s="468" t="s">
        <v>3451</v>
      </c>
      <c r="I550" s="142" t="s">
        <v>421</v>
      </c>
      <c r="J550" s="394">
        <v>607348.12</v>
      </c>
      <c r="K550" s="394">
        <v>607348</v>
      </c>
      <c r="L550" s="394"/>
      <c r="M550" s="394" t="s">
        <v>5133</v>
      </c>
      <c r="N550" s="228">
        <v>3107348.12</v>
      </c>
      <c r="O550" s="148" t="s">
        <v>422</v>
      </c>
      <c r="P550" s="234"/>
    </row>
    <row r="551" spans="1:16" s="235" customFormat="1" ht="83.25" customHeight="1" x14ac:dyDescent="0.35">
      <c r="A551" s="468" t="s">
        <v>3487</v>
      </c>
      <c r="B551" s="463" t="s">
        <v>425</v>
      </c>
      <c r="C551" s="331">
        <v>216</v>
      </c>
      <c r="D551" s="468" t="s">
        <v>4</v>
      </c>
      <c r="E551" s="468" t="s">
        <v>12</v>
      </c>
      <c r="F551" s="468" t="s">
        <v>980</v>
      </c>
      <c r="G551" s="271"/>
      <c r="H551" s="468" t="s">
        <v>3451</v>
      </c>
      <c r="I551" s="142" t="s">
        <v>421</v>
      </c>
      <c r="J551" s="394">
        <v>288432.58</v>
      </c>
      <c r="K551" s="394">
        <v>288433</v>
      </c>
      <c r="L551" s="394"/>
      <c r="M551" s="394" t="s">
        <v>5133</v>
      </c>
      <c r="N551" s="394">
        <v>288432.58</v>
      </c>
      <c r="O551" s="148" t="s">
        <v>423</v>
      </c>
      <c r="P551" s="234"/>
    </row>
    <row r="552" spans="1:16" s="235" customFormat="1" ht="79.5" customHeight="1" x14ac:dyDescent="0.35">
      <c r="A552" s="468" t="s">
        <v>3488</v>
      </c>
      <c r="B552" s="463" t="s">
        <v>426</v>
      </c>
      <c r="C552" s="331">
        <v>216</v>
      </c>
      <c r="D552" s="468" t="s">
        <v>4</v>
      </c>
      <c r="E552" s="468" t="s">
        <v>12</v>
      </c>
      <c r="F552" s="468" t="s">
        <v>980</v>
      </c>
      <c r="G552" s="271"/>
      <c r="H552" s="468" t="s">
        <v>3451</v>
      </c>
      <c r="I552" s="142" t="s">
        <v>421</v>
      </c>
      <c r="J552" s="394">
        <v>16642409.23</v>
      </c>
      <c r="K552" s="394"/>
      <c r="L552" s="394"/>
      <c r="M552" s="394" t="s">
        <v>5133</v>
      </c>
      <c r="N552" s="394">
        <v>16642409.23</v>
      </c>
      <c r="O552" s="148" t="s">
        <v>425</v>
      </c>
      <c r="P552" s="234"/>
    </row>
    <row r="553" spans="1:16" s="235" customFormat="1" ht="108.75" customHeight="1" x14ac:dyDescent="0.35">
      <c r="A553" s="468" t="s">
        <v>3489</v>
      </c>
      <c r="B553" s="463" t="s">
        <v>427</v>
      </c>
      <c r="C553" s="331">
        <v>216</v>
      </c>
      <c r="D553" s="468" t="s">
        <v>4</v>
      </c>
      <c r="E553" s="468" t="s">
        <v>12</v>
      </c>
      <c r="F553" s="468" t="s">
        <v>980</v>
      </c>
      <c r="G553" s="271"/>
      <c r="H553" s="468" t="s">
        <v>3451</v>
      </c>
      <c r="I553" s="142" t="s">
        <v>421</v>
      </c>
      <c r="J553" s="394">
        <v>3400000</v>
      </c>
      <c r="K553" s="394">
        <v>3400000</v>
      </c>
      <c r="L553" s="394"/>
      <c r="M553" s="394" t="s">
        <v>5133</v>
      </c>
      <c r="N553" s="394">
        <v>3400000</v>
      </c>
      <c r="O553" s="148" t="s">
        <v>426</v>
      </c>
      <c r="P553" s="234"/>
    </row>
    <row r="554" spans="1:16" s="235" customFormat="1" ht="67.5" customHeight="1" x14ac:dyDescent="0.35">
      <c r="A554" s="468" t="s">
        <v>3490</v>
      </c>
      <c r="B554" s="463" t="s">
        <v>4887</v>
      </c>
      <c r="C554" s="331" t="s">
        <v>415</v>
      </c>
      <c r="D554" s="468" t="s">
        <v>4</v>
      </c>
      <c r="E554" s="468" t="s">
        <v>12</v>
      </c>
      <c r="F554" s="468" t="s">
        <v>980</v>
      </c>
      <c r="G554" s="271"/>
      <c r="H554" s="468" t="s">
        <v>3451</v>
      </c>
      <c r="I554" s="142" t="s">
        <v>421</v>
      </c>
      <c r="J554" s="394">
        <v>1706250</v>
      </c>
      <c r="K554" s="394"/>
      <c r="L554" s="394"/>
      <c r="M554" s="394" t="s">
        <v>5133</v>
      </c>
      <c r="N554" s="394">
        <v>1706250</v>
      </c>
      <c r="O554" s="148" t="s">
        <v>427</v>
      </c>
      <c r="P554" s="234"/>
    </row>
    <row r="555" spans="1:16" s="235" customFormat="1" ht="60.75" customHeight="1" x14ac:dyDescent="0.35">
      <c r="A555" s="468" t="s">
        <v>3491</v>
      </c>
      <c r="B555" s="463" t="s">
        <v>4868</v>
      </c>
      <c r="C555" s="331">
        <v>216</v>
      </c>
      <c r="D555" s="468" t="s">
        <v>4</v>
      </c>
      <c r="E555" s="468" t="s">
        <v>12</v>
      </c>
      <c r="F555" s="468" t="s">
        <v>980</v>
      </c>
      <c r="G555" s="271"/>
      <c r="H555" s="468" t="s">
        <v>3451</v>
      </c>
      <c r="I555" s="142" t="s">
        <v>421</v>
      </c>
      <c r="J555" s="394">
        <v>2633643.5</v>
      </c>
      <c r="K555" s="394"/>
      <c r="L555" s="394"/>
      <c r="M555" s="394" t="s">
        <v>5133</v>
      </c>
      <c r="N555" s="394">
        <v>2633643.5</v>
      </c>
      <c r="O555" s="148" t="s">
        <v>428</v>
      </c>
      <c r="P555" s="234"/>
    </row>
    <row r="556" spans="1:16" s="235" customFormat="1" ht="63.75" customHeight="1" x14ac:dyDescent="0.35">
      <c r="A556" s="468" t="s">
        <v>3492</v>
      </c>
      <c r="B556" s="463" t="s">
        <v>430</v>
      </c>
      <c r="C556" s="331">
        <v>216</v>
      </c>
      <c r="D556" s="468" t="s">
        <v>4</v>
      </c>
      <c r="E556" s="468" t="s">
        <v>12</v>
      </c>
      <c r="F556" s="468" t="s">
        <v>980</v>
      </c>
      <c r="G556" s="271"/>
      <c r="H556" s="468" t="s">
        <v>3451</v>
      </c>
      <c r="I556" s="142" t="s">
        <v>421</v>
      </c>
      <c r="J556" s="394">
        <v>908128.62</v>
      </c>
      <c r="K556" s="394"/>
      <c r="L556" s="394"/>
      <c r="M556" s="394" t="s">
        <v>5133</v>
      </c>
      <c r="N556" s="228">
        <v>13843796.4</v>
      </c>
      <c r="O556" s="148" t="s">
        <v>429</v>
      </c>
      <c r="P556" s="234"/>
    </row>
    <row r="557" spans="1:16" s="235" customFormat="1" ht="78.75" customHeight="1" x14ac:dyDescent="0.35">
      <c r="A557" s="468" t="s">
        <v>3493</v>
      </c>
      <c r="B557" s="463" t="s">
        <v>431</v>
      </c>
      <c r="C557" s="331">
        <v>216</v>
      </c>
      <c r="D557" s="468" t="s">
        <v>4</v>
      </c>
      <c r="E557" s="468" t="s">
        <v>12</v>
      </c>
      <c r="F557" s="468" t="s">
        <v>980</v>
      </c>
      <c r="G557" s="271"/>
      <c r="H557" s="468" t="s">
        <v>3451</v>
      </c>
      <c r="I557" s="142" t="s">
        <v>421</v>
      </c>
      <c r="J557" s="394">
        <v>713812.64</v>
      </c>
      <c r="K557" s="394">
        <v>2446544</v>
      </c>
      <c r="L557" s="394"/>
      <c r="M557" s="394" t="s">
        <v>5133</v>
      </c>
      <c r="N557" s="394">
        <v>713812.64</v>
      </c>
      <c r="O557" s="148" t="s">
        <v>430</v>
      </c>
      <c r="P557" s="234"/>
    </row>
    <row r="558" spans="1:16" s="235" customFormat="1" ht="82.5" customHeight="1" x14ac:dyDescent="0.35">
      <c r="A558" s="468" t="s">
        <v>3494</v>
      </c>
      <c r="B558" s="463" t="s">
        <v>432</v>
      </c>
      <c r="C558" s="331">
        <v>216</v>
      </c>
      <c r="D558" s="468" t="s">
        <v>4</v>
      </c>
      <c r="E558" s="468" t="s">
        <v>12</v>
      </c>
      <c r="F558" s="468" t="s">
        <v>980</v>
      </c>
      <c r="G558" s="271"/>
      <c r="H558" s="468" t="s">
        <v>3451</v>
      </c>
      <c r="I558" s="142" t="s">
        <v>421</v>
      </c>
      <c r="J558" s="394">
        <v>2446544.41</v>
      </c>
      <c r="K558" s="394"/>
      <c r="L558" s="394"/>
      <c r="M558" s="394" t="s">
        <v>5133</v>
      </c>
      <c r="N558" s="228">
        <v>16886598.800000001</v>
      </c>
      <c r="O558" s="148" t="s">
        <v>431</v>
      </c>
      <c r="P558" s="234"/>
    </row>
    <row r="559" spans="1:16" s="235" customFormat="1" ht="73.5" customHeight="1" x14ac:dyDescent="0.35">
      <c r="A559" s="468" t="s">
        <v>3495</v>
      </c>
      <c r="B559" s="463" t="s">
        <v>433</v>
      </c>
      <c r="C559" s="331">
        <v>211</v>
      </c>
      <c r="D559" s="468" t="s">
        <v>4</v>
      </c>
      <c r="E559" s="468" t="s">
        <v>12</v>
      </c>
      <c r="F559" s="468" t="s">
        <v>980</v>
      </c>
      <c r="G559" s="271"/>
      <c r="H559" s="468" t="s">
        <v>3451</v>
      </c>
      <c r="I559" s="142" t="s">
        <v>421</v>
      </c>
      <c r="J559" s="394">
        <v>596655</v>
      </c>
      <c r="K559" s="394"/>
      <c r="L559" s="394"/>
      <c r="M559" s="394" t="s">
        <v>5133</v>
      </c>
      <c r="N559" s="228">
        <v>9700000</v>
      </c>
      <c r="O559" s="148" t="s">
        <v>432</v>
      </c>
      <c r="P559" s="234"/>
    </row>
    <row r="560" spans="1:16" s="235" customFormat="1" ht="59.25" customHeight="1" x14ac:dyDescent="0.35">
      <c r="A560" s="468" t="s">
        <v>3496</v>
      </c>
      <c r="B560" s="463" t="s">
        <v>434</v>
      </c>
      <c r="C560" s="331">
        <v>213</v>
      </c>
      <c r="D560" s="468" t="s">
        <v>4</v>
      </c>
      <c r="E560" s="468" t="s">
        <v>12</v>
      </c>
      <c r="F560" s="468" t="s">
        <v>980</v>
      </c>
      <c r="G560" s="271"/>
      <c r="H560" s="468" t="s">
        <v>3451</v>
      </c>
      <c r="I560" s="142" t="s">
        <v>421</v>
      </c>
      <c r="J560" s="394">
        <v>1048008</v>
      </c>
      <c r="K560" s="394"/>
      <c r="L560" s="394"/>
      <c r="M560" s="394" t="s">
        <v>5133</v>
      </c>
      <c r="N560" s="228">
        <v>13500000</v>
      </c>
      <c r="O560" s="148" t="s">
        <v>433</v>
      </c>
      <c r="P560" s="234"/>
    </row>
    <row r="561" spans="1:16" s="235" customFormat="1" ht="78.75" customHeight="1" x14ac:dyDescent="0.35">
      <c r="A561" s="468" t="s">
        <v>3497</v>
      </c>
      <c r="B561" s="463" t="s">
        <v>436</v>
      </c>
      <c r="C561" s="331" t="s">
        <v>407</v>
      </c>
      <c r="D561" s="468" t="s">
        <v>4</v>
      </c>
      <c r="E561" s="468" t="s">
        <v>12</v>
      </c>
      <c r="F561" s="468" t="s">
        <v>980</v>
      </c>
      <c r="G561" s="271"/>
      <c r="H561" s="468" t="s">
        <v>3451</v>
      </c>
      <c r="I561" s="142" t="s">
        <v>421</v>
      </c>
      <c r="J561" s="394">
        <v>1843355.32</v>
      </c>
      <c r="K561" s="394"/>
      <c r="L561" s="394"/>
      <c r="M561" s="394" t="s">
        <v>5133</v>
      </c>
      <c r="N561" s="394">
        <v>1843355.32</v>
      </c>
      <c r="O561" s="148" t="s">
        <v>434</v>
      </c>
      <c r="P561" s="234"/>
    </row>
    <row r="562" spans="1:16" s="235" customFormat="1" ht="66" customHeight="1" x14ac:dyDescent="0.35">
      <c r="A562" s="468" t="s">
        <v>3498</v>
      </c>
      <c r="B562" s="463" t="s">
        <v>2571</v>
      </c>
      <c r="C562" s="331">
        <v>318</v>
      </c>
      <c r="D562" s="468" t="s">
        <v>4</v>
      </c>
      <c r="E562" s="468" t="s">
        <v>12</v>
      </c>
      <c r="F562" s="468" t="s">
        <v>980</v>
      </c>
      <c r="G562" s="271"/>
      <c r="H562" s="468" t="s">
        <v>3451</v>
      </c>
      <c r="I562" s="142" t="s">
        <v>421</v>
      </c>
      <c r="J562" s="394">
        <v>2809559</v>
      </c>
      <c r="K562" s="394">
        <v>50000000</v>
      </c>
      <c r="L562" s="394"/>
      <c r="M562" s="394" t="s">
        <v>5133</v>
      </c>
      <c r="N562" s="189"/>
      <c r="O562" s="148" t="s">
        <v>436</v>
      </c>
      <c r="P562" s="234"/>
    </row>
    <row r="563" spans="1:16" s="235" customFormat="1" ht="100.5" customHeight="1" x14ac:dyDescent="0.35">
      <c r="A563" s="468" t="s">
        <v>3499</v>
      </c>
      <c r="B563" s="463" t="s">
        <v>437</v>
      </c>
      <c r="C563" s="331">
        <v>211</v>
      </c>
      <c r="D563" s="468" t="s">
        <v>4</v>
      </c>
      <c r="E563" s="468" t="s">
        <v>12</v>
      </c>
      <c r="F563" s="468" t="s">
        <v>980</v>
      </c>
      <c r="G563" s="271"/>
      <c r="H563" s="468" t="s">
        <v>3451</v>
      </c>
      <c r="I563" s="142" t="s">
        <v>421</v>
      </c>
      <c r="J563" s="394">
        <v>1441784.05</v>
      </c>
      <c r="K563" s="394"/>
      <c r="L563" s="394"/>
      <c r="M563" s="394" t="s">
        <v>5133</v>
      </c>
      <c r="N563" s="228">
        <v>1200000</v>
      </c>
      <c r="O563" s="148" t="s">
        <v>2571</v>
      </c>
      <c r="P563" s="234">
        <v>1</v>
      </c>
    </row>
    <row r="564" spans="1:16" s="235" customFormat="1" ht="61.5" customHeight="1" x14ac:dyDescent="0.35">
      <c r="A564" s="468" t="s">
        <v>3500</v>
      </c>
      <c r="B564" s="463" t="s">
        <v>438</v>
      </c>
      <c r="C564" s="331">
        <v>103</v>
      </c>
      <c r="D564" s="468" t="s">
        <v>4</v>
      </c>
      <c r="E564" s="468" t="s">
        <v>12</v>
      </c>
      <c r="F564" s="468" t="s">
        <v>980</v>
      </c>
      <c r="G564" s="271"/>
      <c r="H564" s="468" t="s">
        <v>3451</v>
      </c>
      <c r="I564" s="142" t="s">
        <v>421</v>
      </c>
      <c r="J564" s="394">
        <v>9164467.1999999993</v>
      </c>
      <c r="K564" s="394"/>
      <c r="L564" s="394"/>
      <c r="M564" s="394" t="s">
        <v>5133</v>
      </c>
      <c r="N564" s="228">
        <v>274934.02</v>
      </c>
      <c r="O564" s="148" t="s">
        <v>437</v>
      </c>
      <c r="P564" s="234"/>
    </row>
    <row r="565" spans="1:16" s="235" customFormat="1" ht="60" customHeight="1" x14ac:dyDescent="0.35">
      <c r="A565" s="468" t="s">
        <v>3501</v>
      </c>
      <c r="B565" s="463" t="s">
        <v>439</v>
      </c>
      <c r="C565" s="331">
        <v>318</v>
      </c>
      <c r="D565" s="468" t="s">
        <v>4</v>
      </c>
      <c r="E565" s="468" t="s">
        <v>12</v>
      </c>
      <c r="F565" s="468" t="s">
        <v>980</v>
      </c>
      <c r="G565" s="271"/>
      <c r="H565" s="468" t="s">
        <v>3451</v>
      </c>
      <c r="I565" s="142" t="s">
        <v>421</v>
      </c>
      <c r="J565" s="394">
        <v>1347526</v>
      </c>
      <c r="K565" s="394"/>
      <c r="L565" s="394"/>
      <c r="M565" s="394" t="s">
        <v>5133</v>
      </c>
      <c r="N565" s="228">
        <v>808515.6</v>
      </c>
      <c r="O565" s="148" t="s">
        <v>438</v>
      </c>
      <c r="P565" s="234"/>
    </row>
    <row r="566" spans="1:16" s="235" customFormat="1" ht="72" customHeight="1" x14ac:dyDescent="0.35">
      <c r="A566" s="468" t="s">
        <v>3502</v>
      </c>
      <c r="B566" s="463" t="s">
        <v>440</v>
      </c>
      <c r="C566" s="331">
        <v>216</v>
      </c>
      <c r="D566" s="468" t="s">
        <v>4</v>
      </c>
      <c r="E566" s="468" t="s">
        <v>12</v>
      </c>
      <c r="F566" s="468" t="s">
        <v>980</v>
      </c>
      <c r="G566" s="271"/>
      <c r="H566" s="468" t="s">
        <v>3451</v>
      </c>
      <c r="I566" s="142" t="s">
        <v>421</v>
      </c>
      <c r="J566" s="394">
        <v>9650646</v>
      </c>
      <c r="K566" s="394"/>
      <c r="L566" s="394"/>
      <c r="M566" s="394" t="s">
        <v>5133</v>
      </c>
      <c r="N566" s="228">
        <v>12600000</v>
      </c>
      <c r="O566" s="148" t="s">
        <v>439</v>
      </c>
      <c r="P566" s="234"/>
    </row>
    <row r="567" spans="1:16" s="235" customFormat="1" ht="83.25" customHeight="1" x14ac:dyDescent="0.35">
      <c r="A567" s="468" t="s">
        <v>3503</v>
      </c>
      <c r="B567" s="463" t="s">
        <v>441</v>
      </c>
      <c r="C567" s="331">
        <v>211</v>
      </c>
      <c r="D567" s="468" t="s">
        <v>4</v>
      </c>
      <c r="E567" s="468" t="s">
        <v>12</v>
      </c>
      <c r="F567" s="468" t="s">
        <v>980</v>
      </c>
      <c r="G567" s="271"/>
      <c r="H567" s="468" t="s">
        <v>3451</v>
      </c>
      <c r="I567" s="142" t="s">
        <v>421</v>
      </c>
      <c r="J567" s="394">
        <v>703818.7</v>
      </c>
      <c r="K567" s="394"/>
      <c r="L567" s="394"/>
      <c r="M567" s="394" t="s">
        <v>5133</v>
      </c>
      <c r="N567" s="228">
        <v>422291.22</v>
      </c>
      <c r="O567" s="148" t="s">
        <v>440</v>
      </c>
      <c r="P567" s="234">
        <v>2</v>
      </c>
    </row>
    <row r="568" spans="1:16" s="235" customFormat="1" ht="68.25" customHeight="1" x14ac:dyDescent="0.35">
      <c r="A568" s="468" t="s">
        <v>3504</v>
      </c>
      <c r="B568" s="463" t="s">
        <v>2572</v>
      </c>
      <c r="C568" s="331">
        <v>325</v>
      </c>
      <c r="D568" s="468" t="s">
        <v>4</v>
      </c>
      <c r="E568" s="468" t="s">
        <v>12</v>
      </c>
      <c r="F568" s="468" t="s">
        <v>980</v>
      </c>
      <c r="G568" s="271"/>
      <c r="H568" s="468" t="s">
        <v>3451</v>
      </c>
      <c r="I568" s="142" t="s">
        <v>421</v>
      </c>
      <c r="J568" s="394">
        <v>8707208</v>
      </c>
      <c r="K568" s="394"/>
      <c r="L568" s="394"/>
      <c r="M568" s="394" t="s">
        <v>5133</v>
      </c>
      <c r="N568" s="228">
        <v>5224324.8</v>
      </c>
      <c r="O568" s="148" t="s">
        <v>441</v>
      </c>
      <c r="P568" s="234"/>
    </row>
    <row r="569" spans="1:16" s="235" customFormat="1" ht="66.75" customHeight="1" x14ac:dyDescent="0.35">
      <c r="A569" s="468" t="s">
        <v>3505</v>
      </c>
      <c r="B569" s="463" t="s">
        <v>443</v>
      </c>
      <c r="C569" s="331">
        <v>325</v>
      </c>
      <c r="D569" s="468" t="s">
        <v>4</v>
      </c>
      <c r="E569" s="468" t="s">
        <v>12</v>
      </c>
      <c r="F569" s="468" t="s">
        <v>980</v>
      </c>
      <c r="G569" s="271"/>
      <c r="H569" s="468" t="s">
        <v>3451</v>
      </c>
      <c r="I569" s="142" t="s">
        <v>421</v>
      </c>
      <c r="J569" s="394">
        <v>302651.75</v>
      </c>
      <c r="K569" s="394"/>
      <c r="L569" s="394"/>
      <c r="M569" s="394" t="s">
        <v>5133</v>
      </c>
      <c r="N569" s="228">
        <v>202591.05</v>
      </c>
      <c r="O569" s="148" t="s">
        <v>2572</v>
      </c>
      <c r="P569" s="234"/>
    </row>
    <row r="570" spans="1:16" s="235" customFormat="1" ht="89.25" customHeight="1" x14ac:dyDescent="0.35">
      <c r="A570" s="468" t="s">
        <v>3506</v>
      </c>
      <c r="B570" s="463" t="s">
        <v>4724</v>
      </c>
      <c r="C570" s="331" t="s">
        <v>418</v>
      </c>
      <c r="D570" s="468" t="s">
        <v>4</v>
      </c>
      <c r="E570" s="468" t="s">
        <v>12</v>
      </c>
      <c r="F570" s="468" t="s">
        <v>980</v>
      </c>
      <c r="G570" s="271"/>
      <c r="H570" s="468" t="s">
        <v>3451</v>
      </c>
      <c r="I570" s="142" t="s">
        <v>421</v>
      </c>
      <c r="J570" s="394">
        <v>347841.32</v>
      </c>
      <c r="K570" s="394">
        <v>347841</v>
      </c>
      <c r="L570" s="394"/>
      <c r="M570" s="394" t="s">
        <v>5133</v>
      </c>
      <c r="N570" s="189"/>
      <c r="O570" s="148" t="s">
        <v>443</v>
      </c>
      <c r="P570" s="234"/>
    </row>
    <row r="571" spans="1:16" s="235" customFormat="1" ht="81" customHeight="1" x14ac:dyDescent="0.35">
      <c r="A571" s="468" t="s">
        <v>3507</v>
      </c>
      <c r="B571" s="463" t="s">
        <v>444</v>
      </c>
      <c r="C571" s="331">
        <v>216</v>
      </c>
      <c r="D571" s="468" t="s">
        <v>4</v>
      </c>
      <c r="E571" s="468" t="s">
        <v>12</v>
      </c>
      <c r="F571" s="468" t="s">
        <v>980</v>
      </c>
      <c r="G571" s="271"/>
      <c r="H571" s="468" t="s">
        <v>3451</v>
      </c>
      <c r="I571" s="142" t="s">
        <v>421</v>
      </c>
      <c r="J571" s="394">
        <v>10715029.5</v>
      </c>
      <c r="K571" s="394">
        <v>10715030</v>
      </c>
      <c r="L571" s="394"/>
      <c r="M571" s="394" t="s">
        <v>5133</v>
      </c>
      <c r="N571" s="228">
        <v>12673706.85</v>
      </c>
      <c r="O571" s="148" t="s">
        <v>2573</v>
      </c>
      <c r="P571" s="234"/>
    </row>
    <row r="572" spans="1:16" s="235" customFormat="1" ht="69" customHeight="1" x14ac:dyDescent="0.35">
      <c r="A572" s="468" t="s">
        <v>3508</v>
      </c>
      <c r="B572" s="463" t="s">
        <v>446</v>
      </c>
      <c r="C572" s="331">
        <v>211</v>
      </c>
      <c r="D572" s="468" t="s">
        <v>4</v>
      </c>
      <c r="E572" s="468" t="s">
        <v>12</v>
      </c>
      <c r="F572" s="468" t="s">
        <v>980</v>
      </c>
      <c r="G572" s="271"/>
      <c r="H572" s="468" t="s">
        <v>3451</v>
      </c>
      <c r="I572" s="142" t="s">
        <v>421</v>
      </c>
      <c r="J572" s="394">
        <v>11271255.119999999</v>
      </c>
      <c r="K572" s="394"/>
      <c r="L572" s="394"/>
      <c r="M572" s="394" t="s">
        <v>5133</v>
      </c>
      <c r="N572" s="228">
        <v>6762753.0700000003</v>
      </c>
      <c r="O572" s="148" t="s">
        <v>444</v>
      </c>
      <c r="P572" s="234">
        <v>3</v>
      </c>
    </row>
    <row r="573" spans="1:16" s="235" customFormat="1" ht="95.25" customHeight="1" x14ac:dyDescent="0.35">
      <c r="A573" s="468" t="s">
        <v>3509</v>
      </c>
      <c r="B573" s="463" t="s">
        <v>447</v>
      </c>
      <c r="C573" s="331" t="s">
        <v>191</v>
      </c>
      <c r="D573" s="468" t="s">
        <v>4</v>
      </c>
      <c r="E573" s="468" t="s">
        <v>12</v>
      </c>
      <c r="F573" s="468" t="s">
        <v>980</v>
      </c>
      <c r="G573" s="271"/>
      <c r="H573" s="468" t="s">
        <v>3451</v>
      </c>
      <c r="I573" s="142" t="s">
        <v>421</v>
      </c>
      <c r="J573" s="394">
        <v>6873432.0700000003</v>
      </c>
      <c r="K573" s="394">
        <v>6873432</v>
      </c>
      <c r="L573" s="394"/>
      <c r="M573" s="394" t="s">
        <v>5133</v>
      </c>
      <c r="N573" s="228">
        <v>4124059.24</v>
      </c>
      <c r="O573" s="148" t="s">
        <v>446</v>
      </c>
      <c r="P573" s="234"/>
    </row>
    <row r="574" spans="1:16" s="235" customFormat="1" ht="57.75" customHeight="1" x14ac:dyDescent="0.35">
      <c r="A574" s="468" t="s">
        <v>3510</v>
      </c>
      <c r="B574" s="463" t="s">
        <v>448</v>
      </c>
      <c r="C574" s="331" t="s">
        <v>418</v>
      </c>
      <c r="D574" s="468" t="s">
        <v>4</v>
      </c>
      <c r="E574" s="468" t="s">
        <v>12</v>
      </c>
      <c r="F574" s="468" t="s">
        <v>980</v>
      </c>
      <c r="G574" s="271"/>
      <c r="H574" s="468" t="s">
        <v>3451</v>
      </c>
      <c r="I574" s="142" t="s">
        <v>421</v>
      </c>
      <c r="J574" s="394">
        <v>826344.15</v>
      </c>
      <c r="K574" s="394">
        <v>826344</v>
      </c>
      <c r="L574" s="394"/>
      <c r="M574" s="394" t="s">
        <v>5133</v>
      </c>
      <c r="N574" s="228">
        <v>495806.49</v>
      </c>
      <c r="O574" s="148" t="s">
        <v>447</v>
      </c>
      <c r="P574" s="234"/>
    </row>
    <row r="575" spans="1:16" s="235" customFormat="1" ht="78.75" customHeight="1" x14ac:dyDescent="0.35">
      <c r="A575" s="468" t="s">
        <v>3511</v>
      </c>
      <c r="B575" s="463" t="s">
        <v>2574</v>
      </c>
      <c r="C575" s="331">
        <v>216</v>
      </c>
      <c r="D575" s="468" t="s">
        <v>4</v>
      </c>
      <c r="E575" s="468" t="s">
        <v>12</v>
      </c>
      <c r="F575" s="468" t="s">
        <v>980</v>
      </c>
      <c r="G575" s="271"/>
      <c r="H575" s="468" t="s">
        <v>3451</v>
      </c>
      <c r="I575" s="142" t="s">
        <v>421</v>
      </c>
      <c r="J575" s="394">
        <v>3400000</v>
      </c>
      <c r="K575" s="394">
        <v>3400000</v>
      </c>
      <c r="L575" s="394"/>
      <c r="M575" s="394" t="s">
        <v>5133</v>
      </c>
      <c r="N575" s="189"/>
      <c r="O575" s="180" t="s">
        <v>448</v>
      </c>
      <c r="P575" s="234"/>
    </row>
    <row r="576" spans="1:16" s="235" customFormat="1" ht="81.75" customHeight="1" x14ac:dyDescent="0.35">
      <c r="A576" s="468" t="s">
        <v>3512</v>
      </c>
      <c r="B576" s="463" t="s">
        <v>2575</v>
      </c>
      <c r="C576" s="331">
        <v>102</v>
      </c>
      <c r="D576" s="468" t="s">
        <v>4</v>
      </c>
      <c r="E576" s="468" t="s">
        <v>12</v>
      </c>
      <c r="F576" s="468" t="s">
        <v>980</v>
      </c>
      <c r="G576" s="271"/>
      <c r="H576" s="468" t="s">
        <v>3451</v>
      </c>
      <c r="I576" s="142" t="s">
        <v>421</v>
      </c>
      <c r="J576" s="394">
        <v>11913037.890000001</v>
      </c>
      <c r="K576" s="394"/>
      <c r="L576" s="394"/>
      <c r="M576" s="394" t="s">
        <v>5133</v>
      </c>
      <c r="N576" s="189"/>
      <c r="O576" s="180" t="s">
        <v>2574</v>
      </c>
      <c r="P576" s="234"/>
    </row>
    <row r="577" spans="1:16" s="235" customFormat="1" ht="56.25" customHeight="1" x14ac:dyDescent="0.35">
      <c r="A577" s="468" t="s">
        <v>3513</v>
      </c>
      <c r="B577" s="463" t="s">
        <v>2576</v>
      </c>
      <c r="C577" s="331">
        <v>216</v>
      </c>
      <c r="D577" s="468" t="s">
        <v>4</v>
      </c>
      <c r="E577" s="468" t="s">
        <v>12</v>
      </c>
      <c r="F577" s="468" t="s">
        <v>980</v>
      </c>
      <c r="G577" s="271"/>
      <c r="H577" s="468" t="s">
        <v>3451</v>
      </c>
      <c r="I577" s="142" t="s">
        <v>421</v>
      </c>
      <c r="J577" s="394">
        <v>650000</v>
      </c>
      <c r="K577" s="394">
        <v>650000</v>
      </c>
      <c r="L577" s="394"/>
      <c r="M577" s="394" t="s">
        <v>5133</v>
      </c>
      <c r="N577" s="189"/>
      <c r="O577" s="180" t="s">
        <v>2575</v>
      </c>
      <c r="P577" s="234"/>
    </row>
    <row r="578" spans="1:16" s="235" customFormat="1" ht="68.25" customHeight="1" x14ac:dyDescent="0.35">
      <c r="A578" s="468" t="s">
        <v>3514</v>
      </c>
      <c r="B578" s="463" t="s">
        <v>449</v>
      </c>
      <c r="C578" s="331">
        <v>212</v>
      </c>
      <c r="D578" s="468" t="s">
        <v>4</v>
      </c>
      <c r="E578" s="468" t="s">
        <v>12</v>
      </c>
      <c r="F578" s="468" t="s">
        <v>980</v>
      </c>
      <c r="G578" s="271"/>
      <c r="H578" s="468" t="s">
        <v>3451</v>
      </c>
      <c r="I578" s="142" t="s">
        <v>421</v>
      </c>
      <c r="J578" s="394">
        <v>40000000</v>
      </c>
      <c r="K578" s="394">
        <v>40000000</v>
      </c>
      <c r="L578" s="394"/>
      <c r="M578" s="394" t="s">
        <v>5133</v>
      </c>
      <c r="N578" s="228">
        <v>76000000</v>
      </c>
      <c r="O578" s="148" t="s">
        <v>2576</v>
      </c>
      <c r="P578" s="234"/>
    </row>
    <row r="579" spans="1:16" s="235" customFormat="1" ht="64.5" customHeight="1" x14ac:dyDescent="0.35">
      <c r="A579" s="468" t="s">
        <v>3515</v>
      </c>
      <c r="B579" s="463" t="s">
        <v>450</v>
      </c>
      <c r="C579" s="331">
        <v>212</v>
      </c>
      <c r="D579" s="468" t="s">
        <v>4</v>
      </c>
      <c r="E579" s="468" t="s">
        <v>12</v>
      </c>
      <c r="F579" s="468" t="s">
        <v>980</v>
      </c>
      <c r="G579" s="271"/>
      <c r="H579" s="468" t="s">
        <v>3451</v>
      </c>
      <c r="I579" s="142" t="s">
        <v>421</v>
      </c>
      <c r="J579" s="394">
        <v>40856260</v>
      </c>
      <c r="K579" s="394">
        <v>40856260</v>
      </c>
      <c r="L579" s="394"/>
      <c r="M579" s="394" t="s">
        <v>5133</v>
      </c>
      <c r="N579" s="228">
        <v>114742504</v>
      </c>
      <c r="O579" s="181" t="s">
        <v>449</v>
      </c>
      <c r="P579" s="234">
        <v>4</v>
      </c>
    </row>
    <row r="580" spans="1:16" s="235" customFormat="1" ht="60.75" customHeight="1" x14ac:dyDescent="0.35">
      <c r="A580" s="468" t="s">
        <v>3516</v>
      </c>
      <c r="B580" s="463" t="s">
        <v>451</v>
      </c>
      <c r="C580" s="331">
        <v>108</v>
      </c>
      <c r="D580" s="468" t="s">
        <v>4</v>
      </c>
      <c r="E580" s="468" t="s">
        <v>12</v>
      </c>
      <c r="F580" s="468" t="s">
        <v>980</v>
      </c>
      <c r="G580" s="271"/>
      <c r="H580" s="468" t="s">
        <v>3451</v>
      </c>
      <c r="I580" s="142" t="s">
        <v>421</v>
      </c>
      <c r="J580" s="394">
        <v>178567771.99000001</v>
      </c>
      <c r="K580" s="394">
        <v>178567772</v>
      </c>
      <c r="L580" s="394"/>
      <c r="M580" s="394" t="s">
        <v>5133</v>
      </c>
      <c r="N580" s="228">
        <v>53570331.600000001</v>
      </c>
      <c r="O580" s="181" t="s">
        <v>450</v>
      </c>
      <c r="P580" s="234"/>
    </row>
    <row r="581" spans="1:16" s="235" customFormat="1" ht="75.75" customHeight="1" x14ac:dyDescent="0.35">
      <c r="A581" s="468" t="s">
        <v>3517</v>
      </c>
      <c r="B581" s="463" t="s">
        <v>452</v>
      </c>
      <c r="C581" s="331">
        <v>216</v>
      </c>
      <c r="D581" s="468" t="s">
        <v>4</v>
      </c>
      <c r="E581" s="468" t="s">
        <v>12</v>
      </c>
      <c r="F581" s="468" t="s">
        <v>980</v>
      </c>
      <c r="G581" s="271"/>
      <c r="H581" s="468" t="s">
        <v>3451</v>
      </c>
      <c r="I581" s="142" t="s">
        <v>421</v>
      </c>
      <c r="J581" s="394">
        <v>1389860.67</v>
      </c>
      <c r="K581" s="394">
        <v>1389861</v>
      </c>
      <c r="L581" s="394"/>
      <c r="M581" s="394" t="s">
        <v>5133</v>
      </c>
      <c r="N581" s="228">
        <v>555944.27</v>
      </c>
      <c r="O581" s="148" t="s">
        <v>451</v>
      </c>
      <c r="P581" s="234"/>
    </row>
    <row r="582" spans="1:16" s="235" customFormat="1" ht="83.25" customHeight="1" x14ac:dyDescent="0.35">
      <c r="A582" s="468" t="s">
        <v>3518</v>
      </c>
      <c r="B582" s="463" t="s">
        <v>4800</v>
      </c>
      <c r="C582" s="331"/>
      <c r="D582" s="468" t="s">
        <v>4</v>
      </c>
      <c r="E582" s="468" t="s">
        <v>12</v>
      </c>
      <c r="F582" s="468" t="s">
        <v>980</v>
      </c>
      <c r="G582" s="271"/>
      <c r="H582" s="468" t="s">
        <v>3451</v>
      </c>
      <c r="I582" s="142" t="s">
        <v>421</v>
      </c>
      <c r="J582" s="394">
        <v>3222824.98</v>
      </c>
      <c r="K582" s="394">
        <v>3222825</v>
      </c>
      <c r="L582" s="394"/>
      <c r="M582" s="394" t="s">
        <v>5133</v>
      </c>
      <c r="N582" s="511">
        <v>1289129.99</v>
      </c>
      <c r="O582" s="180" t="s">
        <v>452</v>
      </c>
      <c r="P582" s="234"/>
    </row>
    <row r="583" spans="1:16" s="235" customFormat="1" ht="34.5" customHeight="1" x14ac:dyDescent="0.35">
      <c r="A583" s="468" t="s">
        <v>3519</v>
      </c>
      <c r="B583" s="463" t="s">
        <v>453</v>
      </c>
      <c r="C583" s="331">
        <v>216</v>
      </c>
      <c r="D583" s="468" t="s">
        <v>4</v>
      </c>
      <c r="E583" s="468" t="s">
        <v>12</v>
      </c>
      <c r="F583" s="468" t="s">
        <v>980</v>
      </c>
      <c r="G583" s="271"/>
      <c r="H583" s="468" t="s">
        <v>3451</v>
      </c>
      <c r="I583" s="142" t="s">
        <v>421</v>
      </c>
      <c r="J583" s="394">
        <v>1984911.28</v>
      </c>
      <c r="K583" s="394">
        <v>1984911</v>
      </c>
      <c r="L583" s="394"/>
      <c r="M583" s="394" t="s">
        <v>5133</v>
      </c>
      <c r="N583" s="228">
        <v>6622490.2800000003</v>
      </c>
      <c r="O583" s="180" t="s">
        <v>2577</v>
      </c>
      <c r="P583" s="234"/>
    </row>
    <row r="584" spans="1:16" s="235" customFormat="1" ht="55.5" customHeight="1" x14ac:dyDescent="0.35">
      <c r="A584" s="468" t="s">
        <v>3520</v>
      </c>
      <c r="B584" s="463" t="s">
        <v>454</v>
      </c>
      <c r="C584" s="331" t="s">
        <v>418</v>
      </c>
      <c r="D584" s="468" t="s">
        <v>4</v>
      </c>
      <c r="E584" s="468" t="s">
        <v>12</v>
      </c>
      <c r="F584" s="468" t="s">
        <v>980</v>
      </c>
      <c r="G584" s="271"/>
      <c r="H584" s="468" t="s">
        <v>3451</v>
      </c>
      <c r="I584" s="142" t="s">
        <v>421</v>
      </c>
      <c r="J584" s="394">
        <v>1892591.5</v>
      </c>
      <c r="K584" s="394">
        <v>1892592</v>
      </c>
      <c r="L584" s="394"/>
      <c r="M584" s="394" t="s">
        <v>5133</v>
      </c>
      <c r="N584" s="228">
        <v>8000000</v>
      </c>
      <c r="O584" s="148" t="s">
        <v>453</v>
      </c>
      <c r="P584" s="234"/>
    </row>
    <row r="585" spans="1:16" s="235" customFormat="1" ht="87" customHeight="1" x14ac:dyDescent="0.35">
      <c r="A585" s="468" t="s">
        <v>3521</v>
      </c>
      <c r="B585" s="463" t="s">
        <v>455</v>
      </c>
      <c r="C585" s="331">
        <v>106</v>
      </c>
      <c r="D585" s="468" t="s">
        <v>4</v>
      </c>
      <c r="E585" s="468" t="s">
        <v>12</v>
      </c>
      <c r="F585" s="468" t="s">
        <v>980</v>
      </c>
      <c r="G585" s="271"/>
      <c r="H585" s="468" t="s">
        <v>3451</v>
      </c>
      <c r="I585" s="142" t="s">
        <v>421</v>
      </c>
      <c r="J585" s="394">
        <v>51349749.25</v>
      </c>
      <c r="K585" s="394">
        <v>51349749</v>
      </c>
      <c r="L585" s="394"/>
      <c r="M585" s="394" t="s">
        <v>5133</v>
      </c>
      <c r="N585" s="228">
        <v>52000000</v>
      </c>
      <c r="O585" s="148" t="s">
        <v>454</v>
      </c>
      <c r="P585" s="234"/>
    </row>
    <row r="586" spans="1:16" s="235" customFormat="1" ht="60.75" customHeight="1" x14ac:dyDescent="0.35">
      <c r="A586" s="468" t="s">
        <v>3522</v>
      </c>
      <c r="B586" s="463" t="s">
        <v>457</v>
      </c>
      <c r="C586" s="331">
        <v>102</v>
      </c>
      <c r="D586" s="468" t="s">
        <v>4</v>
      </c>
      <c r="E586" s="468" t="s">
        <v>12</v>
      </c>
      <c r="F586" s="468" t="s">
        <v>980</v>
      </c>
      <c r="G586" s="271"/>
      <c r="H586" s="468" t="s">
        <v>3451</v>
      </c>
      <c r="I586" s="142" t="s">
        <v>421</v>
      </c>
      <c r="J586" s="394">
        <v>4474057.5</v>
      </c>
      <c r="K586" s="394"/>
      <c r="L586" s="394"/>
      <c r="M586" s="394" t="s">
        <v>5133</v>
      </c>
      <c r="N586" s="228">
        <v>24000000</v>
      </c>
      <c r="O586" s="148" t="s">
        <v>455</v>
      </c>
      <c r="P586" s="234"/>
    </row>
    <row r="587" spans="1:16" s="235" customFormat="1" ht="65.25" customHeight="1" x14ac:dyDescent="0.35">
      <c r="A587" s="468" t="s">
        <v>3523</v>
      </c>
      <c r="B587" s="463" t="s">
        <v>458</v>
      </c>
      <c r="C587" s="331">
        <v>319</v>
      </c>
      <c r="D587" s="468" t="s">
        <v>4</v>
      </c>
      <c r="E587" s="468" t="s">
        <v>12</v>
      </c>
      <c r="F587" s="468" t="s">
        <v>980</v>
      </c>
      <c r="G587" s="271"/>
      <c r="H587" s="468" t="s">
        <v>3451</v>
      </c>
      <c r="I587" s="142" t="s">
        <v>421</v>
      </c>
      <c r="J587" s="394">
        <v>37137458.399999999</v>
      </c>
      <c r="K587" s="394"/>
      <c r="L587" s="394"/>
      <c r="M587" s="394" t="s">
        <v>5133</v>
      </c>
      <c r="N587" s="228">
        <v>14854983.359999999</v>
      </c>
      <c r="O587" s="148" t="s">
        <v>457</v>
      </c>
      <c r="P587" s="234"/>
    </row>
    <row r="588" spans="1:16" s="235" customFormat="1" ht="63.75" customHeight="1" x14ac:dyDescent="0.35">
      <c r="A588" s="468" t="s">
        <v>3524</v>
      </c>
      <c r="B588" s="463" t="s">
        <v>459</v>
      </c>
      <c r="C588" s="331">
        <v>211</v>
      </c>
      <c r="D588" s="468" t="s">
        <v>4</v>
      </c>
      <c r="E588" s="468" t="s">
        <v>12</v>
      </c>
      <c r="F588" s="468" t="s">
        <v>980</v>
      </c>
      <c r="G588" s="271"/>
      <c r="H588" s="468" t="s">
        <v>3451</v>
      </c>
      <c r="I588" s="142" t="s">
        <v>421</v>
      </c>
      <c r="J588" s="394">
        <v>2098583.71</v>
      </c>
      <c r="K588" s="394">
        <v>2098584</v>
      </c>
      <c r="L588" s="394"/>
      <c r="M588" s="394" t="s">
        <v>5133</v>
      </c>
      <c r="N588" s="228">
        <v>8000000</v>
      </c>
      <c r="O588" s="148" t="s">
        <v>458</v>
      </c>
      <c r="P588" s="234">
        <v>5</v>
      </c>
    </row>
    <row r="589" spans="1:16" s="235" customFormat="1" ht="63" customHeight="1" x14ac:dyDescent="0.35">
      <c r="A589" s="468" t="s">
        <v>3525</v>
      </c>
      <c r="B589" s="463" t="s">
        <v>460</v>
      </c>
      <c r="C589" s="331">
        <v>216</v>
      </c>
      <c r="D589" s="468" t="s">
        <v>4</v>
      </c>
      <c r="E589" s="468" t="s">
        <v>12</v>
      </c>
      <c r="F589" s="468" t="s">
        <v>980</v>
      </c>
      <c r="G589" s="271"/>
      <c r="H589" s="468" t="s">
        <v>3451</v>
      </c>
      <c r="I589" s="142" t="s">
        <v>421</v>
      </c>
      <c r="J589" s="394">
        <v>1724417.75</v>
      </c>
      <c r="K589" s="394">
        <v>1724418</v>
      </c>
      <c r="L589" s="394"/>
      <c r="M589" s="394" t="s">
        <v>5133</v>
      </c>
      <c r="N589" s="228">
        <v>6212046.7999999998</v>
      </c>
      <c r="O589" s="148" t="s">
        <v>459</v>
      </c>
      <c r="P589" s="234"/>
    </row>
    <row r="590" spans="1:16" s="235" customFormat="1" ht="60" customHeight="1" x14ac:dyDescent="0.35">
      <c r="A590" s="468" t="s">
        <v>3526</v>
      </c>
      <c r="B590" s="463" t="s">
        <v>461</v>
      </c>
      <c r="C590" s="331" t="s">
        <v>191</v>
      </c>
      <c r="D590" s="468" t="s">
        <v>4</v>
      </c>
      <c r="E590" s="468" t="s">
        <v>12</v>
      </c>
      <c r="F590" s="468" t="s">
        <v>980</v>
      </c>
      <c r="G590" s="271"/>
      <c r="H590" s="468" t="s">
        <v>3451</v>
      </c>
      <c r="I590" s="142" t="s">
        <v>421</v>
      </c>
      <c r="J590" s="394">
        <v>2184429.5</v>
      </c>
      <c r="K590" s="394">
        <v>2184430</v>
      </c>
      <c r="L590" s="394"/>
      <c r="M590" s="394" t="s">
        <v>5133</v>
      </c>
      <c r="N590" s="228">
        <v>5697450</v>
      </c>
      <c r="O590" s="148" t="s">
        <v>460</v>
      </c>
      <c r="P590" s="234"/>
    </row>
    <row r="591" spans="1:16" s="235" customFormat="1" ht="88.5" customHeight="1" x14ac:dyDescent="0.35">
      <c r="A591" s="468" t="s">
        <v>3527</v>
      </c>
      <c r="B591" s="463" t="s">
        <v>462</v>
      </c>
      <c r="C591" s="331">
        <v>216</v>
      </c>
      <c r="D591" s="468" t="s">
        <v>4</v>
      </c>
      <c r="E591" s="468" t="s">
        <v>12</v>
      </c>
      <c r="F591" s="468" t="s">
        <v>980</v>
      </c>
      <c r="G591" s="271"/>
      <c r="H591" s="468" t="s">
        <v>3451</v>
      </c>
      <c r="I591" s="142" t="s">
        <v>421</v>
      </c>
      <c r="J591" s="394">
        <v>1240070.3500000001</v>
      </c>
      <c r="K591" s="394">
        <v>1240070</v>
      </c>
      <c r="L591" s="394"/>
      <c r="M591" s="394" t="s">
        <v>5133</v>
      </c>
      <c r="N591" s="228">
        <v>496028.14</v>
      </c>
      <c r="O591" s="148" t="s">
        <v>461</v>
      </c>
      <c r="P591" s="234"/>
    </row>
    <row r="592" spans="1:16" s="235" customFormat="1" ht="83.25" customHeight="1" x14ac:dyDescent="0.35">
      <c r="A592" s="468" t="s">
        <v>3528</v>
      </c>
      <c r="B592" s="463" t="s">
        <v>463</v>
      </c>
      <c r="C592" s="331">
        <v>216</v>
      </c>
      <c r="D592" s="468" t="s">
        <v>4</v>
      </c>
      <c r="E592" s="468" t="s">
        <v>12</v>
      </c>
      <c r="F592" s="468" t="s">
        <v>980</v>
      </c>
      <c r="G592" s="271"/>
      <c r="H592" s="468" t="s">
        <v>3451</v>
      </c>
      <c r="I592" s="142" t="s">
        <v>421</v>
      </c>
      <c r="J592" s="394">
        <v>1491293.5</v>
      </c>
      <c r="K592" s="394"/>
      <c r="L592" s="394"/>
      <c r="M592" s="394" t="s">
        <v>5133</v>
      </c>
      <c r="N592" s="228">
        <v>11930352</v>
      </c>
      <c r="O592" s="148" t="s">
        <v>462</v>
      </c>
      <c r="P592" s="234"/>
    </row>
    <row r="593" spans="1:16" s="235" customFormat="1" ht="47.25" customHeight="1" x14ac:dyDescent="0.35">
      <c r="A593" s="468" t="s">
        <v>3529</v>
      </c>
      <c r="B593" s="463" t="s">
        <v>464</v>
      </c>
      <c r="C593" s="331" t="s">
        <v>191</v>
      </c>
      <c r="D593" s="468" t="s">
        <v>4</v>
      </c>
      <c r="E593" s="468" t="s">
        <v>12</v>
      </c>
      <c r="F593" s="468" t="s">
        <v>980</v>
      </c>
      <c r="G593" s="271"/>
      <c r="H593" s="468" t="s">
        <v>3451</v>
      </c>
      <c r="I593" s="142" t="s">
        <v>421</v>
      </c>
      <c r="J593" s="394">
        <v>738663.4</v>
      </c>
      <c r="K593" s="394">
        <v>738663</v>
      </c>
      <c r="L593" s="394"/>
      <c r="M593" s="394" t="s">
        <v>5133</v>
      </c>
      <c r="N593" s="228">
        <v>9720000</v>
      </c>
      <c r="O593" s="148" t="s">
        <v>463</v>
      </c>
      <c r="P593" s="234"/>
    </row>
    <row r="594" spans="1:16" s="235" customFormat="1" ht="81.75" customHeight="1" x14ac:dyDescent="0.35">
      <c r="A594" s="468" t="s">
        <v>3530</v>
      </c>
      <c r="B594" s="463" t="s">
        <v>465</v>
      </c>
      <c r="C594" s="331">
        <v>211</v>
      </c>
      <c r="D594" s="468" t="s">
        <v>4</v>
      </c>
      <c r="E594" s="468" t="s">
        <v>12</v>
      </c>
      <c r="F594" s="468" t="s">
        <v>980</v>
      </c>
      <c r="G594" s="271"/>
      <c r="H594" s="468" t="s">
        <v>3451</v>
      </c>
      <c r="I594" s="142" t="s">
        <v>421</v>
      </c>
      <c r="J594" s="394">
        <v>3041598.05</v>
      </c>
      <c r="K594" s="394">
        <v>3041598</v>
      </c>
      <c r="L594" s="394"/>
      <c r="M594" s="394" t="s">
        <v>5133</v>
      </c>
      <c r="N594" s="228">
        <v>12200000</v>
      </c>
      <c r="O594" s="148" t="s">
        <v>464</v>
      </c>
      <c r="P594" s="234"/>
    </row>
    <row r="595" spans="1:16" s="235" customFormat="1" ht="57.75" customHeight="1" x14ac:dyDescent="0.35">
      <c r="A595" s="468" t="s">
        <v>3531</v>
      </c>
      <c r="B595" s="463" t="s">
        <v>466</v>
      </c>
      <c r="C595" s="331">
        <v>210</v>
      </c>
      <c r="D595" s="468" t="s">
        <v>4</v>
      </c>
      <c r="E595" s="468" t="s">
        <v>12</v>
      </c>
      <c r="F595" s="468" t="s">
        <v>980</v>
      </c>
      <c r="G595" s="271"/>
      <c r="H595" s="468" t="s">
        <v>3451</v>
      </c>
      <c r="I595" s="142" t="s">
        <v>421</v>
      </c>
      <c r="J595" s="394">
        <v>5007632.79</v>
      </c>
      <c r="K595" s="394">
        <v>5007633</v>
      </c>
      <c r="L595" s="394"/>
      <c r="M595" s="394" t="s">
        <v>5133</v>
      </c>
      <c r="N595" s="228">
        <v>22360000</v>
      </c>
      <c r="O595" s="148" t="s">
        <v>465</v>
      </c>
      <c r="P595" s="234"/>
    </row>
    <row r="596" spans="1:16" s="235" customFormat="1" ht="57.75" customHeight="1" x14ac:dyDescent="0.35">
      <c r="A596" s="468" t="s">
        <v>3532</v>
      </c>
      <c r="B596" s="463" t="s">
        <v>467</v>
      </c>
      <c r="C596" s="331" t="s">
        <v>418</v>
      </c>
      <c r="D596" s="468" t="s">
        <v>4</v>
      </c>
      <c r="E596" s="468" t="s">
        <v>12</v>
      </c>
      <c r="F596" s="468" t="s">
        <v>980</v>
      </c>
      <c r="G596" s="271"/>
      <c r="H596" s="468" t="s">
        <v>3451</v>
      </c>
      <c r="I596" s="142" t="s">
        <v>421</v>
      </c>
      <c r="J596" s="394">
        <v>2815885.55</v>
      </c>
      <c r="K596" s="394">
        <v>2815886</v>
      </c>
      <c r="L596" s="394"/>
      <c r="M596" s="394" t="s">
        <v>5133</v>
      </c>
      <c r="N596" s="228">
        <v>10400000</v>
      </c>
      <c r="O596" s="148" t="s">
        <v>466</v>
      </c>
      <c r="P596" s="234"/>
    </row>
    <row r="597" spans="1:16" s="235" customFormat="1" ht="76.5" customHeight="1" x14ac:dyDescent="0.35">
      <c r="A597" s="468" t="s">
        <v>3533</v>
      </c>
      <c r="B597" s="463" t="s">
        <v>468</v>
      </c>
      <c r="C597" s="331">
        <v>216</v>
      </c>
      <c r="D597" s="468" t="s">
        <v>4</v>
      </c>
      <c r="E597" s="468" t="s">
        <v>12</v>
      </c>
      <c r="F597" s="468" t="s">
        <v>980</v>
      </c>
      <c r="G597" s="271"/>
      <c r="H597" s="468" t="s">
        <v>3451</v>
      </c>
      <c r="I597" s="142" t="s">
        <v>421</v>
      </c>
      <c r="J597" s="394">
        <v>6344352.9500000002</v>
      </c>
      <c r="K597" s="394">
        <v>6344353</v>
      </c>
      <c r="L597" s="394"/>
      <c r="M597" s="394" t="s">
        <v>5133</v>
      </c>
      <c r="N597" s="228">
        <v>33460567.559999999</v>
      </c>
      <c r="O597" s="148" t="s">
        <v>467</v>
      </c>
      <c r="P597" s="234"/>
    </row>
    <row r="598" spans="1:16" s="235" customFormat="1" ht="71.25" customHeight="1" x14ac:dyDescent="0.35">
      <c r="A598" s="468" t="s">
        <v>3534</v>
      </c>
      <c r="B598" s="463" t="s">
        <v>2578</v>
      </c>
      <c r="C598" s="331" t="s">
        <v>3247</v>
      </c>
      <c r="D598" s="468" t="s">
        <v>4</v>
      </c>
      <c r="E598" s="468" t="s">
        <v>12</v>
      </c>
      <c r="F598" s="468" t="s">
        <v>980</v>
      </c>
      <c r="G598" s="271"/>
      <c r="H598" s="468" t="s">
        <v>3451</v>
      </c>
      <c r="I598" s="142" t="s">
        <v>421</v>
      </c>
      <c r="J598" s="394">
        <v>2402265.7200000002</v>
      </c>
      <c r="K598" s="394">
        <v>2402266</v>
      </c>
      <c r="L598" s="394"/>
      <c r="M598" s="394" t="s">
        <v>5133</v>
      </c>
      <c r="N598" s="189"/>
      <c r="O598" s="148" t="s">
        <v>468</v>
      </c>
      <c r="P598" s="234"/>
    </row>
    <row r="599" spans="1:16" s="235" customFormat="1" ht="78.75" customHeight="1" x14ac:dyDescent="0.35">
      <c r="A599" s="468" t="s">
        <v>3535</v>
      </c>
      <c r="B599" s="463" t="s">
        <v>2579</v>
      </c>
      <c r="C599" s="331">
        <v>322</v>
      </c>
      <c r="D599" s="468" t="s">
        <v>4</v>
      </c>
      <c r="E599" s="468" t="s">
        <v>12</v>
      </c>
      <c r="F599" s="468" t="s">
        <v>980</v>
      </c>
      <c r="G599" s="271"/>
      <c r="H599" s="468" t="s">
        <v>3451</v>
      </c>
      <c r="I599" s="142" t="s">
        <v>421</v>
      </c>
      <c r="J599" s="394">
        <v>374625</v>
      </c>
      <c r="K599" s="394">
        <v>374625</v>
      </c>
      <c r="L599" s="394"/>
      <c r="M599" s="394" t="s">
        <v>5133</v>
      </c>
      <c r="N599" s="189"/>
      <c r="O599" s="182" t="s">
        <v>2578</v>
      </c>
      <c r="P599" s="234"/>
    </row>
    <row r="600" spans="1:16" s="235" customFormat="1" ht="122.25" customHeight="1" x14ac:dyDescent="0.35">
      <c r="A600" s="468" t="s">
        <v>3536</v>
      </c>
      <c r="B600" s="463" t="s">
        <v>2580</v>
      </c>
      <c r="C600" s="331" t="s">
        <v>648</v>
      </c>
      <c r="D600" s="468" t="s">
        <v>4</v>
      </c>
      <c r="E600" s="468" t="s">
        <v>12</v>
      </c>
      <c r="F600" s="468" t="s">
        <v>980</v>
      </c>
      <c r="G600" s="271"/>
      <c r="H600" s="468" t="s">
        <v>3451</v>
      </c>
      <c r="I600" s="142" t="s">
        <v>421</v>
      </c>
      <c r="J600" s="394">
        <v>8046779.4699999997</v>
      </c>
      <c r="K600" s="394"/>
      <c r="L600" s="394"/>
      <c r="M600" s="394" t="s">
        <v>5133</v>
      </c>
      <c r="N600" s="189"/>
      <c r="O600" s="182" t="s">
        <v>2579</v>
      </c>
      <c r="P600" s="234"/>
    </row>
    <row r="601" spans="1:16" s="235" customFormat="1" ht="60" customHeight="1" x14ac:dyDescent="0.35">
      <c r="A601" s="468" t="s">
        <v>3537</v>
      </c>
      <c r="B601" s="463" t="s">
        <v>2581</v>
      </c>
      <c r="C601" s="331">
        <v>211</v>
      </c>
      <c r="D601" s="468" t="s">
        <v>4</v>
      </c>
      <c r="E601" s="468" t="s">
        <v>12</v>
      </c>
      <c r="F601" s="468" t="s">
        <v>980</v>
      </c>
      <c r="G601" s="271"/>
      <c r="H601" s="468" t="s">
        <v>3451</v>
      </c>
      <c r="I601" s="142" t="s">
        <v>421</v>
      </c>
      <c r="J601" s="394">
        <v>1205404.8</v>
      </c>
      <c r="K601" s="394">
        <v>1205405</v>
      </c>
      <c r="L601" s="394"/>
      <c r="M601" s="394" t="s">
        <v>5133</v>
      </c>
      <c r="N601" s="189"/>
      <c r="O601" s="182" t="s">
        <v>2580</v>
      </c>
      <c r="P601" s="234">
        <v>6</v>
      </c>
    </row>
    <row r="602" spans="1:16" s="235" customFormat="1" ht="70.5" customHeight="1" x14ac:dyDescent="0.35">
      <c r="A602" s="468" t="s">
        <v>3538</v>
      </c>
      <c r="B602" s="463" t="s">
        <v>2582</v>
      </c>
      <c r="C602" s="331">
        <v>322</v>
      </c>
      <c r="D602" s="468" t="s">
        <v>4</v>
      </c>
      <c r="E602" s="468" t="s">
        <v>12</v>
      </c>
      <c r="F602" s="468" t="s">
        <v>980</v>
      </c>
      <c r="G602" s="271"/>
      <c r="H602" s="468" t="s">
        <v>3451</v>
      </c>
      <c r="I602" s="142" t="s">
        <v>421</v>
      </c>
      <c r="J602" s="394">
        <v>374625</v>
      </c>
      <c r="K602" s="394"/>
      <c r="L602" s="394"/>
      <c r="M602" s="394" t="s">
        <v>5133</v>
      </c>
      <c r="N602" s="189"/>
      <c r="O602" s="182" t="s">
        <v>2581</v>
      </c>
      <c r="P602" s="234"/>
    </row>
    <row r="603" spans="1:16" s="235" customFormat="1" ht="66" customHeight="1" x14ac:dyDescent="0.35">
      <c r="A603" s="468" t="s">
        <v>3539</v>
      </c>
      <c r="B603" s="463" t="s">
        <v>2583</v>
      </c>
      <c r="C603" s="331">
        <v>216</v>
      </c>
      <c r="D603" s="468" t="s">
        <v>4</v>
      </c>
      <c r="E603" s="468" t="s">
        <v>12</v>
      </c>
      <c r="F603" s="468" t="s">
        <v>980</v>
      </c>
      <c r="G603" s="271"/>
      <c r="H603" s="468" t="s">
        <v>3451</v>
      </c>
      <c r="I603" s="142" t="s">
        <v>421</v>
      </c>
      <c r="J603" s="394">
        <v>3390000</v>
      </c>
      <c r="K603" s="394">
        <v>3390000</v>
      </c>
      <c r="L603" s="394"/>
      <c r="M603" s="394" t="s">
        <v>5133</v>
      </c>
      <c r="N603" s="189"/>
      <c r="O603" s="182" t="s">
        <v>2582</v>
      </c>
      <c r="P603" s="234"/>
    </row>
    <row r="604" spans="1:16" s="235" customFormat="1" ht="70.5" customHeight="1" x14ac:dyDescent="0.35">
      <c r="A604" s="468" t="s">
        <v>3540</v>
      </c>
      <c r="B604" s="463" t="s">
        <v>2584</v>
      </c>
      <c r="C604" s="331">
        <v>216</v>
      </c>
      <c r="D604" s="468" t="s">
        <v>4</v>
      </c>
      <c r="E604" s="468" t="s">
        <v>12</v>
      </c>
      <c r="F604" s="468" t="s">
        <v>980</v>
      </c>
      <c r="G604" s="271"/>
      <c r="H604" s="468" t="s">
        <v>3451</v>
      </c>
      <c r="I604" s="142" t="s">
        <v>421</v>
      </c>
      <c r="J604" s="394">
        <v>1657307.99</v>
      </c>
      <c r="K604" s="394">
        <v>1657308</v>
      </c>
      <c r="L604" s="394"/>
      <c r="M604" s="394" t="s">
        <v>5133</v>
      </c>
      <c r="N604" s="189"/>
      <c r="O604" s="182" t="s">
        <v>2583</v>
      </c>
      <c r="P604" s="234"/>
    </row>
    <row r="605" spans="1:16" s="235" customFormat="1" ht="69.75" customHeight="1" x14ac:dyDescent="0.35">
      <c r="A605" s="468" t="s">
        <v>3541</v>
      </c>
      <c r="B605" s="463" t="s">
        <v>2585</v>
      </c>
      <c r="C605" s="331">
        <v>216</v>
      </c>
      <c r="D605" s="468" t="s">
        <v>4</v>
      </c>
      <c r="E605" s="468" t="s">
        <v>12</v>
      </c>
      <c r="F605" s="468" t="s">
        <v>980</v>
      </c>
      <c r="G605" s="271"/>
      <c r="H605" s="468" t="s">
        <v>3451</v>
      </c>
      <c r="I605" s="142" t="s">
        <v>421</v>
      </c>
      <c r="J605" s="394">
        <v>22000000</v>
      </c>
      <c r="K605" s="394">
        <v>22000000</v>
      </c>
      <c r="L605" s="394"/>
      <c r="M605" s="394" t="s">
        <v>5133</v>
      </c>
      <c r="N605" s="189"/>
      <c r="O605" s="182" t="s">
        <v>2584</v>
      </c>
      <c r="P605" s="234"/>
    </row>
    <row r="606" spans="1:16" s="235" customFormat="1" ht="52.5" customHeight="1" x14ac:dyDescent="0.35">
      <c r="A606" s="468" t="s">
        <v>3542</v>
      </c>
      <c r="B606" s="463" t="s">
        <v>2586</v>
      </c>
      <c r="C606" s="331">
        <v>321</v>
      </c>
      <c r="D606" s="468" t="s">
        <v>4</v>
      </c>
      <c r="E606" s="468" t="s">
        <v>12</v>
      </c>
      <c r="F606" s="468" t="s">
        <v>980</v>
      </c>
      <c r="G606" s="271"/>
      <c r="H606" s="468" t="s">
        <v>3451</v>
      </c>
      <c r="I606" s="142" t="s">
        <v>421</v>
      </c>
      <c r="J606" s="394">
        <v>2162826.23</v>
      </c>
      <c r="K606" s="394">
        <v>2162826</v>
      </c>
      <c r="L606" s="394"/>
      <c r="M606" s="394" t="s">
        <v>5133</v>
      </c>
      <c r="N606" s="189"/>
      <c r="O606" s="182" t="s">
        <v>2585</v>
      </c>
      <c r="P606" s="234"/>
    </row>
    <row r="607" spans="1:16" s="235" customFormat="1" ht="84" customHeight="1" x14ac:dyDescent="0.35">
      <c r="A607" s="468" t="s">
        <v>3543</v>
      </c>
      <c r="B607" s="463" t="s">
        <v>2587</v>
      </c>
      <c r="C607" s="331">
        <v>318</v>
      </c>
      <c r="D607" s="468" t="s">
        <v>4</v>
      </c>
      <c r="E607" s="468" t="s">
        <v>12</v>
      </c>
      <c r="F607" s="468" t="s">
        <v>980</v>
      </c>
      <c r="G607" s="271"/>
      <c r="H607" s="468" t="s">
        <v>3451</v>
      </c>
      <c r="I607" s="142" t="s">
        <v>421</v>
      </c>
      <c r="J607" s="394">
        <v>20569704.23</v>
      </c>
      <c r="K607" s="394">
        <v>20569704.23</v>
      </c>
      <c r="L607" s="394"/>
      <c r="M607" s="394" t="s">
        <v>5133</v>
      </c>
      <c r="N607" s="189"/>
      <c r="O607" s="182" t="s">
        <v>2586</v>
      </c>
      <c r="P607" s="234"/>
    </row>
    <row r="608" spans="1:16" s="235" customFormat="1" ht="77.25" customHeight="1" x14ac:dyDescent="0.35">
      <c r="A608" s="468" t="s">
        <v>3544</v>
      </c>
      <c r="B608" s="463" t="s">
        <v>2588</v>
      </c>
      <c r="C608" s="331">
        <v>216</v>
      </c>
      <c r="D608" s="468" t="s">
        <v>4</v>
      </c>
      <c r="E608" s="468" t="s">
        <v>12</v>
      </c>
      <c r="F608" s="468" t="s">
        <v>980</v>
      </c>
      <c r="G608" s="271"/>
      <c r="H608" s="468" t="s">
        <v>3451</v>
      </c>
      <c r="I608" s="142" t="s">
        <v>421</v>
      </c>
      <c r="J608" s="394">
        <v>161395762.5</v>
      </c>
      <c r="K608" s="394">
        <v>80395762.5</v>
      </c>
      <c r="L608" s="394"/>
      <c r="M608" s="394" t="s">
        <v>5133</v>
      </c>
      <c r="N608" s="189"/>
      <c r="O608" s="182" t="s">
        <v>2587</v>
      </c>
      <c r="P608" s="234"/>
    </row>
    <row r="609" spans="1:16" s="235" customFormat="1" ht="86.25" customHeight="1" x14ac:dyDescent="0.35">
      <c r="A609" s="468" t="s">
        <v>3545</v>
      </c>
      <c r="B609" s="463" t="s">
        <v>2589</v>
      </c>
      <c r="C609" s="331">
        <v>108</v>
      </c>
      <c r="D609" s="468" t="s">
        <v>4</v>
      </c>
      <c r="E609" s="468" t="s">
        <v>12</v>
      </c>
      <c r="F609" s="468" t="s">
        <v>980</v>
      </c>
      <c r="G609" s="271"/>
      <c r="H609" s="468" t="s">
        <v>3451</v>
      </c>
      <c r="I609" s="142" t="s">
        <v>421</v>
      </c>
      <c r="J609" s="394">
        <v>11236972.470000001</v>
      </c>
      <c r="K609" s="394"/>
      <c r="L609" s="394"/>
      <c r="M609" s="394" t="s">
        <v>5133</v>
      </c>
      <c r="N609" s="189"/>
      <c r="O609" s="182" t="s">
        <v>2588</v>
      </c>
      <c r="P609" s="234"/>
    </row>
    <row r="610" spans="1:16" s="235" customFormat="1" ht="87" customHeight="1" x14ac:dyDescent="0.35">
      <c r="A610" s="468" t="s">
        <v>3546</v>
      </c>
      <c r="B610" s="463" t="s">
        <v>2590</v>
      </c>
      <c r="C610" s="331">
        <v>212</v>
      </c>
      <c r="D610" s="468" t="s">
        <v>4</v>
      </c>
      <c r="E610" s="468" t="s">
        <v>12</v>
      </c>
      <c r="F610" s="468" t="s">
        <v>980</v>
      </c>
      <c r="G610" s="271"/>
      <c r="H610" s="468" t="s">
        <v>3451</v>
      </c>
      <c r="I610" s="142" t="s">
        <v>421</v>
      </c>
      <c r="J610" s="394">
        <v>24742177</v>
      </c>
      <c r="K610" s="394"/>
      <c r="L610" s="394"/>
      <c r="M610" s="394" t="s">
        <v>5133</v>
      </c>
      <c r="N610" s="189"/>
      <c r="O610" s="182" t="s">
        <v>2589</v>
      </c>
      <c r="P610" s="234">
        <v>7</v>
      </c>
    </row>
    <row r="611" spans="1:16" s="235" customFormat="1" ht="93" customHeight="1" x14ac:dyDescent="0.35">
      <c r="A611" s="468" t="s">
        <v>3547</v>
      </c>
      <c r="B611" s="463" t="s">
        <v>2591</v>
      </c>
      <c r="C611" s="331">
        <v>211</v>
      </c>
      <c r="D611" s="468" t="s">
        <v>4</v>
      </c>
      <c r="E611" s="468" t="s">
        <v>12</v>
      </c>
      <c r="F611" s="468" t="s">
        <v>980</v>
      </c>
      <c r="G611" s="271"/>
      <c r="H611" s="468" t="s">
        <v>3451</v>
      </c>
      <c r="I611" s="142" t="s">
        <v>421</v>
      </c>
      <c r="J611" s="394">
        <v>1070003.53</v>
      </c>
      <c r="K611" s="394">
        <v>1070003.53</v>
      </c>
      <c r="L611" s="394"/>
      <c r="M611" s="394" t="s">
        <v>5133</v>
      </c>
      <c r="N611" s="189"/>
      <c r="O611" s="182" t="s">
        <v>2590</v>
      </c>
      <c r="P611" s="234"/>
    </row>
    <row r="612" spans="1:16" s="235" customFormat="1" ht="93" customHeight="1" x14ac:dyDescent="0.35">
      <c r="A612" s="468" t="s">
        <v>3548</v>
      </c>
      <c r="B612" s="463" t="s">
        <v>2592</v>
      </c>
      <c r="C612" s="331">
        <v>216</v>
      </c>
      <c r="D612" s="468" t="s">
        <v>4</v>
      </c>
      <c r="E612" s="468" t="s">
        <v>12</v>
      </c>
      <c r="F612" s="468" t="s">
        <v>980</v>
      </c>
      <c r="G612" s="271"/>
      <c r="H612" s="468" t="s">
        <v>3451</v>
      </c>
      <c r="I612" s="142" t="s">
        <v>421</v>
      </c>
      <c r="J612" s="394" t="s">
        <v>4798</v>
      </c>
      <c r="K612" s="394">
        <v>137767055.21000001</v>
      </c>
      <c r="L612" s="394"/>
      <c r="M612" s="394" t="s">
        <v>5133</v>
      </c>
      <c r="N612" s="189"/>
      <c r="O612" s="183" t="s">
        <v>2591</v>
      </c>
      <c r="P612" s="234"/>
    </row>
    <row r="613" spans="1:16" s="235" customFormat="1" ht="70.5" customHeight="1" x14ac:dyDescent="0.35">
      <c r="A613" s="468" t="s">
        <v>3549</v>
      </c>
      <c r="B613" s="463" t="s">
        <v>2593</v>
      </c>
      <c r="C613" s="331">
        <v>324</v>
      </c>
      <c r="D613" s="468" t="s">
        <v>4</v>
      </c>
      <c r="E613" s="468" t="s">
        <v>12</v>
      </c>
      <c r="F613" s="468" t="s">
        <v>980</v>
      </c>
      <c r="G613" s="271"/>
      <c r="H613" s="468" t="s">
        <v>3451</v>
      </c>
      <c r="I613" s="142" t="s">
        <v>421</v>
      </c>
      <c r="J613" s="394">
        <v>24879750.66</v>
      </c>
      <c r="K613" s="394"/>
      <c r="L613" s="394"/>
      <c r="M613" s="394" t="s">
        <v>5133</v>
      </c>
      <c r="N613" s="189"/>
      <c r="O613" s="182" t="s">
        <v>2592</v>
      </c>
      <c r="P613" s="234"/>
    </row>
    <row r="614" spans="1:16" s="235" customFormat="1" ht="82.5" customHeight="1" x14ac:dyDescent="0.35">
      <c r="A614" s="468" t="s">
        <v>3550</v>
      </c>
      <c r="B614" s="463" t="s">
        <v>3551</v>
      </c>
      <c r="C614" s="331">
        <v>106</v>
      </c>
      <c r="D614" s="468" t="s">
        <v>4</v>
      </c>
      <c r="E614" s="468" t="s">
        <v>12</v>
      </c>
      <c r="F614" s="468" t="s">
        <v>980</v>
      </c>
      <c r="G614" s="271"/>
      <c r="H614" s="468" t="s">
        <v>3451</v>
      </c>
      <c r="I614" s="142" t="s">
        <v>421</v>
      </c>
      <c r="J614" s="394">
        <v>35600000</v>
      </c>
      <c r="K614" s="394">
        <v>70000000</v>
      </c>
      <c r="L614" s="394"/>
      <c r="M614" s="394" t="s">
        <v>5133</v>
      </c>
      <c r="N614" s="189"/>
      <c r="O614" s="182" t="s">
        <v>2593</v>
      </c>
      <c r="P614" s="234"/>
    </row>
    <row r="615" spans="1:16" ht="63" customHeight="1" x14ac:dyDescent="0.35">
      <c r="A615" s="468" t="s">
        <v>3552</v>
      </c>
      <c r="B615" s="463" t="s">
        <v>3553</v>
      </c>
      <c r="C615" s="331">
        <v>319</v>
      </c>
      <c r="D615" s="468" t="s">
        <v>4</v>
      </c>
      <c r="E615" s="468" t="s">
        <v>12</v>
      </c>
      <c r="F615" s="468" t="s">
        <v>980</v>
      </c>
      <c r="G615" s="271"/>
      <c r="H615" s="468" t="s">
        <v>3451</v>
      </c>
      <c r="I615" s="142" t="s">
        <v>421</v>
      </c>
      <c r="J615" s="394">
        <v>20000000</v>
      </c>
      <c r="K615" s="627"/>
      <c r="L615" s="394"/>
      <c r="M615" s="394" t="s">
        <v>5133</v>
      </c>
      <c r="N615" s="228"/>
      <c r="O615" s="181" t="s">
        <v>2535</v>
      </c>
    </row>
    <row r="616" spans="1:16" ht="51" customHeight="1" x14ac:dyDescent="0.35">
      <c r="A616" s="468" t="s">
        <v>3554</v>
      </c>
      <c r="B616" s="463" t="s">
        <v>2535</v>
      </c>
      <c r="C616" s="457">
        <v>426</v>
      </c>
      <c r="D616" s="468" t="s">
        <v>4</v>
      </c>
      <c r="E616" s="468" t="s">
        <v>12</v>
      </c>
      <c r="F616" s="468" t="s">
        <v>980</v>
      </c>
      <c r="G616" s="271"/>
      <c r="H616" s="468" t="s">
        <v>3451</v>
      </c>
      <c r="I616" s="142" t="s">
        <v>421</v>
      </c>
      <c r="J616" s="394">
        <f>75000000-25000000</f>
        <v>50000000</v>
      </c>
      <c r="K616" s="627">
        <v>50000000</v>
      </c>
      <c r="L616" s="394"/>
      <c r="M616" s="394" t="s">
        <v>5133</v>
      </c>
      <c r="N616" s="228"/>
      <c r="O616" s="181" t="s">
        <v>2536</v>
      </c>
      <c r="P616" s="231">
        <v>25000000</v>
      </c>
    </row>
    <row r="617" spans="1:16" ht="55.5" customHeight="1" x14ac:dyDescent="0.35">
      <c r="A617" s="468" t="s">
        <v>3555</v>
      </c>
      <c r="B617" s="463" t="s">
        <v>2536</v>
      </c>
      <c r="C617" s="457">
        <v>426</v>
      </c>
      <c r="D617" s="468" t="s">
        <v>4</v>
      </c>
      <c r="E617" s="468" t="s">
        <v>12</v>
      </c>
      <c r="F617" s="468" t="s">
        <v>980</v>
      </c>
      <c r="G617" s="271"/>
      <c r="H617" s="468" t="s">
        <v>3451</v>
      </c>
      <c r="I617" s="142" t="s">
        <v>421</v>
      </c>
      <c r="J617" s="394">
        <v>1000000</v>
      </c>
      <c r="K617" s="627">
        <v>13000000</v>
      </c>
      <c r="L617" s="394"/>
      <c r="M617" s="394" t="s">
        <v>5133</v>
      </c>
      <c r="N617" s="228"/>
      <c r="O617" s="181" t="s">
        <v>2537</v>
      </c>
    </row>
    <row r="618" spans="1:16" ht="38.25" customHeight="1" x14ac:dyDescent="0.35">
      <c r="A618" s="468" t="s">
        <v>3556</v>
      </c>
      <c r="B618" s="463" t="s">
        <v>2537</v>
      </c>
      <c r="C618" s="457">
        <v>426</v>
      </c>
      <c r="D618" s="468" t="s">
        <v>4</v>
      </c>
      <c r="E618" s="468" t="s">
        <v>12</v>
      </c>
      <c r="F618" s="468" t="s">
        <v>980</v>
      </c>
      <c r="G618" s="271"/>
      <c r="H618" s="468" t="s">
        <v>3451</v>
      </c>
      <c r="I618" s="142" t="s">
        <v>421</v>
      </c>
      <c r="J618" s="394">
        <v>70000000</v>
      </c>
      <c r="K618" s="627">
        <v>60000000</v>
      </c>
      <c r="L618" s="394"/>
      <c r="M618" s="394" t="s">
        <v>5133</v>
      </c>
      <c r="N618" s="228"/>
      <c r="O618" s="181" t="s">
        <v>2538</v>
      </c>
    </row>
    <row r="619" spans="1:16" ht="59.25" customHeight="1" x14ac:dyDescent="0.35">
      <c r="A619" s="468" t="s">
        <v>3557</v>
      </c>
      <c r="B619" s="463" t="s">
        <v>2538</v>
      </c>
      <c r="C619" s="457">
        <v>426</v>
      </c>
      <c r="D619" s="468" t="s">
        <v>4</v>
      </c>
      <c r="E619" s="468" t="s">
        <v>12</v>
      </c>
      <c r="F619" s="468" t="s">
        <v>980</v>
      </c>
      <c r="G619" s="271"/>
      <c r="H619" s="468" t="s">
        <v>3451</v>
      </c>
      <c r="I619" s="142" t="s">
        <v>421</v>
      </c>
      <c r="J619" s="394">
        <v>1000000</v>
      </c>
      <c r="K619" s="627"/>
      <c r="L619" s="394"/>
      <c r="M619" s="394" t="s">
        <v>5133</v>
      </c>
      <c r="N619" s="228"/>
      <c r="O619" s="181" t="s">
        <v>2539</v>
      </c>
    </row>
    <row r="620" spans="1:16" ht="70.5" customHeight="1" x14ac:dyDescent="0.35">
      <c r="A620" s="468" t="s">
        <v>3558</v>
      </c>
      <c r="B620" s="463" t="s">
        <v>2539</v>
      </c>
      <c r="C620" s="457">
        <v>107</v>
      </c>
      <c r="D620" s="468" t="s">
        <v>4</v>
      </c>
      <c r="E620" s="468" t="s">
        <v>12</v>
      </c>
      <c r="F620" s="468" t="s">
        <v>980</v>
      </c>
      <c r="G620" s="271"/>
      <c r="H620" s="468" t="s">
        <v>3451</v>
      </c>
      <c r="I620" s="142" t="s">
        <v>421</v>
      </c>
      <c r="J620" s="394">
        <v>3000000</v>
      </c>
      <c r="K620" s="627"/>
      <c r="L620" s="394"/>
      <c r="M620" s="394" t="s">
        <v>5133</v>
      </c>
      <c r="N620" s="228"/>
      <c r="O620" s="181" t="s">
        <v>2540</v>
      </c>
    </row>
    <row r="621" spans="1:16" ht="64.5" customHeight="1" x14ac:dyDescent="0.35">
      <c r="A621" s="468" t="s">
        <v>3559</v>
      </c>
      <c r="B621" s="463" t="s">
        <v>2540</v>
      </c>
      <c r="C621" s="457" t="s">
        <v>793</v>
      </c>
      <c r="D621" s="468" t="s">
        <v>4</v>
      </c>
      <c r="E621" s="468" t="s">
        <v>12</v>
      </c>
      <c r="F621" s="468" t="s">
        <v>980</v>
      </c>
      <c r="G621" s="271"/>
      <c r="H621" s="468" t="s">
        <v>3451</v>
      </c>
      <c r="I621" s="142" t="s">
        <v>421</v>
      </c>
      <c r="J621" s="394">
        <v>28000000</v>
      </c>
      <c r="K621" s="627">
        <v>10000000</v>
      </c>
      <c r="L621" s="394"/>
      <c r="M621" s="394" t="s">
        <v>5133</v>
      </c>
      <c r="N621" s="228"/>
      <c r="O621" s="181" t="s">
        <v>2541</v>
      </c>
    </row>
    <row r="622" spans="1:16" ht="75" customHeight="1" x14ac:dyDescent="0.35">
      <c r="A622" s="468" t="s">
        <v>3560</v>
      </c>
      <c r="B622" s="463" t="s">
        <v>2541</v>
      </c>
      <c r="C622" s="457" t="s">
        <v>2566</v>
      </c>
      <c r="D622" s="468" t="s">
        <v>4</v>
      </c>
      <c r="E622" s="468" t="s">
        <v>12</v>
      </c>
      <c r="F622" s="468" t="s">
        <v>980</v>
      </c>
      <c r="G622" s="271"/>
      <c r="H622" s="468" t="s">
        <v>3451</v>
      </c>
      <c r="I622" s="142" t="s">
        <v>421</v>
      </c>
      <c r="J622" s="394">
        <v>150000000</v>
      </c>
      <c r="K622" s="627">
        <v>70000000</v>
      </c>
      <c r="L622" s="394"/>
      <c r="M622" s="394" t="s">
        <v>5133</v>
      </c>
      <c r="N622" s="228"/>
      <c r="O622" s="181" t="s">
        <v>2542</v>
      </c>
    </row>
    <row r="623" spans="1:16" ht="125.25" customHeight="1" x14ac:dyDescent="0.35">
      <c r="A623" s="468" t="s">
        <v>3561</v>
      </c>
      <c r="B623" s="463" t="s">
        <v>2543</v>
      </c>
      <c r="C623" s="457">
        <v>318</v>
      </c>
      <c r="D623" s="468" t="s">
        <v>4</v>
      </c>
      <c r="E623" s="468" t="s">
        <v>12</v>
      </c>
      <c r="F623" s="468" t="s">
        <v>980</v>
      </c>
      <c r="G623" s="271"/>
      <c r="H623" s="468" t="s">
        <v>3451</v>
      </c>
      <c r="I623" s="142" t="s">
        <v>421</v>
      </c>
      <c r="J623" s="394">
        <v>200000000</v>
      </c>
      <c r="K623" s="627">
        <v>70000000</v>
      </c>
      <c r="L623" s="394"/>
      <c r="M623" s="394" t="s">
        <v>5133</v>
      </c>
      <c r="N623" s="228"/>
      <c r="O623" s="181" t="s">
        <v>2543</v>
      </c>
    </row>
    <row r="624" spans="1:16" ht="59.25" customHeight="1" x14ac:dyDescent="0.35">
      <c r="A624" s="468" t="s">
        <v>3562</v>
      </c>
      <c r="B624" s="463" t="s">
        <v>2544</v>
      </c>
      <c r="C624" s="457" t="s">
        <v>390</v>
      </c>
      <c r="D624" s="468" t="s">
        <v>4</v>
      </c>
      <c r="E624" s="468" t="s">
        <v>12</v>
      </c>
      <c r="F624" s="468" t="s">
        <v>980</v>
      </c>
      <c r="G624" s="271"/>
      <c r="H624" s="468" t="s">
        <v>3451</v>
      </c>
      <c r="I624" s="142" t="s">
        <v>421</v>
      </c>
      <c r="J624" s="394">
        <f>50000000-10000000</f>
        <v>40000000</v>
      </c>
      <c r="K624" s="627"/>
      <c r="L624" s="394"/>
      <c r="M624" s="394" t="s">
        <v>5133</v>
      </c>
      <c r="N624" s="228"/>
      <c r="O624" s="181" t="s">
        <v>2544</v>
      </c>
      <c r="P624" s="231">
        <v>10000000</v>
      </c>
    </row>
    <row r="625" spans="1:16" ht="50.25" customHeight="1" x14ac:dyDescent="0.35">
      <c r="A625" s="468" t="s">
        <v>3563</v>
      </c>
      <c r="B625" s="463" t="s">
        <v>2546</v>
      </c>
      <c r="C625" s="457">
        <v>104</v>
      </c>
      <c r="D625" s="468" t="s">
        <v>4</v>
      </c>
      <c r="E625" s="468" t="s">
        <v>12</v>
      </c>
      <c r="F625" s="468" t="s">
        <v>980</v>
      </c>
      <c r="G625" s="271"/>
      <c r="H625" s="468" t="s">
        <v>3451</v>
      </c>
      <c r="I625" s="142" t="s">
        <v>421</v>
      </c>
      <c r="J625" s="394">
        <v>30000000</v>
      </c>
      <c r="K625" s="627">
        <v>36176270</v>
      </c>
      <c r="L625" s="394"/>
      <c r="M625" s="394" t="s">
        <v>5133</v>
      </c>
      <c r="N625" s="228"/>
      <c r="O625" s="181" t="s">
        <v>2545</v>
      </c>
    </row>
    <row r="626" spans="1:16" ht="58.5" customHeight="1" x14ac:dyDescent="0.35">
      <c r="A626" s="468" t="s">
        <v>3564</v>
      </c>
      <c r="B626" s="463" t="s">
        <v>2547</v>
      </c>
      <c r="C626" s="457">
        <v>106</v>
      </c>
      <c r="D626" s="468" t="s">
        <v>4</v>
      </c>
      <c r="E626" s="468" t="s">
        <v>12</v>
      </c>
      <c r="F626" s="468" t="s">
        <v>980</v>
      </c>
      <c r="G626" s="271"/>
      <c r="H626" s="468" t="s">
        <v>3451</v>
      </c>
      <c r="I626" s="142" t="s">
        <v>421</v>
      </c>
      <c r="J626" s="394">
        <v>30000000</v>
      </c>
      <c r="K626" s="627"/>
      <c r="L626" s="394"/>
      <c r="M626" s="394" t="s">
        <v>5133</v>
      </c>
      <c r="N626" s="228"/>
      <c r="O626" s="181" t="s">
        <v>2546</v>
      </c>
    </row>
    <row r="627" spans="1:16" ht="46.5" customHeight="1" x14ac:dyDescent="0.35">
      <c r="A627" s="468" t="s">
        <v>3565</v>
      </c>
      <c r="B627" s="463" t="s">
        <v>3436</v>
      </c>
      <c r="C627" s="457">
        <v>216</v>
      </c>
      <c r="D627" s="468" t="s">
        <v>4</v>
      </c>
      <c r="E627" s="468" t="s">
        <v>12</v>
      </c>
      <c r="F627" s="468" t="s">
        <v>980</v>
      </c>
      <c r="G627" s="271"/>
      <c r="H627" s="468" t="s">
        <v>3451</v>
      </c>
      <c r="I627" s="142" t="s">
        <v>421</v>
      </c>
      <c r="J627" s="394">
        <v>27694820.949999999</v>
      </c>
      <c r="K627" s="627">
        <v>13000000</v>
      </c>
      <c r="L627" s="394"/>
      <c r="M627" s="394" t="s">
        <v>5133</v>
      </c>
      <c r="N627" s="228"/>
      <c r="O627" s="181" t="s">
        <v>2547</v>
      </c>
    </row>
    <row r="628" spans="1:16" ht="64.5" customHeight="1" x14ac:dyDescent="0.35">
      <c r="A628" s="468" t="s">
        <v>3566</v>
      </c>
      <c r="B628" s="463" t="s">
        <v>2982</v>
      </c>
      <c r="C628" s="457" t="s">
        <v>418</v>
      </c>
      <c r="D628" s="468" t="s">
        <v>4</v>
      </c>
      <c r="E628" s="468" t="s">
        <v>12</v>
      </c>
      <c r="F628" s="468" t="s">
        <v>980</v>
      </c>
      <c r="G628" s="271"/>
      <c r="H628" s="468" t="s">
        <v>3451</v>
      </c>
      <c r="I628" s="142" t="s">
        <v>421</v>
      </c>
      <c r="J628" s="394">
        <v>500000</v>
      </c>
      <c r="K628" s="627"/>
      <c r="L628" s="394"/>
      <c r="M628" s="394" t="s">
        <v>5133</v>
      </c>
      <c r="N628" s="228"/>
      <c r="O628" s="181" t="s">
        <v>2548</v>
      </c>
    </row>
    <row r="629" spans="1:16" ht="56.25" customHeight="1" x14ac:dyDescent="0.35">
      <c r="A629" s="468" t="s">
        <v>3567</v>
      </c>
      <c r="B629" s="463" t="s">
        <v>2983</v>
      </c>
      <c r="C629" s="457" t="s">
        <v>793</v>
      </c>
      <c r="D629" s="468" t="s">
        <v>4</v>
      </c>
      <c r="E629" s="468" t="s">
        <v>12</v>
      </c>
      <c r="F629" s="468" t="s">
        <v>980</v>
      </c>
      <c r="G629" s="271"/>
      <c r="H629" s="468" t="s">
        <v>3451</v>
      </c>
      <c r="I629" s="142" t="s">
        <v>421</v>
      </c>
      <c r="J629" s="394">
        <v>500000</v>
      </c>
      <c r="K629" s="627">
        <v>500000</v>
      </c>
      <c r="L629" s="394"/>
      <c r="M629" s="394" t="s">
        <v>5133</v>
      </c>
      <c r="N629" s="228"/>
      <c r="O629" s="181" t="s">
        <v>2982</v>
      </c>
    </row>
    <row r="630" spans="1:16" ht="63" customHeight="1" x14ac:dyDescent="0.35">
      <c r="A630" s="468" t="s">
        <v>3568</v>
      </c>
      <c r="B630" s="463" t="s">
        <v>2984</v>
      </c>
      <c r="C630" s="457">
        <v>216</v>
      </c>
      <c r="D630" s="468" t="s">
        <v>4</v>
      </c>
      <c r="E630" s="468" t="s">
        <v>12</v>
      </c>
      <c r="F630" s="468" t="s">
        <v>980</v>
      </c>
      <c r="G630" s="271"/>
      <c r="H630" s="468" t="s">
        <v>3451</v>
      </c>
      <c r="I630" s="142" t="s">
        <v>421</v>
      </c>
      <c r="J630" s="394">
        <v>500000</v>
      </c>
      <c r="K630" s="627"/>
      <c r="L630" s="394"/>
      <c r="M630" s="394" t="s">
        <v>5133</v>
      </c>
      <c r="N630" s="228"/>
      <c r="O630" s="181" t="s">
        <v>2983</v>
      </c>
    </row>
    <row r="631" spans="1:16" ht="84.75" customHeight="1" x14ac:dyDescent="0.35">
      <c r="A631" s="468" t="s">
        <v>3569</v>
      </c>
      <c r="B631" s="463" t="s">
        <v>2985</v>
      </c>
      <c r="C631" s="457" t="s">
        <v>418</v>
      </c>
      <c r="D631" s="468" t="s">
        <v>4</v>
      </c>
      <c r="E631" s="468" t="s">
        <v>12</v>
      </c>
      <c r="F631" s="468" t="s">
        <v>980</v>
      </c>
      <c r="G631" s="271"/>
      <c r="H631" s="468" t="s">
        <v>3451</v>
      </c>
      <c r="I631" s="142" t="s">
        <v>421</v>
      </c>
      <c r="J631" s="394">
        <v>500000</v>
      </c>
      <c r="K631" s="627"/>
      <c r="L631" s="394"/>
      <c r="M631" s="394" t="s">
        <v>5133</v>
      </c>
      <c r="N631" s="228"/>
      <c r="O631" s="181" t="s">
        <v>2984</v>
      </c>
    </row>
    <row r="632" spans="1:16" ht="81.75" customHeight="1" x14ac:dyDescent="0.35">
      <c r="A632" s="468" t="s">
        <v>3570</v>
      </c>
      <c r="B632" s="463" t="s">
        <v>2986</v>
      </c>
      <c r="C632" s="457" t="s">
        <v>418</v>
      </c>
      <c r="D632" s="468" t="s">
        <v>4</v>
      </c>
      <c r="E632" s="468" t="s">
        <v>12</v>
      </c>
      <c r="F632" s="468" t="s">
        <v>980</v>
      </c>
      <c r="G632" s="271"/>
      <c r="H632" s="468" t="s">
        <v>3451</v>
      </c>
      <c r="I632" s="142" t="s">
        <v>421</v>
      </c>
      <c r="J632" s="394">
        <v>500000</v>
      </c>
      <c r="K632" s="627"/>
      <c r="L632" s="394"/>
      <c r="M632" s="394" t="s">
        <v>5133</v>
      </c>
      <c r="N632" s="228"/>
      <c r="O632" s="181" t="s">
        <v>2985</v>
      </c>
    </row>
    <row r="633" spans="1:16" ht="63" customHeight="1" x14ac:dyDescent="0.35">
      <c r="A633" s="468" t="s">
        <v>3571</v>
      </c>
      <c r="B633" s="463" t="s">
        <v>2549</v>
      </c>
      <c r="C633" s="457" t="s">
        <v>196</v>
      </c>
      <c r="D633" s="468" t="s">
        <v>4</v>
      </c>
      <c r="E633" s="468" t="s">
        <v>12</v>
      </c>
      <c r="F633" s="468" t="s">
        <v>980</v>
      </c>
      <c r="G633" s="271"/>
      <c r="H633" s="468" t="s">
        <v>3451</v>
      </c>
      <c r="I633" s="142" t="s">
        <v>421</v>
      </c>
      <c r="J633" s="394">
        <v>30000000</v>
      </c>
      <c r="K633" s="627"/>
      <c r="L633" s="394"/>
      <c r="M633" s="394" t="s">
        <v>5133</v>
      </c>
      <c r="N633" s="228"/>
      <c r="O633" s="181" t="s">
        <v>2986</v>
      </c>
      <c r="P633" s="231">
        <v>8</v>
      </c>
    </row>
    <row r="634" spans="1:16" ht="61.5" customHeight="1" x14ac:dyDescent="0.35">
      <c r="A634" s="468" t="s">
        <v>3572</v>
      </c>
      <c r="B634" s="463" t="s">
        <v>2550</v>
      </c>
      <c r="C634" s="457" t="s">
        <v>378</v>
      </c>
      <c r="D634" s="468" t="s">
        <v>4</v>
      </c>
      <c r="E634" s="468" t="s">
        <v>12</v>
      </c>
      <c r="F634" s="468" t="s">
        <v>980</v>
      </c>
      <c r="G634" s="271"/>
      <c r="H634" s="468" t="s">
        <v>3451</v>
      </c>
      <c r="I634" s="142" t="s">
        <v>421</v>
      </c>
      <c r="J634" s="394">
        <v>20000000</v>
      </c>
      <c r="K634" s="627"/>
      <c r="L634" s="394"/>
      <c r="M634" s="394" t="s">
        <v>5133</v>
      </c>
      <c r="N634" s="228"/>
      <c r="O634" s="181" t="s">
        <v>2549</v>
      </c>
    </row>
    <row r="635" spans="1:16" ht="41.25" customHeight="1" x14ac:dyDescent="0.35">
      <c r="A635" s="468" t="s">
        <v>3573</v>
      </c>
      <c r="B635" s="463" t="s">
        <v>2551</v>
      </c>
      <c r="C635" s="457">
        <v>426</v>
      </c>
      <c r="D635" s="468" t="s">
        <v>4</v>
      </c>
      <c r="E635" s="468" t="s">
        <v>12</v>
      </c>
      <c r="F635" s="468" t="s">
        <v>980</v>
      </c>
      <c r="G635" s="271"/>
      <c r="H635" s="468" t="s">
        <v>3451</v>
      </c>
      <c r="I635" s="142" t="s">
        <v>421</v>
      </c>
      <c r="J635" s="394">
        <f>130000000-10000000</f>
        <v>120000000</v>
      </c>
      <c r="K635" s="627">
        <v>80000000</v>
      </c>
      <c r="L635" s="394"/>
      <c r="M635" s="394" t="s">
        <v>5133</v>
      </c>
      <c r="N635" s="228"/>
      <c r="O635" s="181" t="s">
        <v>2550</v>
      </c>
      <c r="P635" s="231">
        <v>10000000</v>
      </c>
    </row>
    <row r="636" spans="1:16" ht="68.25" customHeight="1" x14ac:dyDescent="0.35">
      <c r="A636" s="468" t="s">
        <v>3574</v>
      </c>
      <c r="B636" s="463" t="s">
        <v>2552</v>
      </c>
      <c r="C636" s="457">
        <v>426</v>
      </c>
      <c r="D636" s="468" t="s">
        <v>4</v>
      </c>
      <c r="E636" s="468" t="s">
        <v>12</v>
      </c>
      <c r="F636" s="468" t="s">
        <v>980</v>
      </c>
      <c r="G636" s="271"/>
      <c r="H636" s="468" t="s">
        <v>3451</v>
      </c>
      <c r="I636" s="142" t="s">
        <v>421</v>
      </c>
      <c r="J636" s="394">
        <f>450000000-50000000</f>
        <v>400000000</v>
      </c>
      <c r="K636" s="627">
        <v>115000000</v>
      </c>
      <c r="L636" s="394"/>
      <c r="M636" s="394" t="s">
        <v>5133</v>
      </c>
      <c r="N636" s="228"/>
      <c r="O636" s="181" t="s">
        <v>2551</v>
      </c>
      <c r="P636" s="231">
        <v>50000000</v>
      </c>
    </row>
    <row r="637" spans="1:16" ht="51" customHeight="1" x14ac:dyDescent="0.35">
      <c r="A637" s="468" t="s">
        <v>3575</v>
      </c>
      <c r="B637" s="463" t="s">
        <v>2553</v>
      </c>
      <c r="C637" s="457">
        <v>426</v>
      </c>
      <c r="D637" s="468" t="s">
        <v>4</v>
      </c>
      <c r="E637" s="468" t="s">
        <v>12</v>
      </c>
      <c r="F637" s="468" t="s">
        <v>980</v>
      </c>
      <c r="G637" s="271"/>
      <c r="H637" s="468" t="s">
        <v>3451</v>
      </c>
      <c r="I637" s="142" t="s">
        <v>421</v>
      </c>
      <c r="J637" s="394">
        <v>200000000</v>
      </c>
      <c r="K637" s="627">
        <v>50000000</v>
      </c>
      <c r="L637" s="394"/>
      <c r="M637" s="394" t="s">
        <v>5133</v>
      </c>
      <c r="N637" s="228">
        <v>12500000</v>
      </c>
      <c r="O637" s="181" t="s">
        <v>2552</v>
      </c>
    </row>
    <row r="638" spans="1:16" ht="61.5" customHeight="1" x14ac:dyDescent="0.35">
      <c r="A638" s="468" t="s">
        <v>3576</v>
      </c>
      <c r="B638" s="463" t="s">
        <v>2554</v>
      </c>
      <c r="C638" s="457">
        <v>426</v>
      </c>
      <c r="D638" s="468" t="s">
        <v>4</v>
      </c>
      <c r="E638" s="468" t="s">
        <v>12</v>
      </c>
      <c r="F638" s="468" t="s">
        <v>980</v>
      </c>
      <c r="G638" s="271"/>
      <c r="H638" s="468" t="s">
        <v>3451</v>
      </c>
      <c r="I638" s="142" t="s">
        <v>421</v>
      </c>
      <c r="J638" s="394">
        <v>50000000</v>
      </c>
      <c r="K638" s="627"/>
      <c r="L638" s="394"/>
      <c r="M638" s="394" t="s">
        <v>5133</v>
      </c>
      <c r="N638" s="228"/>
      <c r="O638" s="181" t="s">
        <v>2553</v>
      </c>
    </row>
    <row r="639" spans="1:16" ht="41.25" customHeight="1" x14ac:dyDescent="0.35">
      <c r="A639" s="468" t="s">
        <v>3577</v>
      </c>
      <c r="B639" s="463" t="s">
        <v>2555</v>
      </c>
      <c r="C639" s="457">
        <v>426</v>
      </c>
      <c r="D639" s="468" t="s">
        <v>4</v>
      </c>
      <c r="E639" s="468" t="s">
        <v>12</v>
      </c>
      <c r="F639" s="468" t="s">
        <v>980</v>
      </c>
      <c r="G639" s="271"/>
      <c r="H639" s="468" t="s">
        <v>3451</v>
      </c>
      <c r="I639" s="142" t="s">
        <v>421</v>
      </c>
      <c r="J639" s="394">
        <v>20000000</v>
      </c>
      <c r="K639" s="627"/>
      <c r="L639" s="394"/>
      <c r="M639" s="394" t="s">
        <v>5133</v>
      </c>
      <c r="N639" s="228"/>
      <c r="O639" s="181" t="s">
        <v>2554</v>
      </c>
    </row>
    <row r="640" spans="1:16" ht="67.5" customHeight="1" x14ac:dyDescent="0.35">
      <c r="A640" s="468" t="s">
        <v>3578</v>
      </c>
      <c r="B640" s="463" t="s">
        <v>2556</v>
      </c>
      <c r="C640" s="457">
        <v>216</v>
      </c>
      <c r="D640" s="468" t="s">
        <v>4</v>
      </c>
      <c r="E640" s="468" t="s">
        <v>12</v>
      </c>
      <c r="F640" s="468" t="s">
        <v>980</v>
      </c>
      <c r="G640" s="271"/>
      <c r="H640" s="468" t="s">
        <v>3451</v>
      </c>
      <c r="I640" s="142" t="s">
        <v>421</v>
      </c>
      <c r="J640" s="394">
        <v>15000000</v>
      </c>
      <c r="K640" s="627"/>
      <c r="L640" s="394"/>
      <c r="M640" s="394" t="s">
        <v>5133</v>
      </c>
      <c r="N640" s="228"/>
      <c r="O640" s="181" t="s">
        <v>2555</v>
      </c>
    </row>
    <row r="641" spans="1:15" ht="57.75" customHeight="1" x14ac:dyDescent="0.35">
      <c r="A641" s="468" t="s">
        <v>3579</v>
      </c>
      <c r="B641" s="463" t="s">
        <v>2558</v>
      </c>
      <c r="C641" s="457" t="s">
        <v>418</v>
      </c>
      <c r="D641" s="468" t="s">
        <v>4</v>
      </c>
      <c r="E641" s="468" t="s">
        <v>12</v>
      </c>
      <c r="F641" s="468" t="s">
        <v>980</v>
      </c>
      <c r="G641" s="271"/>
      <c r="H641" s="468" t="s">
        <v>3451</v>
      </c>
      <c r="I641" s="142" t="s">
        <v>421</v>
      </c>
      <c r="J641" s="394">
        <v>15000000</v>
      </c>
      <c r="K641" s="627">
        <v>15000000</v>
      </c>
      <c r="L641" s="394"/>
      <c r="M641" s="394" t="s">
        <v>5133</v>
      </c>
      <c r="N641" s="228"/>
      <c r="O641" s="181" t="s">
        <v>2556</v>
      </c>
    </row>
    <row r="642" spans="1:15" ht="64.5" customHeight="1" x14ac:dyDescent="0.35">
      <c r="A642" s="468" t="s">
        <v>3580</v>
      </c>
      <c r="B642" s="463" t="s">
        <v>2559</v>
      </c>
      <c r="C642" s="457">
        <v>426</v>
      </c>
      <c r="D642" s="468" t="s">
        <v>4</v>
      </c>
      <c r="E642" s="468" t="s">
        <v>12</v>
      </c>
      <c r="F642" s="468" t="s">
        <v>980</v>
      </c>
      <c r="G642" s="271"/>
      <c r="H642" s="468" t="s">
        <v>3451</v>
      </c>
      <c r="I642" s="142" t="s">
        <v>421</v>
      </c>
      <c r="J642" s="394">
        <v>35000000</v>
      </c>
      <c r="K642" s="627">
        <v>25926379</v>
      </c>
      <c r="L642" s="394"/>
      <c r="M642" s="394" t="s">
        <v>5133</v>
      </c>
      <c r="N642" s="228"/>
      <c r="O642" s="181" t="s">
        <v>2557</v>
      </c>
    </row>
    <row r="643" spans="1:15" ht="61.5" customHeight="1" x14ac:dyDescent="0.35">
      <c r="A643" s="468" t="s">
        <v>3581</v>
      </c>
      <c r="B643" s="463" t="s">
        <v>2560</v>
      </c>
      <c r="C643" s="457">
        <v>426</v>
      </c>
      <c r="D643" s="468" t="s">
        <v>4</v>
      </c>
      <c r="E643" s="468" t="s">
        <v>12</v>
      </c>
      <c r="F643" s="468" t="s">
        <v>980</v>
      </c>
      <c r="G643" s="271"/>
      <c r="H643" s="468" t="s">
        <v>3451</v>
      </c>
      <c r="I643" s="142" t="s">
        <v>421</v>
      </c>
      <c r="J643" s="394">
        <v>5000000</v>
      </c>
      <c r="K643" s="627">
        <v>5000000</v>
      </c>
      <c r="L643" s="394"/>
      <c r="M643" s="394" t="s">
        <v>5133</v>
      </c>
      <c r="N643" s="228"/>
      <c r="O643" s="181" t="s">
        <v>2558</v>
      </c>
    </row>
    <row r="644" spans="1:15" ht="47.25" customHeight="1" x14ac:dyDescent="0.35">
      <c r="A644" s="468" t="s">
        <v>3582</v>
      </c>
      <c r="B644" s="463" t="s">
        <v>2561</v>
      </c>
      <c r="C644" s="331" t="s">
        <v>2567</v>
      </c>
      <c r="D644" s="468" t="s">
        <v>4</v>
      </c>
      <c r="E644" s="468" t="s">
        <v>12</v>
      </c>
      <c r="F644" s="468" t="s">
        <v>980</v>
      </c>
      <c r="G644" s="271"/>
      <c r="H644" s="468" t="s">
        <v>3451</v>
      </c>
      <c r="I644" s="142" t="s">
        <v>421</v>
      </c>
      <c r="J644" s="394">
        <v>40000000</v>
      </c>
      <c r="K644" s="627"/>
      <c r="L644" s="394"/>
      <c r="M644" s="394" t="s">
        <v>5133</v>
      </c>
      <c r="N644" s="228"/>
      <c r="O644" s="181" t="s">
        <v>2559</v>
      </c>
    </row>
    <row r="645" spans="1:15" ht="42" customHeight="1" x14ac:dyDescent="0.35">
      <c r="A645" s="468" t="s">
        <v>3583</v>
      </c>
      <c r="B645" s="463" t="s">
        <v>2562</v>
      </c>
      <c r="C645" s="331" t="s">
        <v>2568</v>
      </c>
      <c r="D645" s="468" t="s">
        <v>4</v>
      </c>
      <c r="E645" s="468" t="s">
        <v>12</v>
      </c>
      <c r="F645" s="468" t="s">
        <v>980</v>
      </c>
      <c r="G645" s="271"/>
      <c r="H645" s="468" t="s">
        <v>3451</v>
      </c>
      <c r="I645" s="142" t="s">
        <v>421</v>
      </c>
      <c r="J645" s="394">
        <v>40000000</v>
      </c>
      <c r="K645" s="627"/>
      <c r="L645" s="394"/>
      <c r="M645" s="394" t="s">
        <v>5133</v>
      </c>
      <c r="N645" s="228"/>
      <c r="O645" s="181" t="s">
        <v>2560</v>
      </c>
    </row>
    <row r="646" spans="1:15" ht="62.25" customHeight="1" x14ac:dyDescent="0.35">
      <c r="A646" s="468" t="s">
        <v>3584</v>
      </c>
      <c r="B646" s="463" t="s">
        <v>2563</v>
      </c>
      <c r="C646" s="331">
        <v>325</v>
      </c>
      <c r="D646" s="468" t="s">
        <v>4</v>
      </c>
      <c r="E646" s="468" t="s">
        <v>12</v>
      </c>
      <c r="F646" s="468" t="s">
        <v>980</v>
      </c>
      <c r="G646" s="271"/>
      <c r="H646" s="468" t="s">
        <v>3451</v>
      </c>
      <c r="I646" s="142" t="s">
        <v>421</v>
      </c>
      <c r="J646" s="394">
        <v>40000000</v>
      </c>
      <c r="K646" s="627">
        <v>140000000</v>
      </c>
      <c r="L646" s="394"/>
      <c r="M646" s="394" t="s">
        <v>5133</v>
      </c>
      <c r="N646" s="228"/>
      <c r="O646" s="180" t="s">
        <v>2561</v>
      </c>
    </row>
    <row r="647" spans="1:15" ht="57" customHeight="1" x14ac:dyDescent="0.35">
      <c r="A647" s="468" t="s">
        <v>3585</v>
      </c>
      <c r="B647" s="463" t="s">
        <v>2564</v>
      </c>
      <c r="C647" s="331">
        <v>325</v>
      </c>
      <c r="D647" s="468" t="s">
        <v>4</v>
      </c>
      <c r="E647" s="468" t="s">
        <v>12</v>
      </c>
      <c r="F647" s="468" t="s">
        <v>980</v>
      </c>
      <c r="G647" s="271"/>
      <c r="H647" s="468" t="s">
        <v>3451</v>
      </c>
      <c r="I647" s="142" t="s">
        <v>421</v>
      </c>
      <c r="J647" s="394">
        <v>50000000</v>
      </c>
      <c r="K647" s="627"/>
      <c r="L647" s="394"/>
      <c r="M647" s="394" t="s">
        <v>5133</v>
      </c>
      <c r="N647" s="228"/>
      <c r="O647" s="180" t="s">
        <v>2562</v>
      </c>
    </row>
    <row r="648" spans="1:15" ht="57" customHeight="1" x14ac:dyDescent="0.35">
      <c r="A648" s="468" t="s">
        <v>3586</v>
      </c>
      <c r="B648" s="463" t="s">
        <v>4663</v>
      </c>
      <c r="C648" s="331"/>
      <c r="D648" s="468" t="s">
        <v>4</v>
      </c>
      <c r="E648" s="468" t="s">
        <v>12</v>
      </c>
      <c r="F648" s="468" t="s">
        <v>980</v>
      </c>
      <c r="G648" s="271"/>
      <c r="H648" s="468" t="s">
        <v>3451</v>
      </c>
      <c r="I648" s="142"/>
      <c r="J648" s="394">
        <v>42000000</v>
      </c>
      <c r="K648" s="627"/>
      <c r="L648" s="394"/>
      <c r="M648" s="394" t="s">
        <v>5133</v>
      </c>
      <c r="N648" s="228"/>
      <c r="O648" s="180"/>
    </row>
    <row r="649" spans="1:15" ht="35.25" customHeight="1" x14ac:dyDescent="0.35">
      <c r="A649" s="468" t="s">
        <v>3587</v>
      </c>
      <c r="B649" s="463" t="s">
        <v>4664</v>
      </c>
      <c r="C649" s="331"/>
      <c r="D649" s="468" t="s">
        <v>4</v>
      </c>
      <c r="E649" s="468" t="s">
        <v>12</v>
      </c>
      <c r="F649" s="468" t="s">
        <v>980</v>
      </c>
      <c r="G649" s="271"/>
      <c r="H649" s="468" t="s">
        <v>3451</v>
      </c>
      <c r="I649" s="142"/>
      <c r="J649" s="394">
        <v>25000000</v>
      </c>
      <c r="K649" s="627"/>
      <c r="L649" s="394"/>
      <c r="M649" s="394" t="s">
        <v>5133</v>
      </c>
      <c r="N649" s="228"/>
      <c r="O649" s="180"/>
    </row>
    <row r="650" spans="1:15" ht="62.25" customHeight="1" x14ac:dyDescent="0.35">
      <c r="A650" s="468" t="s">
        <v>3588</v>
      </c>
      <c r="B650" s="463" t="s">
        <v>4665</v>
      </c>
      <c r="C650" s="331"/>
      <c r="D650" s="468" t="s">
        <v>4</v>
      </c>
      <c r="E650" s="468" t="s">
        <v>12</v>
      </c>
      <c r="F650" s="468" t="s">
        <v>980</v>
      </c>
      <c r="G650" s="271"/>
      <c r="H650" s="468" t="s">
        <v>3451</v>
      </c>
      <c r="I650" s="142"/>
      <c r="J650" s="394">
        <v>105000000</v>
      </c>
      <c r="K650" s="627">
        <v>60000000</v>
      </c>
      <c r="L650" s="394"/>
      <c r="M650" s="394" t="s">
        <v>5133</v>
      </c>
      <c r="N650" s="228"/>
      <c r="O650" s="180"/>
    </row>
    <row r="651" spans="1:15" ht="41.25" customHeight="1" x14ac:dyDescent="0.35">
      <c r="A651" s="468" t="s">
        <v>3589</v>
      </c>
      <c r="B651" s="463" t="s">
        <v>215</v>
      </c>
      <c r="C651" s="457">
        <v>216</v>
      </c>
      <c r="D651" s="468" t="s">
        <v>4</v>
      </c>
      <c r="E651" s="468" t="s">
        <v>12</v>
      </c>
      <c r="F651" s="468" t="s">
        <v>980</v>
      </c>
      <c r="G651" s="271"/>
      <c r="H651" s="468" t="s">
        <v>3451</v>
      </c>
      <c r="I651" s="142"/>
      <c r="J651" s="394">
        <v>5000000</v>
      </c>
      <c r="K651" s="627">
        <v>5000000</v>
      </c>
      <c r="L651" s="394"/>
      <c r="M651" s="394" t="s">
        <v>5133</v>
      </c>
      <c r="N651" s="228"/>
      <c r="O651" s="180" t="s">
        <v>2563</v>
      </c>
    </row>
    <row r="652" spans="1:15" ht="41.25" customHeight="1" x14ac:dyDescent="0.35">
      <c r="A652" s="468" t="s">
        <v>3590</v>
      </c>
      <c r="B652" s="463" t="s">
        <v>55</v>
      </c>
      <c r="C652" s="457">
        <v>216</v>
      </c>
      <c r="D652" s="468" t="s">
        <v>4</v>
      </c>
      <c r="E652" s="468" t="s">
        <v>12</v>
      </c>
      <c r="F652" s="468" t="s">
        <v>980</v>
      </c>
      <c r="G652" s="271"/>
      <c r="H652" s="468" t="s">
        <v>3451</v>
      </c>
      <c r="I652" s="142"/>
      <c r="J652" s="394">
        <v>500000</v>
      </c>
      <c r="K652" s="627">
        <v>500000</v>
      </c>
      <c r="L652" s="394"/>
      <c r="M652" s="394" t="s">
        <v>5133</v>
      </c>
      <c r="N652" s="228"/>
      <c r="O652" s="180" t="s">
        <v>2564</v>
      </c>
    </row>
    <row r="653" spans="1:15" ht="41.25" customHeight="1" x14ac:dyDescent="0.35">
      <c r="A653" s="468" t="s">
        <v>3591</v>
      </c>
      <c r="B653" s="463" t="s">
        <v>60</v>
      </c>
      <c r="C653" s="457">
        <v>216</v>
      </c>
      <c r="D653" s="468" t="s">
        <v>4</v>
      </c>
      <c r="E653" s="468" t="s">
        <v>12</v>
      </c>
      <c r="F653" s="468" t="s">
        <v>980</v>
      </c>
      <c r="G653" s="271"/>
      <c r="H653" s="468" t="s">
        <v>3451</v>
      </c>
      <c r="I653" s="142"/>
      <c r="J653" s="394">
        <v>2000000</v>
      </c>
      <c r="K653" s="627">
        <v>2000000</v>
      </c>
      <c r="L653" s="394"/>
      <c r="M653" s="394" t="s">
        <v>5133</v>
      </c>
      <c r="N653" s="228"/>
      <c r="O653" s="181" t="s">
        <v>215</v>
      </c>
    </row>
    <row r="654" spans="1:15" ht="41.25" customHeight="1" x14ac:dyDescent="0.35">
      <c r="A654" s="468" t="s">
        <v>3592</v>
      </c>
      <c r="B654" s="463" t="s">
        <v>57</v>
      </c>
      <c r="C654" s="457">
        <v>216</v>
      </c>
      <c r="D654" s="468" t="s">
        <v>4</v>
      </c>
      <c r="E654" s="468" t="s">
        <v>12</v>
      </c>
      <c r="F654" s="468" t="s">
        <v>980</v>
      </c>
      <c r="G654" s="271"/>
      <c r="H654" s="468" t="s">
        <v>3451</v>
      </c>
      <c r="I654" s="142"/>
      <c r="J654" s="394">
        <v>500000</v>
      </c>
      <c r="K654" s="627">
        <v>500000</v>
      </c>
      <c r="L654" s="394"/>
      <c r="M654" s="394" t="s">
        <v>5133</v>
      </c>
      <c r="N654" s="228"/>
      <c r="O654" s="181" t="s">
        <v>55</v>
      </c>
    </row>
    <row r="655" spans="1:15" ht="77.25" customHeight="1" x14ac:dyDescent="0.35">
      <c r="A655" s="468" t="s">
        <v>3593</v>
      </c>
      <c r="B655" s="463" t="s">
        <v>3437</v>
      </c>
      <c r="C655" s="457">
        <v>216</v>
      </c>
      <c r="D655" s="468" t="s">
        <v>4</v>
      </c>
      <c r="E655" s="468" t="s">
        <v>12</v>
      </c>
      <c r="F655" s="468" t="s">
        <v>980</v>
      </c>
      <c r="G655" s="271"/>
      <c r="H655" s="468" t="s">
        <v>3451</v>
      </c>
      <c r="I655" s="142" t="s">
        <v>421</v>
      </c>
      <c r="J655" s="394">
        <f>111000000-60000000</f>
        <v>51000000</v>
      </c>
      <c r="K655" s="627">
        <v>51000000</v>
      </c>
      <c r="L655" s="394"/>
      <c r="M655" s="394" t="s">
        <v>5133</v>
      </c>
      <c r="N655" s="228"/>
      <c r="O655" s="181" t="s">
        <v>60</v>
      </c>
    </row>
    <row r="656" spans="1:15" ht="102" customHeight="1" x14ac:dyDescent="0.35">
      <c r="A656" s="468" t="s">
        <v>3594</v>
      </c>
      <c r="B656" s="463" t="s">
        <v>3438</v>
      </c>
      <c r="C656" s="457">
        <v>212</v>
      </c>
      <c r="D656" s="468" t="s">
        <v>4</v>
      </c>
      <c r="E656" s="468" t="s">
        <v>12</v>
      </c>
      <c r="F656" s="468" t="s">
        <v>980</v>
      </c>
      <c r="G656" s="271"/>
      <c r="H656" s="468" t="s">
        <v>3451</v>
      </c>
      <c r="I656" s="142" t="s">
        <v>421</v>
      </c>
      <c r="J656" s="394">
        <v>200000000</v>
      </c>
      <c r="K656" s="627">
        <v>110000000</v>
      </c>
      <c r="L656" s="394"/>
      <c r="M656" s="394" t="s">
        <v>5133</v>
      </c>
      <c r="N656" s="228"/>
      <c r="O656" s="181" t="s">
        <v>57</v>
      </c>
    </row>
    <row r="657" spans="1:16" ht="48" customHeight="1" x14ac:dyDescent="0.35">
      <c r="A657" s="468" t="s">
        <v>3595</v>
      </c>
      <c r="B657" s="463" t="s">
        <v>2565</v>
      </c>
      <c r="C657" s="457">
        <v>216</v>
      </c>
      <c r="D657" s="468" t="s">
        <v>4</v>
      </c>
      <c r="E657" s="468" t="s">
        <v>12</v>
      </c>
      <c r="F657" s="468" t="s">
        <v>980</v>
      </c>
      <c r="G657" s="271"/>
      <c r="H657" s="468" t="s">
        <v>3451</v>
      </c>
      <c r="I657" s="142" t="s">
        <v>421</v>
      </c>
      <c r="J657" s="394">
        <v>2000000</v>
      </c>
      <c r="K657" s="627">
        <v>2000000</v>
      </c>
      <c r="L657" s="394"/>
      <c r="M657" s="394" t="s">
        <v>5133</v>
      </c>
      <c r="N657" s="228"/>
      <c r="O657" s="181"/>
    </row>
    <row r="658" spans="1:16" ht="41.25" customHeight="1" x14ac:dyDescent="0.35">
      <c r="A658" s="468" t="s">
        <v>3596</v>
      </c>
      <c r="B658" s="463" t="s">
        <v>3439</v>
      </c>
      <c r="C658" s="457">
        <v>212</v>
      </c>
      <c r="D658" s="468" t="s">
        <v>4</v>
      </c>
      <c r="E658" s="468" t="s">
        <v>12</v>
      </c>
      <c r="F658" s="468" t="s">
        <v>980</v>
      </c>
      <c r="G658" s="271"/>
      <c r="H658" s="468" t="s">
        <v>3451</v>
      </c>
      <c r="I658" s="142" t="s">
        <v>421</v>
      </c>
      <c r="J658" s="394">
        <v>1000000</v>
      </c>
      <c r="K658" s="627"/>
      <c r="L658" s="394"/>
      <c r="M658" s="394" t="s">
        <v>5133</v>
      </c>
      <c r="N658" s="228"/>
      <c r="O658" s="181"/>
    </row>
    <row r="659" spans="1:16" ht="41.25" customHeight="1" x14ac:dyDescent="0.35">
      <c r="A659" s="468" t="s">
        <v>3597</v>
      </c>
      <c r="B659" s="463" t="s">
        <v>3440</v>
      </c>
      <c r="C659" s="457">
        <v>212</v>
      </c>
      <c r="D659" s="468" t="s">
        <v>4</v>
      </c>
      <c r="E659" s="468" t="s">
        <v>12</v>
      </c>
      <c r="F659" s="468" t="s">
        <v>980</v>
      </c>
      <c r="G659" s="271"/>
      <c r="H659" s="468" t="s">
        <v>3451</v>
      </c>
      <c r="I659" s="142" t="s">
        <v>421</v>
      </c>
      <c r="J659" s="394">
        <v>1000000</v>
      </c>
      <c r="K659" s="627"/>
      <c r="L659" s="394"/>
      <c r="M659" s="394" t="s">
        <v>5133</v>
      </c>
      <c r="N659" s="228"/>
      <c r="O659" s="181"/>
    </row>
    <row r="660" spans="1:16" ht="41.25" customHeight="1" x14ac:dyDescent="0.35">
      <c r="A660" s="468" t="s">
        <v>3598</v>
      </c>
      <c r="B660" s="463" t="s">
        <v>3441</v>
      </c>
      <c r="C660" s="457">
        <v>212</v>
      </c>
      <c r="D660" s="468" t="s">
        <v>4</v>
      </c>
      <c r="E660" s="468" t="s">
        <v>12</v>
      </c>
      <c r="F660" s="468" t="s">
        <v>980</v>
      </c>
      <c r="G660" s="271"/>
      <c r="H660" s="468" t="s">
        <v>3451</v>
      </c>
      <c r="I660" s="142" t="s">
        <v>421</v>
      </c>
      <c r="J660" s="394">
        <v>1000000</v>
      </c>
      <c r="K660" s="627"/>
      <c r="L660" s="394"/>
      <c r="M660" s="394" t="s">
        <v>5133</v>
      </c>
      <c r="N660" s="228"/>
      <c r="O660" s="181"/>
    </row>
    <row r="661" spans="1:16" ht="41.25" customHeight="1" x14ac:dyDescent="0.35">
      <c r="A661" s="468" t="s">
        <v>3599</v>
      </c>
      <c r="B661" s="463" t="s">
        <v>3442</v>
      </c>
      <c r="C661" s="457">
        <v>212</v>
      </c>
      <c r="D661" s="468" t="s">
        <v>4</v>
      </c>
      <c r="E661" s="468" t="s">
        <v>12</v>
      </c>
      <c r="F661" s="468" t="s">
        <v>980</v>
      </c>
      <c r="G661" s="271"/>
      <c r="H661" s="468" t="s">
        <v>3451</v>
      </c>
      <c r="I661" s="142" t="s">
        <v>421</v>
      </c>
      <c r="J661" s="394">
        <v>1000000</v>
      </c>
      <c r="K661" s="627"/>
      <c r="L661" s="394"/>
      <c r="M661" s="394" t="s">
        <v>5133</v>
      </c>
      <c r="N661" s="228"/>
      <c r="O661" s="181"/>
    </row>
    <row r="662" spans="1:16" ht="41.25" customHeight="1" x14ac:dyDescent="0.35">
      <c r="A662" s="468" t="s">
        <v>3600</v>
      </c>
      <c r="B662" s="463" t="s">
        <v>3443</v>
      </c>
      <c r="C662" s="457" t="s">
        <v>388</v>
      </c>
      <c r="D662" s="468" t="s">
        <v>4</v>
      </c>
      <c r="E662" s="468" t="s">
        <v>12</v>
      </c>
      <c r="F662" s="468" t="s">
        <v>980</v>
      </c>
      <c r="G662" s="271"/>
      <c r="H662" s="468" t="s">
        <v>3451</v>
      </c>
      <c r="I662" s="142" t="s">
        <v>421</v>
      </c>
      <c r="J662" s="394">
        <v>1000000</v>
      </c>
      <c r="K662" s="627"/>
      <c r="L662" s="394"/>
      <c r="M662" s="394" t="s">
        <v>5133</v>
      </c>
      <c r="N662" s="228"/>
      <c r="O662" s="181"/>
    </row>
    <row r="663" spans="1:16" ht="63" customHeight="1" x14ac:dyDescent="0.35">
      <c r="A663" s="468" t="s">
        <v>3601</v>
      </c>
      <c r="B663" s="463" t="s">
        <v>3444</v>
      </c>
      <c r="C663" s="457" t="s">
        <v>390</v>
      </c>
      <c r="D663" s="468" t="s">
        <v>4</v>
      </c>
      <c r="E663" s="468" t="s">
        <v>12</v>
      </c>
      <c r="F663" s="468" t="s">
        <v>980</v>
      </c>
      <c r="G663" s="271"/>
      <c r="H663" s="468" t="s">
        <v>3451</v>
      </c>
      <c r="I663" s="142" t="s">
        <v>421</v>
      </c>
      <c r="J663" s="394">
        <v>1000000</v>
      </c>
      <c r="K663" s="627"/>
      <c r="L663" s="394"/>
      <c r="M663" s="394" t="s">
        <v>5133</v>
      </c>
      <c r="N663" s="228"/>
      <c r="O663" s="181"/>
    </row>
    <row r="664" spans="1:16" ht="60" customHeight="1" x14ac:dyDescent="0.35">
      <c r="A664" s="468" t="s">
        <v>3602</v>
      </c>
      <c r="B664" s="463" t="s">
        <v>3445</v>
      </c>
      <c r="C664" s="457" t="s">
        <v>390</v>
      </c>
      <c r="D664" s="468" t="s">
        <v>4</v>
      </c>
      <c r="E664" s="468" t="s">
        <v>12</v>
      </c>
      <c r="F664" s="468" t="s">
        <v>980</v>
      </c>
      <c r="G664" s="271"/>
      <c r="H664" s="468" t="s">
        <v>3451</v>
      </c>
      <c r="I664" s="142" t="s">
        <v>421</v>
      </c>
      <c r="J664" s="394">
        <v>1000000</v>
      </c>
      <c r="K664" s="627"/>
      <c r="L664" s="394"/>
      <c r="M664" s="394" t="s">
        <v>5133</v>
      </c>
      <c r="N664" s="228"/>
      <c r="O664" s="181"/>
    </row>
    <row r="665" spans="1:16" ht="42.75" customHeight="1" x14ac:dyDescent="0.35">
      <c r="A665" s="468" t="s">
        <v>3603</v>
      </c>
      <c r="B665" s="463" t="s">
        <v>3446</v>
      </c>
      <c r="C665" s="457" t="s">
        <v>390</v>
      </c>
      <c r="D665" s="468" t="s">
        <v>4</v>
      </c>
      <c r="E665" s="468" t="s">
        <v>12</v>
      </c>
      <c r="F665" s="468" t="s">
        <v>980</v>
      </c>
      <c r="G665" s="271"/>
      <c r="H665" s="468" t="s">
        <v>3451</v>
      </c>
      <c r="I665" s="142" t="s">
        <v>421</v>
      </c>
      <c r="J665" s="394">
        <v>1000000</v>
      </c>
      <c r="K665" s="627"/>
      <c r="L665" s="394"/>
      <c r="M665" s="394" t="s">
        <v>5133</v>
      </c>
      <c r="N665" s="228"/>
      <c r="O665" s="181"/>
    </row>
    <row r="666" spans="1:16" ht="41.25" customHeight="1" x14ac:dyDescent="0.35">
      <c r="A666" s="468" t="s">
        <v>3604</v>
      </c>
      <c r="B666" s="463" t="s">
        <v>3447</v>
      </c>
      <c r="C666" s="457" t="s">
        <v>3261</v>
      </c>
      <c r="D666" s="468" t="s">
        <v>4</v>
      </c>
      <c r="E666" s="468" t="s">
        <v>12</v>
      </c>
      <c r="F666" s="468" t="s">
        <v>980</v>
      </c>
      <c r="G666" s="271"/>
      <c r="H666" s="468" t="s">
        <v>3451</v>
      </c>
      <c r="I666" s="142" t="s">
        <v>421</v>
      </c>
      <c r="J666" s="394">
        <v>1000000</v>
      </c>
      <c r="K666" s="627"/>
      <c r="L666" s="394"/>
      <c r="M666" s="394" t="s">
        <v>5133</v>
      </c>
      <c r="N666" s="228"/>
      <c r="O666" s="181"/>
    </row>
    <row r="667" spans="1:16" ht="37.5" customHeight="1" x14ac:dyDescent="0.35">
      <c r="A667" s="468" t="s">
        <v>3605</v>
      </c>
      <c r="B667" s="463" t="s">
        <v>3448</v>
      </c>
      <c r="C667" s="457" t="s">
        <v>3254</v>
      </c>
      <c r="D667" s="468" t="s">
        <v>4</v>
      </c>
      <c r="E667" s="468" t="s">
        <v>12</v>
      </c>
      <c r="F667" s="468" t="s">
        <v>980</v>
      </c>
      <c r="G667" s="271"/>
      <c r="H667" s="468" t="s">
        <v>3451</v>
      </c>
      <c r="I667" s="142" t="s">
        <v>421</v>
      </c>
      <c r="J667" s="394">
        <v>80000000</v>
      </c>
      <c r="K667" s="627"/>
      <c r="L667" s="394"/>
      <c r="M667" s="394" t="s">
        <v>5133</v>
      </c>
      <c r="N667" s="228"/>
      <c r="O667" s="181"/>
    </row>
    <row r="668" spans="1:16" ht="75" customHeight="1" x14ac:dyDescent="0.35">
      <c r="A668" s="468" t="s">
        <v>3606</v>
      </c>
      <c r="B668" s="463" t="s">
        <v>3449</v>
      </c>
      <c r="C668" s="457">
        <v>319</v>
      </c>
      <c r="D668" s="468" t="s">
        <v>4</v>
      </c>
      <c r="E668" s="468" t="s">
        <v>12</v>
      </c>
      <c r="F668" s="468" t="s">
        <v>980</v>
      </c>
      <c r="G668" s="271"/>
      <c r="H668" s="468" t="s">
        <v>3451</v>
      </c>
      <c r="I668" s="142" t="s">
        <v>421</v>
      </c>
      <c r="J668" s="394">
        <v>50000000</v>
      </c>
      <c r="K668" s="627"/>
      <c r="L668" s="394"/>
      <c r="M668" s="394" t="s">
        <v>5133</v>
      </c>
      <c r="N668" s="394">
        <v>50000000</v>
      </c>
      <c r="O668" s="181"/>
      <c r="P668" s="231">
        <v>60000000</v>
      </c>
    </row>
    <row r="669" spans="1:16" ht="51" customHeight="1" x14ac:dyDescent="0.35">
      <c r="A669" s="468" t="s">
        <v>3613</v>
      </c>
      <c r="B669" s="463" t="s">
        <v>3450</v>
      </c>
      <c r="C669" s="457">
        <v>319</v>
      </c>
      <c r="D669" s="468" t="s">
        <v>4</v>
      </c>
      <c r="E669" s="468" t="s">
        <v>12</v>
      </c>
      <c r="F669" s="468" t="s">
        <v>980</v>
      </c>
      <c r="G669" s="271"/>
      <c r="H669" s="468" t="s">
        <v>3451</v>
      </c>
      <c r="I669" s="142" t="s">
        <v>421</v>
      </c>
      <c r="J669" s="394">
        <v>20000000</v>
      </c>
      <c r="K669" s="627"/>
      <c r="L669" s="394"/>
      <c r="M669" s="394" t="s">
        <v>5133</v>
      </c>
      <c r="N669" s="228"/>
      <c r="O669" s="181"/>
    </row>
    <row r="670" spans="1:16" ht="78" customHeight="1" x14ac:dyDescent="0.35">
      <c r="A670" s="468" t="s">
        <v>4661</v>
      </c>
      <c r="B670" s="463" t="s">
        <v>412</v>
      </c>
      <c r="C670" s="331">
        <v>216</v>
      </c>
      <c r="D670" s="468" t="s">
        <v>4</v>
      </c>
      <c r="E670" s="468" t="s">
        <v>12</v>
      </c>
      <c r="F670" s="468" t="s">
        <v>980</v>
      </c>
      <c r="G670" s="271"/>
      <c r="H670" s="468" t="s">
        <v>3451</v>
      </c>
      <c r="I670" s="142" t="s">
        <v>421</v>
      </c>
      <c r="J670" s="394">
        <v>2184488.25</v>
      </c>
      <c r="K670" s="627">
        <v>2184487</v>
      </c>
      <c r="L670" s="394"/>
      <c r="M670" s="394" t="s">
        <v>5133</v>
      </c>
      <c r="N670" s="394">
        <v>2184488.25</v>
      </c>
      <c r="O670" s="181"/>
    </row>
    <row r="671" spans="1:16" ht="50.25" customHeight="1" x14ac:dyDescent="0.35">
      <c r="A671" s="468" t="s">
        <v>4662</v>
      </c>
      <c r="B671" s="463" t="s">
        <v>413</v>
      </c>
      <c r="C671" s="331">
        <v>108</v>
      </c>
      <c r="D671" s="468" t="s">
        <v>4</v>
      </c>
      <c r="E671" s="468" t="s">
        <v>12</v>
      </c>
      <c r="F671" s="468" t="s">
        <v>980</v>
      </c>
      <c r="G671" s="271"/>
      <c r="H671" s="468" t="s">
        <v>3451</v>
      </c>
      <c r="I671" s="142" t="s">
        <v>421</v>
      </c>
      <c r="J671" s="394">
        <v>30492875</v>
      </c>
      <c r="K671" s="627">
        <v>19692875</v>
      </c>
      <c r="L671" s="394"/>
      <c r="M671" s="394" t="s">
        <v>5133</v>
      </c>
      <c r="N671" s="228"/>
      <c r="O671" s="181"/>
    </row>
    <row r="672" spans="1:16" ht="40.5" customHeight="1" x14ac:dyDescent="0.35">
      <c r="A672" s="468" t="s">
        <v>4864</v>
      </c>
      <c r="B672" s="522" t="s">
        <v>4832</v>
      </c>
      <c r="C672" s="331"/>
      <c r="D672" s="468" t="s">
        <v>4</v>
      </c>
      <c r="E672" s="468" t="s">
        <v>12</v>
      </c>
      <c r="F672" s="468" t="s">
        <v>980</v>
      </c>
      <c r="G672" s="271"/>
      <c r="H672" s="468" t="s">
        <v>3451</v>
      </c>
      <c r="I672" s="142" t="s">
        <v>421</v>
      </c>
      <c r="J672" s="602">
        <v>100000000</v>
      </c>
      <c r="K672" s="627"/>
      <c r="L672" s="394"/>
      <c r="M672" s="394" t="s">
        <v>5133</v>
      </c>
      <c r="N672" s="228"/>
      <c r="O672" s="181"/>
    </row>
    <row r="673" spans="1:16" s="247" customFormat="1" ht="37.5" customHeight="1" x14ac:dyDescent="0.3">
      <c r="A673" s="245"/>
      <c r="B673" s="360" t="s">
        <v>1008</v>
      </c>
      <c r="C673" s="175"/>
      <c r="D673" s="171"/>
      <c r="E673" s="273"/>
      <c r="F673" s="257"/>
      <c r="G673" s="176"/>
      <c r="H673" s="171"/>
      <c r="I673" s="176"/>
      <c r="J673" s="177">
        <f>SUM(J544:J672)</f>
        <v>3447324871.79</v>
      </c>
      <c r="K673" s="177">
        <f>SUM(K544:K672)</f>
        <v>1859000000.47</v>
      </c>
      <c r="L673" s="189"/>
      <c r="M673" s="189"/>
      <c r="N673" s="177">
        <f>SUM(N544:N671)</f>
        <v>755686659.37999988</v>
      </c>
      <c r="O673" s="177">
        <f>SUM(O544:O671)</f>
        <v>0</v>
      </c>
      <c r="P673" s="177"/>
    </row>
    <row r="674" spans="1:16" ht="29.25" customHeight="1" x14ac:dyDescent="0.35">
      <c r="A674" s="388"/>
      <c r="B674" s="586"/>
      <c r="C674" s="389"/>
      <c r="D674" s="390"/>
      <c r="E674" s="388"/>
      <c r="F674" s="390"/>
      <c r="G674" s="388"/>
      <c r="H674" s="390"/>
      <c r="I674" s="388"/>
      <c r="J674" s="388"/>
      <c r="K674" s="458"/>
      <c r="L674" s="704"/>
      <c r="M674" s="704"/>
      <c r="N674" s="388"/>
      <c r="O674" s="391"/>
      <c r="P674" s="231">
        <f>J673+J739</f>
        <v>3727297853.54</v>
      </c>
    </row>
    <row r="675" spans="1:16" ht="35.25" customHeight="1" x14ac:dyDescent="0.35">
      <c r="A675" s="428" t="s">
        <v>1144</v>
      </c>
      <c r="B675" s="583"/>
      <c r="C675" s="429"/>
      <c r="D675" s="430"/>
      <c r="E675" s="494"/>
      <c r="F675" s="430"/>
      <c r="G675" s="494"/>
      <c r="H675" s="430"/>
      <c r="I675" s="494"/>
      <c r="J675" s="495"/>
      <c r="K675" s="458"/>
      <c r="L675" s="704"/>
      <c r="M675" s="704"/>
      <c r="N675" s="495"/>
      <c r="O675" s="357">
        <v>2000000000</v>
      </c>
      <c r="P675" s="231">
        <f>O675-K673</f>
        <v>140999999.52999997</v>
      </c>
    </row>
    <row r="676" spans="1:16" ht="81.75" customHeight="1" x14ac:dyDescent="0.35">
      <c r="A676" s="187" t="s">
        <v>1007</v>
      </c>
      <c r="B676" s="360" t="s">
        <v>50</v>
      </c>
      <c r="C676" s="175" t="s">
        <v>898</v>
      </c>
      <c r="D676" s="175" t="s">
        <v>52</v>
      </c>
      <c r="E676" s="187" t="s">
        <v>49</v>
      </c>
      <c r="F676" s="175" t="s">
        <v>1</v>
      </c>
      <c r="G676" s="187"/>
      <c r="H676" s="175" t="s">
        <v>51</v>
      </c>
      <c r="I676" s="187" t="s">
        <v>2</v>
      </c>
      <c r="J676" s="189" t="s">
        <v>4862</v>
      </c>
      <c r="K676" s="189" t="s">
        <v>5140</v>
      </c>
      <c r="L676" s="623" t="s">
        <v>5132</v>
      </c>
      <c r="M676" s="623" t="s">
        <v>5132</v>
      </c>
      <c r="N676" s="189" t="s">
        <v>932</v>
      </c>
      <c r="O676" s="187" t="s">
        <v>50</v>
      </c>
    </row>
    <row r="677" spans="1:16" ht="74.25" customHeight="1" x14ac:dyDescent="0.35">
      <c r="A677" s="180" t="s">
        <v>2053</v>
      </c>
      <c r="B677" s="463" t="s">
        <v>2004</v>
      </c>
      <c r="C677" s="290" t="s">
        <v>473</v>
      </c>
      <c r="D677" s="392">
        <v>2101</v>
      </c>
      <c r="E677" s="180" t="s">
        <v>912</v>
      </c>
      <c r="F677" s="392" t="s">
        <v>998</v>
      </c>
      <c r="G677" s="180"/>
      <c r="H677" s="392">
        <v>70435</v>
      </c>
      <c r="I677" s="142" t="s">
        <v>421</v>
      </c>
      <c r="J677" s="393">
        <v>2924925</v>
      </c>
      <c r="K677" s="627"/>
      <c r="L677" s="394"/>
      <c r="M677" s="394" t="s">
        <v>5133</v>
      </c>
      <c r="N677" s="228">
        <v>29998500</v>
      </c>
      <c r="O677" s="180" t="s">
        <v>2004</v>
      </c>
    </row>
    <row r="678" spans="1:16" ht="73.5" customHeight="1" x14ac:dyDescent="0.35">
      <c r="A678" s="180" t="s">
        <v>2054</v>
      </c>
      <c r="B678" s="463" t="s">
        <v>474</v>
      </c>
      <c r="C678" s="290" t="s">
        <v>633</v>
      </c>
      <c r="D678" s="392" t="s">
        <v>4</v>
      </c>
      <c r="E678" s="180" t="s">
        <v>912</v>
      </c>
      <c r="F678" s="392" t="s">
        <v>998</v>
      </c>
      <c r="G678" s="180"/>
      <c r="H678" s="392">
        <v>70435</v>
      </c>
      <c r="I678" s="142" t="s">
        <v>421</v>
      </c>
      <c r="J678" s="393">
        <v>9627640</v>
      </c>
      <c r="K678" s="627"/>
      <c r="L678" s="394"/>
      <c r="M678" s="394" t="s">
        <v>5133</v>
      </c>
      <c r="N678" s="228">
        <v>50627640</v>
      </c>
      <c r="O678" s="180" t="s">
        <v>474</v>
      </c>
    </row>
    <row r="679" spans="1:16" ht="84" customHeight="1" x14ac:dyDescent="0.35">
      <c r="A679" s="180" t="s">
        <v>2055</v>
      </c>
      <c r="B679" s="463" t="s">
        <v>476</v>
      </c>
      <c r="C679" s="290" t="s">
        <v>196</v>
      </c>
      <c r="D679" s="392" t="s">
        <v>4</v>
      </c>
      <c r="E679" s="180" t="s">
        <v>912</v>
      </c>
      <c r="F679" s="392" t="s">
        <v>998</v>
      </c>
      <c r="G679" s="142"/>
      <c r="H679" s="392">
        <v>70435</v>
      </c>
      <c r="I679" s="142" t="s">
        <v>421</v>
      </c>
      <c r="J679" s="393">
        <v>8082830</v>
      </c>
      <c r="K679" s="627"/>
      <c r="L679" s="394"/>
      <c r="M679" s="394" t="s">
        <v>5133</v>
      </c>
      <c r="N679" s="228">
        <v>25082830</v>
      </c>
      <c r="O679" s="180" t="s">
        <v>476</v>
      </c>
    </row>
    <row r="680" spans="1:16" ht="60.75" customHeight="1" x14ac:dyDescent="0.35">
      <c r="A680" s="180" t="s">
        <v>2056</v>
      </c>
      <c r="B680" s="463" t="s">
        <v>477</v>
      </c>
      <c r="C680" s="290" t="s">
        <v>1687</v>
      </c>
      <c r="D680" s="392" t="s">
        <v>4</v>
      </c>
      <c r="E680" s="180" t="s">
        <v>912</v>
      </c>
      <c r="F680" s="392" t="s">
        <v>998</v>
      </c>
      <c r="G680" s="180"/>
      <c r="H680" s="392">
        <v>70435</v>
      </c>
      <c r="I680" s="142" t="s">
        <v>421</v>
      </c>
      <c r="J680" s="393">
        <v>586950</v>
      </c>
      <c r="K680" s="627"/>
      <c r="L680" s="394"/>
      <c r="M680" s="394" t="s">
        <v>5133</v>
      </c>
      <c r="N680" s="228">
        <v>11739000</v>
      </c>
      <c r="O680" s="180" t="s">
        <v>477</v>
      </c>
    </row>
    <row r="681" spans="1:16" ht="72" customHeight="1" x14ac:dyDescent="0.35">
      <c r="A681" s="180" t="s">
        <v>2057</v>
      </c>
      <c r="B681" s="463" t="s">
        <v>2005</v>
      </c>
      <c r="C681" s="290" t="s">
        <v>478</v>
      </c>
      <c r="D681" s="392" t="s">
        <v>4</v>
      </c>
      <c r="E681" s="180" t="s">
        <v>912</v>
      </c>
      <c r="F681" s="392" t="s">
        <v>998</v>
      </c>
      <c r="G681" s="180"/>
      <c r="H681" s="392">
        <v>70435</v>
      </c>
      <c r="I681" s="142" t="s">
        <v>421</v>
      </c>
      <c r="J681" s="393">
        <v>3406917</v>
      </c>
      <c r="K681" s="627"/>
      <c r="L681" s="394"/>
      <c r="M681" s="394" t="s">
        <v>5133</v>
      </c>
      <c r="N681" s="228">
        <v>24087000</v>
      </c>
      <c r="O681" s="180" t="s">
        <v>2005</v>
      </c>
    </row>
    <row r="682" spans="1:16" ht="75.75" customHeight="1" x14ac:dyDescent="0.35">
      <c r="A682" s="180" t="s">
        <v>2058</v>
      </c>
      <c r="B682" s="463" t="s">
        <v>479</v>
      </c>
      <c r="C682" s="290" t="s">
        <v>196</v>
      </c>
      <c r="D682" s="392" t="s">
        <v>4</v>
      </c>
      <c r="E682" s="180" t="s">
        <v>912</v>
      </c>
      <c r="F682" s="392" t="s">
        <v>998</v>
      </c>
      <c r="G682" s="180"/>
      <c r="H682" s="392">
        <v>70435</v>
      </c>
      <c r="I682" s="142" t="s">
        <v>421</v>
      </c>
      <c r="J682" s="393">
        <v>6849050</v>
      </c>
      <c r="K682" s="627"/>
      <c r="L682" s="394"/>
      <c r="M682" s="394" t="s">
        <v>5133</v>
      </c>
      <c r="N682" s="228">
        <v>20049050</v>
      </c>
      <c r="O682" s="180" t="s">
        <v>479</v>
      </c>
    </row>
    <row r="683" spans="1:16" ht="94.5" customHeight="1" x14ac:dyDescent="0.35">
      <c r="A683" s="180" t="s">
        <v>2059</v>
      </c>
      <c r="B683" s="463" t="s">
        <v>2006</v>
      </c>
      <c r="C683" s="290" t="s">
        <v>2113</v>
      </c>
      <c r="D683" s="392" t="s">
        <v>4</v>
      </c>
      <c r="E683" s="180" t="s">
        <v>912</v>
      </c>
      <c r="F683" s="392" t="s">
        <v>998</v>
      </c>
      <c r="G683" s="180"/>
      <c r="H683" s="392">
        <v>70435</v>
      </c>
      <c r="I683" s="142" t="s">
        <v>421</v>
      </c>
      <c r="J683" s="393">
        <v>511600</v>
      </c>
      <c r="K683" s="627"/>
      <c r="L683" s="394"/>
      <c r="M683" s="394" t="s">
        <v>5133</v>
      </c>
      <c r="N683" s="228">
        <v>10232000</v>
      </c>
      <c r="O683" s="180" t="s">
        <v>2006</v>
      </c>
    </row>
    <row r="684" spans="1:16" ht="60.75" customHeight="1" x14ac:dyDescent="0.35">
      <c r="A684" s="180" t="s">
        <v>2060</v>
      </c>
      <c r="B684" s="463" t="s">
        <v>481</v>
      </c>
      <c r="C684" s="290"/>
      <c r="D684" s="392" t="s">
        <v>4</v>
      </c>
      <c r="E684" s="180" t="s">
        <v>912</v>
      </c>
      <c r="F684" s="392" t="s">
        <v>998</v>
      </c>
      <c r="G684" s="180"/>
      <c r="H684" s="392">
        <v>70435</v>
      </c>
      <c r="I684" s="142" t="s">
        <v>421</v>
      </c>
      <c r="J684" s="393">
        <v>7392735</v>
      </c>
      <c r="K684" s="627"/>
      <c r="L684" s="394"/>
      <c r="M684" s="394" t="s">
        <v>5133</v>
      </c>
      <c r="N684" s="228">
        <v>7392735</v>
      </c>
      <c r="O684" s="180" t="s">
        <v>481</v>
      </c>
    </row>
    <row r="685" spans="1:16" ht="54" customHeight="1" x14ac:dyDescent="0.35">
      <c r="A685" s="180" t="s">
        <v>2061</v>
      </c>
      <c r="B685" s="463" t="s">
        <v>482</v>
      </c>
      <c r="C685" s="290" t="s">
        <v>808</v>
      </c>
      <c r="D685" s="392" t="s">
        <v>4</v>
      </c>
      <c r="E685" s="180" t="s">
        <v>912</v>
      </c>
      <c r="F685" s="392" t="s">
        <v>998</v>
      </c>
      <c r="G685" s="180"/>
      <c r="H685" s="392">
        <v>70435</v>
      </c>
      <c r="I685" s="142" t="s">
        <v>421</v>
      </c>
      <c r="J685" s="393">
        <v>1718624.7</v>
      </c>
      <c r="K685" s="627"/>
      <c r="L685" s="394"/>
      <c r="M685" s="394" t="s">
        <v>5133</v>
      </c>
      <c r="N685" s="228">
        <v>1718624.7</v>
      </c>
      <c r="O685" s="180" t="s">
        <v>482</v>
      </c>
    </row>
    <row r="686" spans="1:16" ht="69.75" customHeight="1" x14ac:dyDescent="0.35">
      <c r="A686" s="180" t="s">
        <v>2062</v>
      </c>
      <c r="B686" s="463" t="s">
        <v>483</v>
      </c>
      <c r="C686" s="290" t="s">
        <v>2114</v>
      </c>
      <c r="D686" s="392" t="s">
        <v>4</v>
      </c>
      <c r="E686" s="180" t="s">
        <v>912</v>
      </c>
      <c r="F686" s="392" t="s">
        <v>998</v>
      </c>
      <c r="G686" s="180"/>
      <c r="H686" s="392">
        <v>70435</v>
      </c>
      <c r="I686" s="142" t="s">
        <v>421</v>
      </c>
      <c r="J686" s="393">
        <v>2876250</v>
      </c>
      <c r="K686" s="627"/>
      <c r="L686" s="394"/>
      <c r="M686" s="394" t="s">
        <v>5133</v>
      </c>
      <c r="N686" s="228">
        <v>2876250</v>
      </c>
      <c r="O686" s="180" t="s">
        <v>483</v>
      </c>
    </row>
    <row r="687" spans="1:16" ht="61.5" customHeight="1" x14ac:dyDescent="0.35">
      <c r="A687" s="180" t="s">
        <v>2063</v>
      </c>
      <c r="B687" s="463" t="s">
        <v>484</v>
      </c>
      <c r="C687" s="290" t="s">
        <v>2115</v>
      </c>
      <c r="D687" s="392" t="s">
        <v>4</v>
      </c>
      <c r="E687" s="180" t="s">
        <v>912</v>
      </c>
      <c r="F687" s="392" t="s">
        <v>998</v>
      </c>
      <c r="G687" s="180"/>
      <c r="H687" s="392">
        <v>70435</v>
      </c>
      <c r="I687" s="142" t="s">
        <v>421</v>
      </c>
      <c r="J687" s="393">
        <v>1475304.5</v>
      </c>
      <c r="K687" s="627"/>
      <c r="L687" s="394"/>
      <c r="M687" s="394" t="s">
        <v>5133</v>
      </c>
      <c r="N687" s="228">
        <v>1475304.5</v>
      </c>
      <c r="O687" s="180" t="s">
        <v>484</v>
      </c>
    </row>
    <row r="688" spans="1:16" ht="60.75" customHeight="1" x14ac:dyDescent="0.35">
      <c r="A688" s="180" t="s">
        <v>2064</v>
      </c>
      <c r="B688" s="463" t="s">
        <v>2007</v>
      </c>
      <c r="C688" s="290" t="s">
        <v>2116</v>
      </c>
      <c r="D688" s="392" t="s">
        <v>4</v>
      </c>
      <c r="E688" s="180" t="s">
        <v>912</v>
      </c>
      <c r="F688" s="392" t="s">
        <v>998</v>
      </c>
      <c r="G688" s="180"/>
      <c r="H688" s="392">
        <v>70435</v>
      </c>
      <c r="I688" s="142" t="s">
        <v>421</v>
      </c>
      <c r="J688" s="393">
        <v>600000</v>
      </c>
      <c r="K688" s="627"/>
      <c r="L688" s="394"/>
      <c r="M688" s="394" t="s">
        <v>5133</v>
      </c>
      <c r="N688" s="228">
        <v>30000000</v>
      </c>
      <c r="O688" s="180" t="s">
        <v>2007</v>
      </c>
    </row>
    <row r="689" spans="1:15" ht="63.75" customHeight="1" x14ac:dyDescent="0.35">
      <c r="A689" s="180" t="s">
        <v>2065</v>
      </c>
      <c r="B689" s="463" t="s">
        <v>2008</v>
      </c>
      <c r="C689" s="290" t="s">
        <v>357</v>
      </c>
      <c r="D689" s="392" t="s">
        <v>4</v>
      </c>
      <c r="E689" s="180" t="s">
        <v>912</v>
      </c>
      <c r="F689" s="392" t="s">
        <v>998</v>
      </c>
      <c r="G689" s="180"/>
      <c r="H689" s="392">
        <v>70435</v>
      </c>
      <c r="I689" s="142" t="s">
        <v>421</v>
      </c>
      <c r="J689" s="393">
        <v>2650000</v>
      </c>
      <c r="K689" s="627"/>
      <c r="L689" s="394"/>
      <c r="M689" s="394" t="s">
        <v>5133</v>
      </c>
      <c r="N689" s="393">
        <v>1590000</v>
      </c>
      <c r="O689" s="180" t="s">
        <v>2008</v>
      </c>
    </row>
    <row r="690" spans="1:15" ht="53.25" customHeight="1" x14ac:dyDescent="0.35">
      <c r="A690" s="180" t="s">
        <v>2066</v>
      </c>
      <c r="B690" s="463" t="s">
        <v>487</v>
      </c>
      <c r="C690" s="290" t="s">
        <v>1759</v>
      </c>
      <c r="D690" s="392" t="s">
        <v>4</v>
      </c>
      <c r="E690" s="180" t="s">
        <v>912</v>
      </c>
      <c r="F690" s="392" t="s">
        <v>998</v>
      </c>
      <c r="G690" s="180"/>
      <c r="H690" s="392">
        <v>70435</v>
      </c>
      <c r="I690" s="142" t="s">
        <v>421</v>
      </c>
      <c r="J690" s="393">
        <v>1130660.45</v>
      </c>
      <c r="K690" s="627"/>
      <c r="L690" s="394"/>
      <c r="M690" s="394" t="s">
        <v>5133</v>
      </c>
      <c r="N690" s="228">
        <v>6957783</v>
      </c>
      <c r="O690" s="180" t="s">
        <v>487</v>
      </c>
    </row>
    <row r="691" spans="1:15" ht="66.75" customHeight="1" x14ac:dyDescent="0.35">
      <c r="A691" s="180" t="s">
        <v>2067</v>
      </c>
      <c r="B691" s="463" t="s">
        <v>2009</v>
      </c>
      <c r="C691" s="290" t="s">
        <v>489</v>
      </c>
      <c r="D691" s="392" t="s">
        <v>4</v>
      </c>
      <c r="E691" s="180" t="s">
        <v>912</v>
      </c>
      <c r="F691" s="392" t="s">
        <v>998</v>
      </c>
      <c r="G691" s="180"/>
      <c r="H691" s="392">
        <v>70435</v>
      </c>
      <c r="I691" s="142" t="s">
        <v>421</v>
      </c>
      <c r="J691" s="393">
        <v>300000</v>
      </c>
      <c r="K691" s="627"/>
      <c r="L691" s="394"/>
      <c r="M691" s="394" t="s">
        <v>5133</v>
      </c>
      <c r="N691" s="228">
        <v>30000000</v>
      </c>
      <c r="O691" s="180" t="s">
        <v>2009</v>
      </c>
    </row>
    <row r="692" spans="1:15" ht="59.25" customHeight="1" x14ac:dyDescent="0.35">
      <c r="A692" s="180" t="s">
        <v>2068</v>
      </c>
      <c r="B692" s="463" t="s">
        <v>2010</v>
      </c>
      <c r="C692" s="290" t="s">
        <v>2117</v>
      </c>
      <c r="D692" s="392" t="s">
        <v>4</v>
      </c>
      <c r="E692" s="180" t="s">
        <v>912</v>
      </c>
      <c r="F692" s="392" t="s">
        <v>998</v>
      </c>
      <c r="G692" s="180"/>
      <c r="H692" s="392">
        <v>70435</v>
      </c>
      <c r="I692" s="142" t="s">
        <v>421</v>
      </c>
      <c r="J692" s="393">
        <v>300000</v>
      </c>
      <c r="K692" s="627"/>
      <c r="L692" s="394"/>
      <c r="M692" s="394" t="s">
        <v>5133</v>
      </c>
      <c r="N692" s="228">
        <v>30000000</v>
      </c>
      <c r="O692" s="180" t="s">
        <v>2010</v>
      </c>
    </row>
    <row r="693" spans="1:15" ht="71.25" customHeight="1" x14ac:dyDescent="0.35">
      <c r="A693" s="180" t="s">
        <v>2069</v>
      </c>
      <c r="B693" s="463" t="s">
        <v>2011</v>
      </c>
      <c r="C693" s="290" t="s">
        <v>490</v>
      </c>
      <c r="D693" s="392" t="s">
        <v>4</v>
      </c>
      <c r="E693" s="180" t="s">
        <v>912</v>
      </c>
      <c r="F693" s="392" t="s">
        <v>998</v>
      </c>
      <c r="G693" s="180"/>
      <c r="H693" s="392">
        <v>70435</v>
      </c>
      <c r="I693" s="142" t="s">
        <v>421</v>
      </c>
      <c r="J693" s="393">
        <v>300000</v>
      </c>
      <c r="K693" s="627"/>
      <c r="L693" s="394"/>
      <c r="M693" s="394" t="s">
        <v>5133</v>
      </c>
      <c r="N693" s="228">
        <v>11956930.4</v>
      </c>
      <c r="O693" s="180" t="s">
        <v>2011</v>
      </c>
    </row>
    <row r="694" spans="1:15" ht="63" customHeight="1" x14ac:dyDescent="0.35">
      <c r="A694" s="180" t="s">
        <v>2070</v>
      </c>
      <c r="B694" s="463" t="s">
        <v>491</v>
      </c>
      <c r="C694" s="290" t="s">
        <v>392</v>
      </c>
      <c r="D694" s="392" t="s">
        <v>4</v>
      </c>
      <c r="E694" s="180" t="s">
        <v>912</v>
      </c>
      <c r="F694" s="392" t="s">
        <v>998</v>
      </c>
      <c r="G694" s="180"/>
      <c r="H694" s="392">
        <v>70435</v>
      </c>
      <c r="I694" s="142" t="s">
        <v>421</v>
      </c>
      <c r="J694" s="393">
        <v>382185</v>
      </c>
      <c r="K694" s="627"/>
      <c r="L694" s="394"/>
      <c r="M694" s="394" t="s">
        <v>5133</v>
      </c>
      <c r="N694" s="228">
        <v>4586211</v>
      </c>
      <c r="O694" s="180" t="s">
        <v>491</v>
      </c>
    </row>
    <row r="695" spans="1:15" ht="54" customHeight="1" x14ac:dyDescent="0.35">
      <c r="A695" s="180" t="s">
        <v>2893</v>
      </c>
      <c r="B695" s="463" t="s">
        <v>2012</v>
      </c>
      <c r="C695" s="290" t="s">
        <v>492</v>
      </c>
      <c r="D695" s="392" t="s">
        <v>4</v>
      </c>
      <c r="E695" s="180" t="s">
        <v>912</v>
      </c>
      <c r="F695" s="392" t="s">
        <v>998</v>
      </c>
      <c r="G695" s="180"/>
      <c r="H695" s="392">
        <v>70435</v>
      </c>
      <c r="I695" s="142" t="s">
        <v>421</v>
      </c>
      <c r="J695" s="393">
        <v>300000</v>
      </c>
      <c r="K695" s="627"/>
      <c r="L695" s="394"/>
      <c r="M695" s="394" t="s">
        <v>5133</v>
      </c>
      <c r="N695" s="228">
        <v>961093.26</v>
      </c>
      <c r="O695" s="180" t="s">
        <v>2012</v>
      </c>
    </row>
    <row r="696" spans="1:15" ht="74.25" customHeight="1" x14ac:dyDescent="0.35">
      <c r="A696" s="180" t="s">
        <v>2071</v>
      </c>
      <c r="B696" s="463" t="s">
        <v>493</v>
      </c>
      <c r="C696" s="290" t="s">
        <v>494</v>
      </c>
      <c r="D696" s="392" t="s">
        <v>4</v>
      </c>
      <c r="E696" s="180" t="s">
        <v>912</v>
      </c>
      <c r="F696" s="392" t="s">
        <v>998</v>
      </c>
      <c r="G696" s="180"/>
      <c r="H696" s="392">
        <v>70435</v>
      </c>
      <c r="I696" s="142" t="s">
        <v>421</v>
      </c>
      <c r="J696" s="393">
        <v>1005793.9</v>
      </c>
      <c r="K696" s="627"/>
      <c r="L696" s="394"/>
      <c r="M696" s="394" t="s">
        <v>5133</v>
      </c>
      <c r="N696" s="228">
        <v>736974.9</v>
      </c>
      <c r="O696" s="180" t="s">
        <v>493</v>
      </c>
    </row>
    <row r="697" spans="1:15" ht="65.25" customHeight="1" x14ac:dyDescent="0.35">
      <c r="A697" s="180" t="s">
        <v>2072</v>
      </c>
      <c r="B697" s="463" t="s">
        <v>2013</v>
      </c>
      <c r="C697" s="290" t="s">
        <v>2118</v>
      </c>
      <c r="D697" s="392" t="s">
        <v>4</v>
      </c>
      <c r="E697" s="180" t="s">
        <v>912</v>
      </c>
      <c r="F697" s="392" t="s">
        <v>998</v>
      </c>
      <c r="G697" s="180"/>
      <c r="H697" s="392">
        <v>70435</v>
      </c>
      <c r="I697" s="142" t="s">
        <v>421</v>
      </c>
      <c r="J697" s="393">
        <v>1436546.95</v>
      </c>
      <c r="K697" s="627"/>
      <c r="L697" s="394"/>
      <c r="M697" s="394" t="s">
        <v>5133</v>
      </c>
      <c r="N697" s="228">
        <v>861928.16999999993</v>
      </c>
      <c r="O697" s="180" t="s">
        <v>2013</v>
      </c>
    </row>
    <row r="698" spans="1:15" ht="63" customHeight="1" x14ac:dyDescent="0.35">
      <c r="A698" s="180" t="s">
        <v>2073</v>
      </c>
      <c r="B698" s="463" t="s">
        <v>2014</v>
      </c>
      <c r="C698" s="290" t="s">
        <v>495</v>
      </c>
      <c r="D698" s="392" t="s">
        <v>4</v>
      </c>
      <c r="E698" s="180" t="s">
        <v>912</v>
      </c>
      <c r="F698" s="392" t="s">
        <v>998</v>
      </c>
      <c r="G698" s="180"/>
      <c r="H698" s="392">
        <v>70435</v>
      </c>
      <c r="I698" s="142" t="s">
        <v>421</v>
      </c>
      <c r="J698" s="393">
        <v>300000</v>
      </c>
      <c r="K698" s="627"/>
      <c r="L698" s="394"/>
      <c r="M698" s="394" t="s">
        <v>5133</v>
      </c>
      <c r="N698" s="228">
        <v>11477340</v>
      </c>
      <c r="O698" s="180" t="s">
        <v>2014</v>
      </c>
    </row>
    <row r="699" spans="1:15" ht="79.5" customHeight="1" x14ac:dyDescent="0.35">
      <c r="A699" s="180" t="s">
        <v>2074</v>
      </c>
      <c r="B699" s="463" t="s">
        <v>2015</v>
      </c>
      <c r="C699" s="290" t="s">
        <v>393</v>
      </c>
      <c r="D699" s="392" t="s">
        <v>4</v>
      </c>
      <c r="E699" s="180" t="s">
        <v>912</v>
      </c>
      <c r="F699" s="392" t="s">
        <v>998</v>
      </c>
      <c r="G699" s="180"/>
      <c r="H699" s="392">
        <v>70435</v>
      </c>
      <c r="I699" s="142" t="s">
        <v>421</v>
      </c>
      <c r="J699" s="393">
        <v>300000</v>
      </c>
      <c r="K699" s="627"/>
      <c r="L699" s="394"/>
      <c r="M699" s="394" t="s">
        <v>5133</v>
      </c>
      <c r="N699" s="228">
        <v>15000000</v>
      </c>
      <c r="O699" s="180" t="s">
        <v>2015</v>
      </c>
    </row>
    <row r="700" spans="1:15" ht="76.5" customHeight="1" x14ac:dyDescent="0.35">
      <c r="A700" s="180" t="s">
        <v>2075</v>
      </c>
      <c r="B700" s="463" t="s">
        <v>2016</v>
      </c>
      <c r="C700" s="290" t="s">
        <v>2119</v>
      </c>
      <c r="D700" s="392" t="s">
        <v>4</v>
      </c>
      <c r="E700" s="180" t="s">
        <v>912</v>
      </c>
      <c r="F700" s="392" t="s">
        <v>998</v>
      </c>
      <c r="G700" s="180"/>
      <c r="H700" s="392">
        <v>70435</v>
      </c>
      <c r="I700" s="142" t="s">
        <v>421</v>
      </c>
      <c r="J700" s="393">
        <v>300000</v>
      </c>
      <c r="K700" s="627"/>
      <c r="L700" s="394"/>
      <c r="M700" s="394" t="s">
        <v>5133</v>
      </c>
      <c r="N700" s="228">
        <v>40000000</v>
      </c>
      <c r="O700" s="180" t="s">
        <v>2016</v>
      </c>
    </row>
    <row r="701" spans="1:15" ht="73.5" customHeight="1" x14ac:dyDescent="0.35">
      <c r="A701" s="180" t="s">
        <v>2076</v>
      </c>
      <c r="B701" s="463" t="s">
        <v>2017</v>
      </c>
      <c r="C701" s="290">
        <v>426</v>
      </c>
      <c r="D701" s="392" t="s">
        <v>4</v>
      </c>
      <c r="E701" s="180" t="s">
        <v>912</v>
      </c>
      <c r="F701" s="392" t="s">
        <v>998</v>
      </c>
      <c r="G701" s="180"/>
      <c r="H701" s="392">
        <v>70435</v>
      </c>
      <c r="I701" s="142" t="s">
        <v>421</v>
      </c>
      <c r="J701" s="393">
        <v>38104634.75</v>
      </c>
      <c r="K701" s="627">
        <v>50000000</v>
      </c>
      <c r="L701" s="394"/>
      <c r="M701" s="394" t="s">
        <v>5133</v>
      </c>
      <c r="N701" s="228">
        <v>14400000</v>
      </c>
      <c r="O701" s="180" t="s">
        <v>2017</v>
      </c>
    </row>
    <row r="702" spans="1:15" ht="61.5" customHeight="1" x14ac:dyDescent="0.35">
      <c r="A702" s="180" t="s">
        <v>2077</v>
      </c>
      <c r="B702" s="463" t="s">
        <v>2018</v>
      </c>
      <c r="C702" s="290" t="s">
        <v>2120</v>
      </c>
      <c r="D702" s="392" t="s">
        <v>4</v>
      </c>
      <c r="E702" s="180" t="s">
        <v>912</v>
      </c>
      <c r="F702" s="392" t="s">
        <v>998</v>
      </c>
      <c r="G702" s="180"/>
      <c r="H702" s="392">
        <v>70435</v>
      </c>
      <c r="I702" s="142" t="s">
        <v>421</v>
      </c>
      <c r="J702" s="393">
        <v>1568854</v>
      </c>
      <c r="K702" s="627"/>
      <c r="L702" s="394"/>
      <c r="M702" s="394" t="s">
        <v>5133</v>
      </c>
      <c r="N702" s="228"/>
      <c r="O702" s="180" t="s">
        <v>2018</v>
      </c>
    </row>
    <row r="703" spans="1:15" ht="54" customHeight="1" x14ac:dyDescent="0.35">
      <c r="A703" s="180" t="s">
        <v>2078</v>
      </c>
      <c r="B703" s="463" t="s">
        <v>2019</v>
      </c>
      <c r="C703" s="290" t="s">
        <v>418</v>
      </c>
      <c r="D703" s="392" t="s">
        <v>4</v>
      </c>
      <c r="E703" s="180" t="s">
        <v>912</v>
      </c>
      <c r="F703" s="392" t="s">
        <v>998</v>
      </c>
      <c r="G703" s="180"/>
      <c r="H703" s="392">
        <v>70435</v>
      </c>
      <c r="I703" s="142" t="s">
        <v>421</v>
      </c>
      <c r="J703" s="393">
        <v>8329606</v>
      </c>
      <c r="K703" s="627"/>
      <c r="L703" s="394"/>
      <c r="M703" s="394" t="s">
        <v>5133</v>
      </c>
      <c r="N703" s="228">
        <v>11589018</v>
      </c>
      <c r="O703" s="180" t="s">
        <v>2019</v>
      </c>
    </row>
    <row r="704" spans="1:15" ht="63" customHeight="1" x14ac:dyDescent="0.35">
      <c r="A704" s="180" t="s">
        <v>2079</v>
      </c>
      <c r="B704" s="463" t="s">
        <v>2020</v>
      </c>
      <c r="C704" s="290" t="s">
        <v>497</v>
      </c>
      <c r="D704" s="392" t="s">
        <v>4</v>
      </c>
      <c r="E704" s="180" t="s">
        <v>912</v>
      </c>
      <c r="F704" s="392" t="s">
        <v>998</v>
      </c>
      <c r="G704" s="180"/>
      <c r="H704" s="392">
        <v>70435</v>
      </c>
      <c r="I704" s="142" t="s">
        <v>421</v>
      </c>
      <c r="J704" s="393">
        <v>500000</v>
      </c>
      <c r="K704" s="627"/>
      <c r="L704" s="394"/>
      <c r="M704" s="394" t="s">
        <v>5133</v>
      </c>
      <c r="N704" s="228"/>
      <c r="O704" s="180" t="s">
        <v>2020</v>
      </c>
    </row>
    <row r="705" spans="1:15" ht="86.25" customHeight="1" x14ac:dyDescent="0.35">
      <c r="A705" s="180" t="s">
        <v>2080</v>
      </c>
      <c r="B705" s="463" t="s">
        <v>2021</v>
      </c>
      <c r="C705" s="290" t="s">
        <v>2121</v>
      </c>
      <c r="D705" s="392" t="s">
        <v>4</v>
      </c>
      <c r="E705" s="180" t="s">
        <v>912</v>
      </c>
      <c r="F705" s="392" t="s">
        <v>998</v>
      </c>
      <c r="G705" s="180"/>
      <c r="H705" s="392">
        <v>70435</v>
      </c>
      <c r="I705" s="142" t="s">
        <v>421</v>
      </c>
      <c r="J705" s="393">
        <v>2000000</v>
      </c>
      <c r="K705" s="627"/>
      <c r="L705" s="394"/>
      <c r="M705" s="394" t="s">
        <v>5133</v>
      </c>
      <c r="N705" s="228">
        <v>200000000</v>
      </c>
      <c r="O705" s="180" t="s">
        <v>2021</v>
      </c>
    </row>
    <row r="706" spans="1:15" ht="66.75" customHeight="1" x14ac:dyDescent="0.35">
      <c r="A706" s="180" t="s">
        <v>2081</v>
      </c>
      <c r="B706" s="463" t="s">
        <v>2022</v>
      </c>
      <c r="C706" s="290" t="s">
        <v>498</v>
      </c>
      <c r="D706" s="392" t="s">
        <v>4</v>
      </c>
      <c r="E706" s="180" t="s">
        <v>912</v>
      </c>
      <c r="F706" s="392" t="s">
        <v>998</v>
      </c>
      <c r="G706" s="180"/>
      <c r="H706" s="392">
        <v>70435</v>
      </c>
      <c r="I706" s="142" t="s">
        <v>421</v>
      </c>
      <c r="J706" s="393">
        <v>300000</v>
      </c>
      <c r="K706" s="627"/>
      <c r="L706" s="394"/>
      <c r="M706" s="394" t="s">
        <v>5133</v>
      </c>
      <c r="N706" s="228">
        <v>50000000</v>
      </c>
      <c r="O706" s="180" t="s">
        <v>2022</v>
      </c>
    </row>
    <row r="707" spans="1:15" ht="57.75" customHeight="1" x14ac:dyDescent="0.35">
      <c r="A707" s="180" t="s">
        <v>2082</v>
      </c>
      <c r="B707" s="463" t="s">
        <v>2023</v>
      </c>
      <c r="C707" s="290" t="s">
        <v>2122</v>
      </c>
      <c r="D707" s="392" t="s">
        <v>4</v>
      </c>
      <c r="E707" s="180" t="s">
        <v>912</v>
      </c>
      <c r="F707" s="392" t="s">
        <v>2112</v>
      </c>
      <c r="G707" s="180"/>
      <c r="H707" s="392">
        <v>70435</v>
      </c>
      <c r="I707" s="142" t="s">
        <v>421</v>
      </c>
      <c r="J707" s="393">
        <v>4000000</v>
      </c>
      <c r="K707" s="627"/>
      <c r="L707" s="394"/>
      <c r="M707" s="394" t="s">
        <v>5133</v>
      </c>
      <c r="N707" s="228"/>
      <c r="O707" s="180" t="s">
        <v>2023</v>
      </c>
    </row>
    <row r="708" spans="1:15" ht="57" customHeight="1" x14ac:dyDescent="0.35">
      <c r="A708" s="180" t="s">
        <v>2083</v>
      </c>
      <c r="B708" s="463" t="s">
        <v>2024</v>
      </c>
      <c r="C708" s="290" t="s">
        <v>2123</v>
      </c>
      <c r="D708" s="392" t="s">
        <v>4</v>
      </c>
      <c r="E708" s="180" t="s">
        <v>912</v>
      </c>
      <c r="F708" s="392" t="s">
        <v>998</v>
      </c>
      <c r="G708" s="180"/>
      <c r="H708" s="392">
        <v>70435</v>
      </c>
      <c r="I708" s="142" t="s">
        <v>421</v>
      </c>
      <c r="J708" s="393">
        <v>3147986.5</v>
      </c>
      <c r="K708" s="627"/>
      <c r="L708" s="394"/>
      <c r="M708" s="394" t="s">
        <v>5133</v>
      </c>
      <c r="N708" s="228"/>
      <c r="O708" s="180" t="s">
        <v>2024</v>
      </c>
    </row>
    <row r="709" spans="1:15" ht="77.25" customHeight="1" x14ac:dyDescent="0.35">
      <c r="A709" s="180" t="s">
        <v>2084</v>
      </c>
      <c r="B709" s="463" t="s">
        <v>2025</v>
      </c>
      <c r="C709" s="290" t="s">
        <v>418</v>
      </c>
      <c r="D709" s="392" t="s">
        <v>4</v>
      </c>
      <c r="E709" s="180" t="s">
        <v>912</v>
      </c>
      <c r="F709" s="392" t="s">
        <v>998</v>
      </c>
      <c r="G709" s="180"/>
      <c r="H709" s="392">
        <v>70435</v>
      </c>
      <c r="I709" s="142" t="s">
        <v>421</v>
      </c>
      <c r="J709" s="393">
        <v>500000</v>
      </c>
      <c r="K709" s="627"/>
      <c r="L709" s="394"/>
      <c r="M709" s="394" t="s">
        <v>5133</v>
      </c>
      <c r="N709" s="228"/>
      <c r="O709" s="180" t="s">
        <v>2025</v>
      </c>
    </row>
    <row r="710" spans="1:15" ht="66" customHeight="1" x14ac:dyDescent="0.35">
      <c r="A710" s="180" t="s">
        <v>2085</v>
      </c>
      <c r="B710" s="463" t="s">
        <v>2026</v>
      </c>
      <c r="C710" s="290" t="s">
        <v>2124</v>
      </c>
      <c r="D710" s="392" t="s">
        <v>4</v>
      </c>
      <c r="E710" s="180" t="s">
        <v>912</v>
      </c>
      <c r="F710" s="392" t="s">
        <v>998</v>
      </c>
      <c r="G710" s="180"/>
      <c r="H710" s="392">
        <v>70435</v>
      </c>
      <c r="I710" s="142" t="s">
        <v>421</v>
      </c>
      <c r="J710" s="393">
        <v>900000</v>
      </c>
      <c r="K710" s="627"/>
      <c r="L710" s="394"/>
      <c r="M710" s="394" t="s">
        <v>5133</v>
      </c>
      <c r="N710" s="228"/>
      <c r="O710" s="180" t="s">
        <v>2026</v>
      </c>
    </row>
    <row r="711" spans="1:15" ht="65.25" customHeight="1" x14ac:dyDescent="0.35">
      <c r="A711" s="180" t="s">
        <v>2086</v>
      </c>
      <c r="B711" s="463" t="s">
        <v>2027</v>
      </c>
      <c r="C711" s="290" t="s">
        <v>2125</v>
      </c>
      <c r="D711" s="392" t="s">
        <v>4</v>
      </c>
      <c r="E711" s="180" t="s">
        <v>912</v>
      </c>
      <c r="F711" s="392" t="s">
        <v>998</v>
      </c>
      <c r="G711" s="180"/>
      <c r="H711" s="392">
        <v>70435</v>
      </c>
      <c r="I711" s="142" t="s">
        <v>421</v>
      </c>
      <c r="J711" s="393">
        <v>500000</v>
      </c>
      <c r="K711" s="627"/>
      <c r="L711" s="394"/>
      <c r="M711" s="394" t="s">
        <v>5133</v>
      </c>
      <c r="N711" s="228"/>
      <c r="O711" s="180" t="s">
        <v>2027</v>
      </c>
    </row>
    <row r="712" spans="1:15" ht="60" customHeight="1" x14ac:dyDescent="0.35">
      <c r="A712" s="180" t="s">
        <v>2087</v>
      </c>
      <c r="B712" s="463" t="s">
        <v>2028</v>
      </c>
      <c r="C712" s="290" t="s">
        <v>391</v>
      </c>
      <c r="D712" s="392" t="s">
        <v>4</v>
      </c>
      <c r="E712" s="180" t="s">
        <v>912</v>
      </c>
      <c r="F712" s="392" t="s">
        <v>998</v>
      </c>
      <c r="G712" s="180"/>
      <c r="H712" s="392">
        <v>70435</v>
      </c>
      <c r="I712" s="142" t="s">
        <v>421</v>
      </c>
      <c r="J712" s="393">
        <v>2000000</v>
      </c>
      <c r="K712" s="627"/>
      <c r="L712" s="394"/>
      <c r="M712" s="394" t="s">
        <v>5133</v>
      </c>
      <c r="N712" s="228"/>
      <c r="O712" s="180" t="s">
        <v>2028</v>
      </c>
    </row>
    <row r="713" spans="1:15" ht="60.75" customHeight="1" x14ac:dyDescent="0.35">
      <c r="A713" s="180" t="s">
        <v>2088</v>
      </c>
      <c r="B713" s="463" t="s">
        <v>2029</v>
      </c>
      <c r="C713" s="290" t="s">
        <v>2126</v>
      </c>
      <c r="D713" s="392" t="s">
        <v>4</v>
      </c>
      <c r="E713" s="180" t="s">
        <v>912</v>
      </c>
      <c r="F713" s="392" t="s">
        <v>998</v>
      </c>
      <c r="G713" s="180"/>
      <c r="H713" s="392">
        <v>70435</v>
      </c>
      <c r="I713" s="142" t="s">
        <v>421</v>
      </c>
      <c r="J713" s="393">
        <v>6000000</v>
      </c>
      <c r="K713" s="627"/>
      <c r="L713" s="394"/>
      <c r="M713" s="394" t="s">
        <v>5133</v>
      </c>
      <c r="N713" s="228"/>
      <c r="O713" s="180" t="s">
        <v>2029</v>
      </c>
    </row>
    <row r="714" spans="1:15" ht="65.25" customHeight="1" x14ac:dyDescent="0.35">
      <c r="A714" s="180" t="s">
        <v>2089</v>
      </c>
      <c r="B714" s="463" t="s">
        <v>2030</v>
      </c>
      <c r="C714" s="290" t="s">
        <v>2127</v>
      </c>
      <c r="D714" s="392" t="s">
        <v>4</v>
      </c>
      <c r="E714" s="180" t="s">
        <v>912</v>
      </c>
      <c r="F714" s="392" t="s">
        <v>998</v>
      </c>
      <c r="G714" s="180"/>
      <c r="H714" s="392">
        <v>70435</v>
      </c>
      <c r="I714" s="142" t="s">
        <v>421</v>
      </c>
      <c r="J714" s="393">
        <v>400000</v>
      </c>
      <c r="K714" s="627"/>
      <c r="L714" s="394"/>
      <c r="M714" s="394" t="s">
        <v>5133</v>
      </c>
      <c r="N714" s="228"/>
      <c r="O714" s="180" t="s">
        <v>2030</v>
      </c>
    </row>
    <row r="715" spans="1:15" ht="62.25" customHeight="1" x14ac:dyDescent="0.35">
      <c r="A715" s="180" t="s">
        <v>2090</v>
      </c>
      <c r="B715" s="463" t="s">
        <v>2031</v>
      </c>
      <c r="C715" s="290" t="s">
        <v>800</v>
      </c>
      <c r="D715" s="392" t="s">
        <v>4</v>
      </c>
      <c r="E715" s="180" t="s">
        <v>912</v>
      </c>
      <c r="F715" s="392" t="s">
        <v>998</v>
      </c>
      <c r="G715" s="180"/>
      <c r="H715" s="392">
        <v>70435</v>
      </c>
      <c r="I715" s="142" t="s">
        <v>421</v>
      </c>
      <c r="J715" s="393">
        <v>5000000</v>
      </c>
      <c r="K715" s="627"/>
      <c r="L715" s="394"/>
      <c r="M715" s="394" t="s">
        <v>5133</v>
      </c>
      <c r="N715" s="228"/>
      <c r="O715" s="180" t="s">
        <v>2031</v>
      </c>
    </row>
    <row r="716" spans="1:15" ht="61.5" customHeight="1" x14ac:dyDescent="0.35">
      <c r="A716" s="180" t="s">
        <v>2091</v>
      </c>
      <c r="B716" s="463" t="s">
        <v>2032</v>
      </c>
      <c r="C716" s="290" t="s">
        <v>2128</v>
      </c>
      <c r="D716" s="392" t="s">
        <v>4</v>
      </c>
      <c r="E716" s="180" t="s">
        <v>912</v>
      </c>
      <c r="F716" s="392" t="s">
        <v>998</v>
      </c>
      <c r="G716" s="180"/>
      <c r="H716" s="392">
        <v>70435</v>
      </c>
      <c r="I716" s="142" t="s">
        <v>421</v>
      </c>
      <c r="J716" s="393">
        <v>1000000</v>
      </c>
      <c r="K716" s="627"/>
      <c r="L716" s="394"/>
      <c r="M716" s="394" t="s">
        <v>5133</v>
      </c>
      <c r="N716" s="228"/>
      <c r="O716" s="180" t="s">
        <v>2032</v>
      </c>
    </row>
    <row r="717" spans="1:15" ht="72.75" customHeight="1" x14ac:dyDescent="0.35">
      <c r="A717" s="180" t="s">
        <v>2092</v>
      </c>
      <c r="B717" s="463" t="s">
        <v>2033</v>
      </c>
      <c r="C717" s="290" t="s">
        <v>2129</v>
      </c>
      <c r="D717" s="392" t="s">
        <v>4</v>
      </c>
      <c r="E717" s="180" t="s">
        <v>912</v>
      </c>
      <c r="F717" s="392" t="s">
        <v>998</v>
      </c>
      <c r="G717" s="180"/>
      <c r="H717" s="392">
        <v>70435</v>
      </c>
      <c r="I717" s="142" t="s">
        <v>421</v>
      </c>
      <c r="J717" s="393">
        <v>1000000</v>
      </c>
      <c r="K717" s="627"/>
      <c r="L717" s="394"/>
      <c r="M717" s="394" t="s">
        <v>5133</v>
      </c>
      <c r="N717" s="228"/>
      <c r="O717" s="180" t="s">
        <v>2033</v>
      </c>
    </row>
    <row r="718" spans="1:15" ht="61.5" customHeight="1" x14ac:dyDescent="0.35">
      <c r="A718" s="180" t="s">
        <v>2093</v>
      </c>
      <c r="B718" s="463" t="s">
        <v>2034</v>
      </c>
      <c r="C718" s="290" t="s">
        <v>1648</v>
      </c>
      <c r="D718" s="392" t="s">
        <v>4</v>
      </c>
      <c r="E718" s="180" t="s">
        <v>912</v>
      </c>
      <c r="F718" s="392" t="s">
        <v>998</v>
      </c>
      <c r="G718" s="180"/>
      <c r="H718" s="392">
        <v>70435</v>
      </c>
      <c r="I718" s="142" t="s">
        <v>421</v>
      </c>
      <c r="J718" s="393">
        <v>950000</v>
      </c>
      <c r="K718" s="627"/>
      <c r="L718" s="394"/>
      <c r="M718" s="394" t="s">
        <v>5133</v>
      </c>
      <c r="N718" s="394"/>
      <c r="O718" s="180" t="s">
        <v>2034</v>
      </c>
    </row>
    <row r="719" spans="1:15" ht="66.75" customHeight="1" x14ac:dyDescent="0.35">
      <c r="A719" s="180" t="s">
        <v>2094</v>
      </c>
      <c r="B719" s="463" t="s">
        <v>2035</v>
      </c>
      <c r="C719" s="290" t="s">
        <v>409</v>
      </c>
      <c r="D719" s="392" t="s">
        <v>4</v>
      </c>
      <c r="E719" s="180" t="s">
        <v>912</v>
      </c>
      <c r="F719" s="392" t="s">
        <v>998</v>
      </c>
      <c r="G719" s="180"/>
      <c r="H719" s="392">
        <v>70435</v>
      </c>
      <c r="I719" s="142" t="s">
        <v>421</v>
      </c>
      <c r="J719" s="393">
        <v>200000</v>
      </c>
      <c r="K719" s="627"/>
      <c r="L719" s="394"/>
      <c r="M719" s="394" t="s">
        <v>5133</v>
      </c>
      <c r="N719" s="394"/>
      <c r="O719" s="180" t="s">
        <v>2035</v>
      </c>
    </row>
    <row r="720" spans="1:15" ht="54" customHeight="1" x14ac:dyDescent="0.35">
      <c r="A720" s="180" t="s">
        <v>2095</v>
      </c>
      <c r="B720" s="463" t="s">
        <v>2036</v>
      </c>
      <c r="C720" s="290">
        <v>426</v>
      </c>
      <c r="D720" s="392" t="s">
        <v>4</v>
      </c>
      <c r="E720" s="180" t="s">
        <v>912</v>
      </c>
      <c r="F720" s="392" t="s">
        <v>998</v>
      </c>
      <c r="G720" s="180"/>
      <c r="H720" s="392">
        <v>70435</v>
      </c>
      <c r="I720" s="142" t="s">
        <v>421</v>
      </c>
      <c r="J720" s="393">
        <v>56000000</v>
      </c>
      <c r="K720" s="627"/>
      <c r="L720" s="394"/>
      <c r="M720" s="394" t="s">
        <v>5133</v>
      </c>
      <c r="N720" s="394"/>
      <c r="O720" s="180" t="s">
        <v>2036</v>
      </c>
    </row>
    <row r="721" spans="1:15" ht="66.75" customHeight="1" x14ac:dyDescent="0.35">
      <c r="A721" s="180" t="s">
        <v>2096</v>
      </c>
      <c r="B721" s="463" t="s">
        <v>2037</v>
      </c>
      <c r="C721" s="290" t="s">
        <v>2130</v>
      </c>
      <c r="D721" s="392" t="s">
        <v>4</v>
      </c>
      <c r="E721" s="180" t="s">
        <v>912</v>
      </c>
      <c r="F721" s="392" t="s">
        <v>998</v>
      </c>
      <c r="G721" s="180"/>
      <c r="H721" s="392">
        <v>70435</v>
      </c>
      <c r="I721" s="142" t="s">
        <v>421</v>
      </c>
      <c r="J721" s="393">
        <v>50000</v>
      </c>
      <c r="K721" s="627"/>
      <c r="L721" s="394"/>
      <c r="M721" s="394" t="s">
        <v>5133</v>
      </c>
      <c r="N721" s="394"/>
      <c r="O721" s="180" t="s">
        <v>2037</v>
      </c>
    </row>
    <row r="722" spans="1:15" ht="60" customHeight="1" x14ac:dyDescent="0.35">
      <c r="A722" s="180" t="s">
        <v>2097</v>
      </c>
      <c r="B722" s="463" t="s">
        <v>2038</v>
      </c>
      <c r="C722" s="290" t="s">
        <v>194</v>
      </c>
      <c r="D722" s="392" t="s">
        <v>4</v>
      </c>
      <c r="E722" s="180" t="s">
        <v>912</v>
      </c>
      <c r="F722" s="392" t="s">
        <v>998</v>
      </c>
      <c r="G722" s="180"/>
      <c r="H722" s="392">
        <v>70435</v>
      </c>
      <c r="I722" s="142" t="s">
        <v>421</v>
      </c>
      <c r="J722" s="393">
        <v>63888</v>
      </c>
      <c r="K722" s="627"/>
      <c r="L722" s="394"/>
      <c r="M722" s="394" t="s">
        <v>5133</v>
      </c>
      <c r="N722" s="394"/>
      <c r="O722" s="180" t="s">
        <v>2038</v>
      </c>
    </row>
    <row r="723" spans="1:15" ht="60" customHeight="1" x14ac:dyDescent="0.35">
      <c r="A723" s="180" t="s">
        <v>2098</v>
      </c>
      <c r="B723" s="463" t="s">
        <v>2039</v>
      </c>
      <c r="C723" s="290" t="s">
        <v>191</v>
      </c>
      <c r="D723" s="392" t="s">
        <v>4</v>
      </c>
      <c r="E723" s="180" t="s">
        <v>912</v>
      </c>
      <c r="F723" s="392" t="s">
        <v>998</v>
      </c>
      <c r="G723" s="180"/>
      <c r="H723" s="392">
        <v>70435</v>
      </c>
      <c r="I723" s="142" t="s">
        <v>421</v>
      </c>
      <c r="J723" s="393">
        <v>50000</v>
      </c>
      <c r="K723" s="627"/>
      <c r="L723" s="394"/>
      <c r="M723" s="394" t="s">
        <v>5133</v>
      </c>
      <c r="N723" s="394"/>
      <c r="O723" s="180" t="s">
        <v>2039</v>
      </c>
    </row>
    <row r="724" spans="1:15" ht="57.75" customHeight="1" x14ac:dyDescent="0.35">
      <c r="A724" s="180" t="s">
        <v>2099</v>
      </c>
      <c r="B724" s="463" t="s">
        <v>2040</v>
      </c>
      <c r="C724" s="290" t="s">
        <v>622</v>
      </c>
      <c r="D724" s="392" t="s">
        <v>4</v>
      </c>
      <c r="E724" s="180" t="s">
        <v>912</v>
      </c>
      <c r="F724" s="392" t="s">
        <v>998</v>
      </c>
      <c r="G724" s="180"/>
      <c r="H724" s="392">
        <v>70435</v>
      </c>
      <c r="I724" s="142" t="s">
        <v>421</v>
      </c>
      <c r="J724" s="393">
        <v>3500000</v>
      </c>
      <c r="K724" s="627"/>
      <c r="L724" s="394"/>
      <c r="M724" s="394" t="s">
        <v>5133</v>
      </c>
      <c r="N724" s="394"/>
      <c r="O724" s="180" t="s">
        <v>2040</v>
      </c>
    </row>
    <row r="725" spans="1:15" ht="57.75" customHeight="1" x14ac:dyDescent="0.35">
      <c r="A725" s="180" t="s">
        <v>2100</v>
      </c>
      <c r="B725" s="463" t="s">
        <v>2041</v>
      </c>
      <c r="C725" s="290" t="s">
        <v>2131</v>
      </c>
      <c r="D725" s="392" t="s">
        <v>4</v>
      </c>
      <c r="E725" s="180" t="s">
        <v>912</v>
      </c>
      <c r="F725" s="392" t="s">
        <v>998</v>
      </c>
      <c r="G725" s="180"/>
      <c r="H725" s="392">
        <v>70435</v>
      </c>
      <c r="I725" s="142" t="s">
        <v>421</v>
      </c>
      <c r="J725" s="393">
        <v>50000</v>
      </c>
      <c r="K725" s="627"/>
      <c r="L725" s="394"/>
      <c r="M725" s="394" t="s">
        <v>5133</v>
      </c>
      <c r="N725" s="394"/>
      <c r="O725" s="180" t="s">
        <v>2041</v>
      </c>
    </row>
    <row r="726" spans="1:15" ht="72.75" customHeight="1" x14ac:dyDescent="0.35">
      <c r="A726" s="180" t="s">
        <v>2101</v>
      </c>
      <c r="B726" s="463" t="s">
        <v>2042</v>
      </c>
      <c r="C726" s="290" t="s">
        <v>2132</v>
      </c>
      <c r="D726" s="392" t="s">
        <v>4</v>
      </c>
      <c r="E726" s="180" t="s">
        <v>912</v>
      </c>
      <c r="F726" s="392" t="s">
        <v>998</v>
      </c>
      <c r="G726" s="180"/>
      <c r="H726" s="392">
        <v>70435</v>
      </c>
      <c r="I726" s="142" t="s">
        <v>421</v>
      </c>
      <c r="J726" s="393">
        <v>50000</v>
      </c>
      <c r="K726" s="627"/>
      <c r="L726" s="394"/>
      <c r="M726" s="394" t="s">
        <v>5133</v>
      </c>
      <c r="N726" s="394"/>
      <c r="O726" s="180" t="s">
        <v>2042</v>
      </c>
    </row>
    <row r="727" spans="1:15" ht="67.5" customHeight="1" x14ac:dyDescent="0.35">
      <c r="A727" s="180" t="s">
        <v>2102</v>
      </c>
      <c r="B727" s="463" t="s">
        <v>2043</v>
      </c>
      <c r="C727" s="290" t="s">
        <v>2133</v>
      </c>
      <c r="D727" s="392" t="s">
        <v>4</v>
      </c>
      <c r="E727" s="180" t="s">
        <v>912</v>
      </c>
      <c r="F727" s="392" t="s">
        <v>998</v>
      </c>
      <c r="G727" s="180"/>
      <c r="H727" s="392">
        <v>70435</v>
      </c>
      <c r="I727" s="142" t="s">
        <v>421</v>
      </c>
      <c r="J727" s="393">
        <v>50000</v>
      </c>
      <c r="K727" s="627"/>
      <c r="L727" s="394"/>
      <c r="M727" s="394" t="s">
        <v>5133</v>
      </c>
      <c r="N727" s="394"/>
      <c r="O727" s="180" t="s">
        <v>2043</v>
      </c>
    </row>
    <row r="728" spans="1:15" ht="63" customHeight="1" x14ac:dyDescent="0.35">
      <c r="A728" s="180" t="s">
        <v>2103</v>
      </c>
      <c r="B728" s="463" t="s">
        <v>2044</v>
      </c>
      <c r="C728" s="290" t="s">
        <v>2134</v>
      </c>
      <c r="D728" s="392" t="s">
        <v>4</v>
      </c>
      <c r="E728" s="180" t="s">
        <v>912</v>
      </c>
      <c r="F728" s="392" t="s">
        <v>998</v>
      </c>
      <c r="G728" s="180"/>
      <c r="H728" s="392">
        <v>70435</v>
      </c>
      <c r="I728" s="142" t="s">
        <v>421</v>
      </c>
      <c r="J728" s="393">
        <v>50000</v>
      </c>
      <c r="K728" s="627"/>
      <c r="L728" s="394"/>
      <c r="M728" s="394" t="s">
        <v>5133</v>
      </c>
      <c r="N728" s="394"/>
      <c r="O728" s="180" t="s">
        <v>2044</v>
      </c>
    </row>
    <row r="729" spans="1:15" ht="57.75" customHeight="1" x14ac:dyDescent="0.35">
      <c r="A729" s="180" t="s">
        <v>2104</v>
      </c>
      <c r="B729" s="463" t="s">
        <v>2045</v>
      </c>
      <c r="C729" s="290" t="s">
        <v>1687</v>
      </c>
      <c r="D729" s="392" t="s">
        <v>4</v>
      </c>
      <c r="E729" s="180" t="s">
        <v>912</v>
      </c>
      <c r="F729" s="392" t="s">
        <v>998</v>
      </c>
      <c r="G729" s="180"/>
      <c r="H729" s="392">
        <v>70435</v>
      </c>
      <c r="I729" s="142" t="s">
        <v>421</v>
      </c>
      <c r="J729" s="393">
        <v>50000</v>
      </c>
      <c r="K729" s="627"/>
      <c r="L729" s="394"/>
      <c r="M729" s="394" t="s">
        <v>5133</v>
      </c>
      <c r="N729" s="394"/>
      <c r="O729" s="180" t="s">
        <v>2045</v>
      </c>
    </row>
    <row r="730" spans="1:15" ht="57.75" customHeight="1" x14ac:dyDescent="0.35">
      <c r="A730" s="180" t="s">
        <v>2105</v>
      </c>
      <c r="B730" s="463" t="s">
        <v>2046</v>
      </c>
      <c r="C730" s="290" t="s">
        <v>799</v>
      </c>
      <c r="D730" s="392" t="s">
        <v>4</v>
      </c>
      <c r="E730" s="180" t="s">
        <v>912</v>
      </c>
      <c r="F730" s="392" t="s">
        <v>998</v>
      </c>
      <c r="G730" s="180"/>
      <c r="H730" s="392">
        <v>70435</v>
      </c>
      <c r="I730" s="142" t="s">
        <v>421</v>
      </c>
      <c r="J730" s="393">
        <v>50000</v>
      </c>
      <c r="K730" s="627"/>
      <c r="L730" s="394"/>
      <c r="M730" s="394" t="s">
        <v>5133</v>
      </c>
      <c r="N730" s="394"/>
      <c r="O730" s="180" t="s">
        <v>2046</v>
      </c>
    </row>
    <row r="731" spans="1:15" ht="61.5" customHeight="1" x14ac:dyDescent="0.35">
      <c r="A731" s="180" t="s">
        <v>2106</v>
      </c>
      <c r="B731" s="463" t="s">
        <v>2047</v>
      </c>
      <c r="C731" s="290" t="s">
        <v>379</v>
      </c>
      <c r="D731" s="392" t="s">
        <v>4</v>
      </c>
      <c r="E731" s="180" t="s">
        <v>912</v>
      </c>
      <c r="F731" s="392" t="s">
        <v>998</v>
      </c>
      <c r="G731" s="180"/>
      <c r="H731" s="392">
        <v>70435</v>
      </c>
      <c r="I731" s="142" t="s">
        <v>421</v>
      </c>
      <c r="J731" s="393">
        <v>50000</v>
      </c>
      <c r="K731" s="627"/>
      <c r="L731" s="394"/>
      <c r="M731" s="394" t="s">
        <v>5133</v>
      </c>
      <c r="N731" s="394"/>
      <c r="O731" s="180" t="s">
        <v>2047</v>
      </c>
    </row>
    <row r="732" spans="1:15" ht="57.75" customHeight="1" x14ac:dyDescent="0.35">
      <c r="A732" s="180" t="s">
        <v>2107</v>
      </c>
      <c r="B732" s="463" t="s">
        <v>2048</v>
      </c>
      <c r="C732" s="290" t="s">
        <v>2135</v>
      </c>
      <c r="D732" s="392" t="s">
        <v>4</v>
      </c>
      <c r="E732" s="180" t="s">
        <v>912</v>
      </c>
      <c r="F732" s="392" t="s">
        <v>998</v>
      </c>
      <c r="G732" s="180"/>
      <c r="H732" s="392">
        <v>70435</v>
      </c>
      <c r="I732" s="142" t="s">
        <v>421</v>
      </c>
      <c r="J732" s="393">
        <v>300000</v>
      </c>
      <c r="K732" s="627"/>
      <c r="L732" s="394"/>
      <c r="M732" s="394" t="s">
        <v>5133</v>
      </c>
      <c r="N732" s="394"/>
      <c r="O732" s="180" t="s">
        <v>2048</v>
      </c>
    </row>
    <row r="733" spans="1:15" ht="57.75" customHeight="1" x14ac:dyDescent="0.35">
      <c r="A733" s="180" t="s">
        <v>2108</v>
      </c>
      <c r="B733" s="463" t="s">
        <v>2049</v>
      </c>
      <c r="C733" s="290" t="s">
        <v>648</v>
      </c>
      <c r="D733" s="392" t="s">
        <v>4</v>
      </c>
      <c r="E733" s="180" t="s">
        <v>912</v>
      </c>
      <c r="F733" s="392" t="s">
        <v>998</v>
      </c>
      <c r="G733" s="180"/>
      <c r="H733" s="392">
        <v>70435</v>
      </c>
      <c r="I733" s="142" t="s">
        <v>421</v>
      </c>
      <c r="J733" s="393">
        <v>300000</v>
      </c>
      <c r="K733" s="627"/>
      <c r="L733" s="394"/>
      <c r="M733" s="394" t="s">
        <v>5133</v>
      </c>
      <c r="N733" s="394"/>
      <c r="O733" s="180" t="s">
        <v>2049</v>
      </c>
    </row>
    <row r="734" spans="1:15" ht="57.75" customHeight="1" x14ac:dyDescent="0.35">
      <c r="A734" s="180" t="s">
        <v>2109</v>
      </c>
      <c r="B734" s="463" t="s">
        <v>4865</v>
      </c>
      <c r="C734" s="290" t="s">
        <v>2136</v>
      </c>
      <c r="D734" s="392" t="s">
        <v>4</v>
      </c>
      <c r="E734" s="180" t="s">
        <v>912</v>
      </c>
      <c r="F734" s="392" t="s">
        <v>998</v>
      </c>
      <c r="G734" s="180"/>
      <c r="H734" s="392">
        <v>70435</v>
      </c>
      <c r="I734" s="142" t="s">
        <v>421</v>
      </c>
      <c r="J734" s="393">
        <f>300000+29700000</f>
        <v>30000000</v>
      </c>
      <c r="K734" s="627"/>
      <c r="L734" s="394"/>
      <c r="M734" s="394" t="s">
        <v>5133</v>
      </c>
      <c r="N734" s="394"/>
      <c r="O734" s="180" t="s">
        <v>2050</v>
      </c>
    </row>
    <row r="735" spans="1:15" ht="57.75" customHeight="1" x14ac:dyDescent="0.35">
      <c r="A735" s="180" t="s">
        <v>2110</v>
      </c>
      <c r="B735" s="463" t="s">
        <v>2051</v>
      </c>
      <c r="C735" s="290" t="s">
        <v>2137</v>
      </c>
      <c r="D735" s="392" t="s">
        <v>4</v>
      </c>
      <c r="E735" s="180" t="s">
        <v>912</v>
      </c>
      <c r="F735" s="392" t="s">
        <v>998</v>
      </c>
      <c r="G735" s="180"/>
      <c r="H735" s="392">
        <v>70435</v>
      </c>
      <c r="I735" s="142" t="s">
        <v>421</v>
      </c>
      <c r="J735" s="393">
        <v>200000</v>
      </c>
      <c r="K735" s="627"/>
      <c r="L735" s="394"/>
      <c r="M735" s="394" t="s">
        <v>5133</v>
      </c>
      <c r="N735" s="394"/>
      <c r="O735" s="180" t="s">
        <v>2051</v>
      </c>
    </row>
    <row r="736" spans="1:15" ht="32.25" customHeight="1" x14ac:dyDescent="0.35">
      <c r="A736" s="180" t="s">
        <v>2111</v>
      </c>
      <c r="B736" s="463" t="s">
        <v>2052</v>
      </c>
      <c r="C736" s="290">
        <v>426</v>
      </c>
      <c r="D736" s="392" t="s">
        <v>4</v>
      </c>
      <c r="E736" s="180" t="s">
        <v>912</v>
      </c>
      <c r="F736" s="392" t="s">
        <v>54</v>
      </c>
      <c r="G736" s="180"/>
      <c r="H736" s="392">
        <v>70435</v>
      </c>
      <c r="I736" s="142" t="s">
        <v>900</v>
      </c>
      <c r="J736" s="393">
        <v>8000000</v>
      </c>
      <c r="K736" s="627">
        <v>2000000</v>
      </c>
      <c r="L736" s="394"/>
      <c r="M736" s="394" t="s">
        <v>5133</v>
      </c>
      <c r="N736" s="394">
        <v>20000000</v>
      </c>
      <c r="O736" s="180" t="s">
        <v>2052</v>
      </c>
    </row>
    <row r="737" spans="1:15" ht="30.75" customHeight="1" x14ac:dyDescent="0.35">
      <c r="A737" s="180" t="s">
        <v>4861</v>
      </c>
      <c r="B737" s="463" t="s">
        <v>60</v>
      </c>
      <c r="C737" s="290"/>
      <c r="D737" s="392"/>
      <c r="E737" s="180"/>
      <c r="F737" s="392"/>
      <c r="G737" s="180"/>
      <c r="H737" s="392"/>
      <c r="I737" s="142"/>
      <c r="J737" s="393"/>
      <c r="K737" s="627">
        <v>3000000</v>
      </c>
      <c r="L737" s="394"/>
      <c r="M737" s="394" t="s">
        <v>5133</v>
      </c>
      <c r="N737" s="394"/>
      <c r="O737" s="180"/>
    </row>
    <row r="738" spans="1:15" ht="46.5" customHeight="1" x14ac:dyDescent="0.35">
      <c r="A738" s="180" t="s">
        <v>4950</v>
      </c>
      <c r="B738" s="463" t="s">
        <v>4860</v>
      </c>
      <c r="C738" s="290">
        <v>426</v>
      </c>
      <c r="D738" s="392" t="s">
        <v>4</v>
      </c>
      <c r="E738" s="180" t="s">
        <v>912</v>
      </c>
      <c r="F738" s="392" t="s">
        <v>54</v>
      </c>
      <c r="G738" s="180"/>
      <c r="H738" s="392">
        <v>70435</v>
      </c>
      <c r="I738" s="142" t="s">
        <v>900</v>
      </c>
      <c r="J738" s="393">
        <v>50000000</v>
      </c>
      <c r="K738" s="627">
        <v>42174545</v>
      </c>
      <c r="L738" s="394"/>
      <c r="M738" s="394" t="s">
        <v>5133</v>
      </c>
      <c r="N738" s="394"/>
      <c r="O738" s="180"/>
    </row>
    <row r="739" spans="1:15" ht="37.5" customHeight="1" x14ac:dyDescent="0.35">
      <c r="A739" s="332"/>
      <c r="B739" s="360" t="s">
        <v>1008</v>
      </c>
      <c r="C739" s="175"/>
      <c r="D739" s="257"/>
      <c r="E739" s="237"/>
      <c r="F739" s="163"/>
      <c r="G739" s="176"/>
      <c r="H739" s="171"/>
      <c r="I739" s="176"/>
      <c r="J739" s="177">
        <f>SUM(J677:J738)</f>
        <v>279972981.75</v>
      </c>
      <c r="K739" s="177">
        <f>SUM(K677:K738)</f>
        <v>97174545</v>
      </c>
      <c r="L739" s="189"/>
      <c r="M739" s="189"/>
      <c r="N739" s="177">
        <f>SUM(N677:N736)</f>
        <v>665396212.92999995</v>
      </c>
      <c r="O739" s="178" t="s">
        <v>1008</v>
      </c>
    </row>
    <row r="740" spans="1:15" ht="37.5" customHeight="1" x14ac:dyDescent="0.35">
      <c r="A740" s="286"/>
      <c r="B740" s="492"/>
      <c r="C740" s="333"/>
      <c r="D740" s="339"/>
      <c r="E740" s="330"/>
      <c r="F740" s="283"/>
      <c r="G740" s="334"/>
      <c r="H740" s="159"/>
      <c r="I740" s="334"/>
      <c r="J740" s="335"/>
      <c r="K740" s="458"/>
      <c r="L740" s="704"/>
      <c r="M740" s="704"/>
      <c r="N740" s="335"/>
      <c r="O740" s="158"/>
    </row>
    <row r="741" spans="1:15" ht="29.25" hidden="1" customHeight="1" x14ac:dyDescent="0.35">
      <c r="A741" s="401" t="s">
        <v>499</v>
      </c>
      <c r="B741" s="716"/>
      <c r="C741" s="402"/>
      <c r="D741" s="403"/>
      <c r="E741" s="404"/>
      <c r="F741" s="403"/>
      <c r="G741" s="404"/>
      <c r="H741" s="403"/>
      <c r="I741" s="404"/>
      <c r="J741" s="405"/>
      <c r="K741" s="458"/>
      <c r="L741" s="704"/>
      <c r="M741" s="704"/>
      <c r="N741" s="405"/>
      <c r="O741" s="600"/>
    </row>
    <row r="742" spans="1:15" ht="29.25" customHeight="1" x14ac:dyDescent="0.35">
      <c r="A742" s="428" t="s">
        <v>2894</v>
      </c>
      <c r="B742" s="583"/>
      <c r="C742" s="429"/>
      <c r="D742" s="430"/>
      <c r="E742" s="494"/>
      <c r="F742" s="430"/>
      <c r="G742" s="494"/>
      <c r="H742" s="430"/>
      <c r="I742" s="494"/>
      <c r="J742" s="495"/>
      <c r="K742" s="458"/>
      <c r="L742" s="704"/>
      <c r="M742" s="704"/>
      <c r="N742" s="495"/>
      <c r="O742" s="357"/>
    </row>
    <row r="743" spans="1:15" ht="81.75" customHeight="1" x14ac:dyDescent="0.35">
      <c r="A743" s="187" t="s">
        <v>1007</v>
      </c>
      <c r="B743" s="360" t="s">
        <v>50</v>
      </c>
      <c r="C743" s="175" t="s">
        <v>898</v>
      </c>
      <c r="D743" s="175" t="s">
        <v>52</v>
      </c>
      <c r="E743" s="187" t="s">
        <v>49</v>
      </c>
      <c r="F743" s="175" t="s">
        <v>1</v>
      </c>
      <c r="G743" s="187"/>
      <c r="H743" s="175" t="s">
        <v>51</v>
      </c>
      <c r="I743" s="187" t="s">
        <v>2</v>
      </c>
      <c r="J743" s="189" t="s">
        <v>4862</v>
      </c>
      <c r="K743" s="189" t="s">
        <v>5140</v>
      </c>
      <c r="L743" s="623" t="s">
        <v>5132</v>
      </c>
      <c r="M743" s="623" t="s">
        <v>5132</v>
      </c>
      <c r="N743" s="189" t="s">
        <v>1006</v>
      </c>
      <c r="O743" s="187" t="s">
        <v>50</v>
      </c>
    </row>
    <row r="744" spans="1:15" ht="42.75" customHeight="1" x14ac:dyDescent="0.35">
      <c r="A744" s="272" t="s">
        <v>2895</v>
      </c>
      <c r="B744" s="497" t="s">
        <v>514</v>
      </c>
      <c r="C744" s="165" t="s">
        <v>5</v>
      </c>
      <c r="D744" s="163" t="s">
        <v>4</v>
      </c>
      <c r="E744" s="237" t="s">
        <v>45</v>
      </c>
      <c r="F744" s="163" t="s">
        <v>994</v>
      </c>
      <c r="G744" s="164"/>
      <c r="H744" s="253">
        <v>70630</v>
      </c>
      <c r="I744" s="142" t="s">
        <v>160</v>
      </c>
      <c r="J744" s="144">
        <v>100000000</v>
      </c>
      <c r="K744" s="144">
        <v>50000000</v>
      </c>
      <c r="L744" s="394"/>
      <c r="M744" s="394" t="s">
        <v>5133</v>
      </c>
      <c r="N744" s="160">
        <v>100000000</v>
      </c>
      <c r="O744" s="162" t="s">
        <v>514</v>
      </c>
    </row>
    <row r="745" spans="1:15" ht="42.75" customHeight="1" x14ac:dyDescent="0.35">
      <c r="A745" s="272" t="s">
        <v>2896</v>
      </c>
      <c r="B745" s="497" t="s">
        <v>180</v>
      </c>
      <c r="C745" s="165" t="s">
        <v>5</v>
      </c>
      <c r="D745" s="163" t="s">
        <v>4</v>
      </c>
      <c r="E745" s="237" t="s">
        <v>45</v>
      </c>
      <c r="F745" s="163" t="s">
        <v>983</v>
      </c>
      <c r="G745" s="164"/>
      <c r="H745" s="253">
        <v>70630</v>
      </c>
      <c r="I745" s="142" t="s">
        <v>902</v>
      </c>
      <c r="J745" s="149">
        <v>5000000</v>
      </c>
      <c r="K745" s="144"/>
      <c r="L745" s="394"/>
      <c r="M745" s="394" t="s">
        <v>5133</v>
      </c>
      <c r="N745" s="160">
        <v>5000000</v>
      </c>
      <c r="O745" s="162" t="s">
        <v>180</v>
      </c>
    </row>
    <row r="746" spans="1:15" ht="42.75" customHeight="1" x14ac:dyDescent="0.35">
      <c r="A746" s="272" t="s">
        <v>2897</v>
      </c>
      <c r="B746" s="497" t="s">
        <v>511</v>
      </c>
      <c r="C746" s="165" t="s">
        <v>5</v>
      </c>
      <c r="D746" s="163" t="s">
        <v>4</v>
      </c>
      <c r="E746" s="237" t="s">
        <v>45</v>
      </c>
      <c r="F746" s="163" t="s">
        <v>512</v>
      </c>
      <c r="G746" s="164"/>
      <c r="H746" s="253">
        <v>70630</v>
      </c>
      <c r="I746" s="364" t="s">
        <v>160</v>
      </c>
      <c r="J746" s="149">
        <v>150000000</v>
      </c>
      <c r="K746" s="144">
        <v>40000000</v>
      </c>
      <c r="L746" s="394"/>
      <c r="M746" s="394" t="s">
        <v>5133</v>
      </c>
      <c r="N746" s="160">
        <v>280000000</v>
      </c>
      <c r="O746" s="162" t="s">
        <v>511</v>
      </c>
    </row>
    <row r="747" spans="1:15" ht="51" customHeight="1" x14ac:dyDescent="0.35">
      <c r="A747" s="272" t="s">
        <v>2898</v>
      </c>
      <c r="B747" s="497" t="s">
        <v>501</v>
      </c>
      <c r="C747" s="165" t="s">
        <v>5</v>
      </c>
      <c r="D747" s="163" t="s">
        <v>4</v>
      </c>
      <c r="E747" s="237" t="s">
        <v>45</v>
      </c>
      <c r="F747" s="163" t="s">
        <v>502</v>
      </c>
      <c r="G747" s="164"/>
      <c r="H747" s="253">
        <v>70630</v>
      </c>
      <c r="I747" s="364" t="s">
        <v>160</v>
      </c>
      <c r="J747" s="149">
        <v>30000000</v>
      </c>
      <c r="K747" s="144"/>
      <c r="L747" s="394"/>
      <c r="M747" s="394" t="s">
        <v>5133</v>
      </c>
      <c r="N747" s="160">
        <v>40000000</v>
      </c>
      <c r="O747" s="162" t="s">
        <v>501</v>
      </c>
    </row>
    <row r="748" spans="1:15" ht="42.75" customHeight="1" x14ac:dyDescent="0.35">
      <c r="A748" s="272" t="s">
        <v>2899</v>
      </c>
      <c r="B748" s="497" t="s">
        <v>506</v>
      </c>
      <c r="C748" s="165" t="s">
        <v>5</v>
      </c>
      <c r="D748" s="163" t="s">
        <v>4</v>
      </c>
      <c r="E748" s="237" t="s">
        <v>45</v>
      </c>
      <c r="F748" s="163" t="s">
        <v>502</v>
      </c>
      <c r="G748" s="164"/>
      <c r="H748" s="253">
        <v>70630</v>
      </c>
      <c r="I748" s="364" t="s">
        <v>160</v>
      </c>
      <c r="J748" s="149">
        <v>20000000</v>
      </c>
      <c r="K748" s="144">
        <v>9000000</v>
      </c>
      <c r="L748" s="394"/>
      <c r="M748" s="394" t="s">
        <v>5133</v>
      </c>
      <c r="N748" s="160">
        <v>10000000</v>
      </c>
      <c r="O748" s="162" t="s">
        <v>506</v>
      </c>
    </row>
    <row r="749" spans="1:15" ht="42.75" customHeight="1" x14ac:dyDescent="0.35">
      <c r="A749" s="272" t="s">
        <v>2900</v>
      </c>
      <c r="B749" s="497" t="s">
        <v>500</v>
      </c>
      <c r="C749" s="165" t="s">
        <v>5</v>
      </c>
      <c r="D749" s="163" t="s">
        <v>4</v>
      </c>
      <c r="E749" s="237" t="s">
        <v>45</v>
      </c>
      <c r="F749" s="145" t="s">
        <v>192</v>
      </c>
      <c r="G749" s="164"/>
      <c r="H749" s="253">
        <v>70630</v>
      </c>
      <c r="I749" s="364" t="s">
        <v>343</v>
      </c>
      <c r="J749" s="149">
        <f>183606626+100000000</f>
        <v>283606626</v>
      </c>
      <c r="K749" s="144">
        <f>310000000-80000000</f>
        <v>230000000</v>
      </c>
      <c r="L749" s="394"/>
      <c r="M749" s="394" t="s">
        <v>5133</v>
      </c>
      <c r="N749" s="160">
        <v>250000000</v>
      </c>
      <c r="O749" s="162" t="s">
        <v>500</v>
      </c>
    </row>
    <row r="750" spans="1:15" ht="54.75" customHeight="1" x14ac:dyDescent="0.35">
      <c r="A750" s="272" t="s">
        <v>2901</v>
      </c>
      <c r="B750" s="497" t="s">
        <v>2457</v>
      </c>
      <c r="C750" s="165" t="s">
        <v>5</v>
      </c>
      <c r="D750" s="163" t="s">
        <v>4</v>
      </c>
      <c r="E750" s="237" t="s">
        <v>45</v>
      </c>
      <c r="F750" s="163" t="s">
        <v>1002</v>
      </c>
      <c r="G750" s="164"/>
      <c r="H750" s="253">
        <v>70630</v>
      </c>
      <c r="I750" s="364" t="s">
        <v>343</v>
      </c>
      <c r="J750" s="149">
        <v>150000000</v>
      </c>
      <c r="K750" s="144">
        <v>50000000</v>
      </c>
      <c r="L750" s="394"/>
      <c r="M750" s="394" t="s">
        <v>5133</v>
      </c>
      <c r="N750" s="160">
        <v>225000000</v>
      </c>
      <c r="O750" s="162" t="s">
        <v>2457</v>
      </c>
    </row>
    <row r="751" spans="1:15" ht="42.75" customHeight="1" x14ac:dyDescent="0.35">
      <c r="A751" s="272" t="s">
        <v>2902</v>
      </c>
      <c r="B751" s="497" t="s">
        <v>507</v>
      </c>
      <c r="C751" s="165" t="s">
        <v>5</v>
      </c>
      <c r="D751" s="163" t="s">
        <v>4</v>
      </c>
      <c r="E751" s="237" t="s">
        <v>45</v>
      </c>
      <c r="F751" s="163" t="s">
        <v>1002</v>
      </c>
      <c r="G751" s="164"/>
      <c r="H751" s="253">
        <v>70630</v>
      </c>
      <c r="I751" s="364" t="s">
        <v>343</v>
      </c>
      <c r="J751" s="149">
        <v>100000000</v>
      </c>
      <c r="K751" s="144"/>
      <c r="L751" s="394"/>
      <c r="M751" s="394" t="s">
        <v>5133</v>
      </c>
      <c r="N751" s="160">
        <v>50000000</v>
      </c>
      <c r="O751" s="162" t="s">
        <v>507</v>
      </c>
    </row>
    <row r="752" spans="1:15" ht="42.75" customHeight="1" x14ac:dyDescent="0.35">
      <c r="A752" s="272" t="s">
        <v>2903</v>
      </c>
      <c r="B752" s="497" t="s">
        <v>509</v>
      </c>
      <c r="C752" s="165" t="s">
        <v>5</v>
      </c>
      <c r="D752" s="163" t="s">
        <v>4</v>
      </c>
      <c r="E752" s="237" t="s">
        <v>45</v>
      </c>
      <c r="F752" s="163" t="s">
        <v>1002</v>
      </c>
      <c r="G752" s="164"/>
      <c r="H752" s="253">
        <v>70630</v>
      </c>
      <c r="I752" s="364" t="s">
        <v>343</v>
      </c>
      <c r="J752" s="149">
        <v>350000000</v>
      </c>
      <c r="K752" s="144"/>
      <c r="L752" s="394"/>
      <c r="M752" s="394" t="s">
        <v>5133</v>
      </c>
      <c r="N752" s="160">
        <v>20000000</v>
      </c>
      <c r="O752" s="162" t="s">
        <v>509</v>
      </c>
    </row>
    <row r="753" spans="1:16" ht="42.75" customHeight="1" x14ac:dyDescent="0.35">
      <c r="A753" s="272" t="s">
        <v>2904</v>
      </c>
      <c r="B753" s="497" t="s">
        <v>5131</v>
      </c>
      <c r="C753" s="165" t="s">
        <v>5</v>
      </c>
      <c r="D753" s="163" t="s">
        <v>4</v>
      </c>
      <c r="E753" s="237" t="s">
        <v>45</v>
      </c>
      <c r="F753" s="163" t="s">
        <v>995</v>
      </c>
      <c r="G753" s="164"/>
      <c r="H753" s="253">
        <v>70630</v>
      </c>
      <c r="I753" s="364" t="s">
        <v>343</v>
      </c>
      <c r="J753" s="149">
        <v>50000000</v>
      </c>
      <c r="K753" s="144"/>
      <c r="L753" s="394"/>
      <c r="M753" s="394" t="s">
        <v>5133</v>
      </c>
      <c r="N753" s="160">
        <v>20000000</v>
      </c>
      <c r="O753" s="162" t="s">
        <v>510</v>
      </c>
    </row>
    <row r="754" spans="1:16" ht="55.5" customHeight="1" x14ac:dyDescent="0.35">
      <c r="A754" s="272" t="s">
        <v>2905</v>
      </c>
      <c r="B754" s="497" t="s">
        <v>513</v>
      </c>
      <c r="C754" s="165" t="s">
        <v>5</v>
      </c>
      <c r="D754" s="163" t="s">
        <v>4</v>
      </c>
      <c r="E754" s="237" t="s">
        <v>45</v>
      </c>
      <c r="F754" s="163" t="s">
        <v>159</v>
      </c>
      <c r="G754" s="164"/>
      <c r="H754" s="253">
        <v>70630</v>
      </c>
      <c r="I754" s="364" t="s">
        <v>343</v>
      </c>
      <c r="J754" s="149">
        <v>30000000</v>
      </c>
      <c r="K754" s="144"/>
      <c r="L754" s="394"/>
      <c r="M754" s="394" t="s">
        <v>5133</v>
      </c>
      <c r="N754" s="160">
        <v>50000000</v>
      </c>
      <c r="O754" s="162" t="s">
        <v>513</v>
      </c>
    </row>
    <row r="755" spans="1:16" ht="41.25" customHeight="1" x14ac:dyDescent="0.35">
      <c r="A755" s="272" t="s">
        <v>2906</v>
      </c>
      <c r="B755" s="497" t="s">
        <v>515</v>
      </c>
      <c r="C755" s="165" t="s">
        <v>5</v>
      </c>
      <c r="D755" s="163" t="s">
        <v>4</v>
      </c>
      <c r="E755" s="237" t="s">
        <v>45</v>
      </c>
      <c r="F755" s="163" t="s">
        <v>995</v>
      </c>
      <c r="G755" s="164"/>
      <c r="H755" s="253">
        <v>70630</v>
      </c>
      <c r="I755" s="364" t="s">
        <v>343</v>
      </c>
      <c r="J755" s="149">
        <f>186000000+300000000</f>
        <v>486000000</v>
      </c>
      <c r="K755" s="144">
        <v>40000000</v>
      </c>
      <c r="L755" s="394"/>
      <c r="M755" s="394" t="s">
        <v>5133</v>
      </c>
      <c r="N755" s="160">
        <v>336278222</v>
      </c>
      <c r="O755" s="162" t="s">
        <v>515</v>
      </c>
    </row>
    <row r="756" spans="1:16" ht="51" customHeight="1" x14ac:dyDescent="0.35">
      <c r="A756" s="272" t="s">
        <v>2907</v>
      </c>
      <c r="B756" s="497" t="s">
        <v>503</v>
      </c>
      <c r="C756" s="165" t="s">
        <v>5</v>
      </c>
      <c r="D756" s="163" t="s">
        <v>4</v>
      </c>
      <c r="E756" s="237" t="s">
        <v>45</v>
      </c>
      <c r="F756" s="163" t="s">
        <v>504</v>
      </c>
      <c r="G756" s="164"/>
      <c r="H756" s="253">
        <v>70630</v>
      </c>
      <c r="I756" s="364" t="s">
        <v>343</v>
      </c>
      <c r="J756" s="149">
        <v>10000000</v>
      </c>
      <c r="K756" s="144"/>
      <c r="L756" s="394"/>
      <c r="M756" s="394" t="s">
        <v>5133</v>
      </c>
      <c r="N756" s="160">
        <v>10000000</v>
      </c>
      <c r="O756" s="162" t="s">
        <v>503</v>
      </c>
    </row>
    <row r="757" spans="1:16" ht="35.25" customHeight="1" x14ac:dyDescent="0.35">
      <c r="A757" s="272" t="s">
        <v>2908</v>
      </c>
      <c r="B757" s="497" t="s">
        <v>508</v>
      </c>
      <c r="C757" s="165" t="s">
        <v>5</v>
      </c>
      <c r="D757" s="163" t="s">
        <v>4</v>
      </c>
      <c r="E757" s="237" t="s">
        <v>45</v>
      </c>
      <c r="F757" s="163" t="s">
        <v>504</v>
      </c>
      <c r="G757" s="164"/>
      <c r="H757" s="253">
        <v>70630</v>
      </c>
      <c r="I757" s="142" t="s">
        <v>160</v>
      </c>
      <c r="J757" s="149">
        <v>30000000</v>
      </c>
      <c r="K757" s="144">
        <v>38000000</v>
      </c>
      <c r="L757" s="394"/>
      <c r="M757" s="394" t="s">
        <v>5133</v>
      </c>
      <c r="N757" s="160">
        <v>50000000</v>
      </c>
      <c r="O757" s="162" t="s">
        <v>508</v>
      </c>
    </row>
    <row r="758" spans="1:16" ht="30.75" customHeight="1" x14ac:dyDescent="0.35">
      <c r="A758" s="272" t="s">
        <v>2909</v>
      </c>
      <c r="B758" s="497" t="s">
        <v>516</v>
      </c>
      <c r="C758" s="165" t="s">
        <v>5</v>
      </c>
      <c r="D758" s="163" t="s">
        <v>4</v>
      </c>
      <c r="E758" s="237" t="s">
        <v>45</v>
      </c>
      <c r="F758" s="163" t="s">
        <v>62</v>
      </c>
      <c r="G758" s="364"/>
      <c r="H758" s="253">
        <v>70630</v>
      </c>
      <c r="I758" s="142" t="s">
        <v>900</v>
      </c>
      <c r="J758" s="149">
        <v>10000000</v>
      </c>
      <c r="K758" s="144"/>
      <c r="L758" s="394"/>
      <c r="M758" s="394" t="s">
        <v>5133</v>
      </c>
      <c r="N758" s="160">
        <v>4000000</v>
      </c>
      <c r="O758" s="162" t="s">
        <v>516</v>
      </c>
    </row>
    <row r="759" spans="1:16" ht="76.5" customHeight="1" x14ac:dyDescent="0.35">
      <c r="A759" s="272" t="s">
        <v>2910</v>
      </c>
      <c r="B759" s="497" t="s">
        <v>517</v>
      </c>
      <c r="C759" s="165" t="s">
        <v>5</v>
      </c>
      <c r="D759" s="163" t="s">
        <v>4</v>
      </c>
      <c r="E759" s="237" t="s">
        <v>45</v>
      </c>
      <c r="F759" s="163" t="s">
        <v>62</v>
      </c>
      <c r="G759" s="164"/>
      <c r="H759" s="253">
        <v>70630</v>
      </c>
      <c r="I759" s="142" t="s">
        <v>900</v>
      </c>
      <c r="J759" s="149">
        <v>2000000</v>
      </c>
      <c r="K759" s="144"/>
      <c r="L759" s="394"/>
      <c r="M759" s="394" t="s">
        <v>5133</v>
      </c>
      <c r="N759" s="160">
        <v>2000000</v>
      </c>
      <c r="O759" s="162" t="s">
        <v>517</v>
      </c>
    </row>
    <row r="760" spans="1:16" ht="40.5" customHeight="1" x14ac:dyDescent="0.35">
      <c r="A760" s="272" t="s">
        <v>2911</v>
      </c>
      <c r="B760" s="497" t="s">
        <v>518</v>
      </c>
      <c r="C760" s="165" t="s">
        <v>5</v>
      </c>
      <c r="D760" s="163" t="s">
        <v>4</v>
      </c>
      <c r="E760" s="237" t="s">
        <v>45</v>
      </c>
      <c r="F760" s="163" t="s">
        <v>62</v>
      </c>
      <c r="G760" s="364"/>
      <c r="H760" s="253">
        <v>70630</v>
      </c>
      <c r="I760" s="142" t="s">
        <v>900</v>
      </c>
      <c r="J760" s="144">
        <v>2000000</v>
      </c>
      <c r="K760" s="144"/>
      <c r="L760" s="394"/>
      <c r="M760" s="394" t="s">
        <v>5133</v>
      </c>
      <c r="N760" s="160">
        <v>2000000</v>
      </c>
      <c r="O760" s="162" t="s">
        <v>518</v>
      </c>
    </row>
    <row r="761" spans="1:16" ht="40.5" customHeight="1" x14ac:dyDescent="0.35">
      <c r="A761" s="272" t="s">
        <v>2912</v>
      </c>
      <c r="B761" s="497" t="s">
        <v>519</v>
      </c>
      <c r="C761" s="165" t="s">
        <v>5</v>
      </c>
      <c r="D761" s="163" t="s">
        <v>4</v>
      </c>
      <c r="E761" s="237" t="s">
        <v>45</v>
      </c>
      <c r="F761" s="163" t="s">
        <v>62</v>
      </c>
      <c r="G761" s="364"/>
      <c r="H761" s="253">
        <v>70630</v>
      </c>
      <c r="I761" s="142" t="s">
        <v>900</v>
      </c>
      <c r="J761" s="144">
        <v>2000000</v>
      </c>
      <c r="K761" s="144"/>
      <c r="L761" s="394"/>
      <c r="M761" s="394" t="s">
        <v>5133</v>
      </c>
      <c r="N761" s="160">
        <v>2000000</v>
      </c>
      <c r="O761" s="162" t="s">
        <v>519</v>
      </c>
    </row>
    <row r="762" spans="1:16" ht="30" customHeight="1" x14ac:dyDescent="0.35">
      <c r="A762" s="272" t="s">
        <v>3632</v>
      </c>
      <c r="B762" s="497" t="s">
        <v>3406</v>
      </c>
      <c r="C762" s="165" t="s">
        <v>5</v>
      </c>
      <c r="D762" s="163" t="s">
        <v>4</v>
      </c>
      <c r="E762" s="237" t="s">
        <v>45</v>
      </c>
      <c r="F762" s="163" t="s">
        <v>995</v>
      </c>
      <c r="G762" s="164"/>
      <c r="H762" s="253">
        <v>70630</v>
      </c>
      <c r="I762" s="364" t="s">
        <v>343</v>
      </c>
      <c r="J762" s="149">
        <v>400000000</v>
      </c>
      <c r="K762" s="144">
        <v>140000000</v>
      </c>
      <c r="L762" s="394"/>
      <c r="M762" s="394" t="s">
        <v>5133</v>
      </c>
      <c r="N762" s="160">
        <v>0</v>
      </c>
      <c r="O762" s="162"/>
    </row>
    <row r="763" spans="1:16" ht="35.25" customHeight="1" x14ac:dyDescent="0.35">
      <c r="A763" s="272" t="s">
        <v>3633</v>
      </c>
      <c r="B763" s="497" t="s">
        <v>4593</v>
      </c>
      <c r="C763" s="165" t="s">
        <v>5</v>
      </c>
      <c r="D763" s="163" t="s">
        <v>4</v>
      </c>
      <c r="E763" s="237" t="s">
        <v>45</v>
      </c>
      <c r="F763" s="163" t="s">
        <v>995</v>
      </c>
      <c r="G763" s="164"/>
      <c r="H763" s="253">
        <v>70630</v>
      </c>
      <c r="I763" s="364" t="s">
        <v>343</v>
      </c>
      <c r="J763" s="149">
        <v>100000000</v>
      </c>
      <c r="K763" s="144"/>
      <c r="L763" s="394"/>
      <c r="M763" s="394" t="s">
        <v>5133</v>
      </c>
      <c r="N763" s="160"/>
      <c r="O763" s="162"/>
    </row>
    <row r="764" spans="1:16" ht="52.5" customHeight="1" x14ac:dyDescent="0.35">
      <c r="A764" s="272" t="s">
        <v>4810</v>
      </c>
      <c r="B764" s="497" t="s">
        <v>4809</v>
      </c>
      <c r="C764" s="165" t="s">
        <v>5</v>
      </c>
      <c r="D764" s="163" t="s">
        <v>4</v>
      </c>
      <c r="E764" s="237" t="s">
        <v>45</v>
      </c>
      <c r="F764" s="163" t="s">
        <v>995</v>
      </c>
      <c r="G764" s="164"/>
      <c r="H764" s="253">
        <v>70630</v>
      </c>
      <c r="I764" s="364" t="s">
        <v>343</v>
      </c>
      <c r="J764" s="149">
        <v>30000000</v>
      </c>
      <c r="K764" s="144"/>
      <c r="L764" s="394"/>
      <c r="M764" s="394" t="s">
        <v>5133</v>
      </c>
      <c r="N764" s="160"/>
      <c r="O764" s="162"/>
    </row>
    <row r="765" spans="1:16" s="247" customFormat="1" ht="39" customHeight="1" x14ac:dyDescent="0.3">
      <c r="A765" s="245"/>
      <c r="B765" s="360" t="s">
        <v>1008</v>
      </c>
      <c r="C765" s="188"/>
      <c r="D765" s="257"/>
      <c r="E765" s="273"/>
      <c r="F765" s="257"/>
      <c r="G765" s="273"/>
      <c r="H765" s="257"/>
      <c r="I765" s="273"/>
      <c r="J765" s="259">
        <f>SUM(J744:J764)</f>
        <v>2340606626</v>
      </c>
      <c r="K765" s="259">
        <f>SUM(K744:K764)</f>
        <v>597000000</v>
      </c>
      <c r="L765" s="707"/>
      <c r="M765" s="707"/>
      <c r="N765" s="259">
        <f>SUM(N744:N761)</f>
        <v>1456278222</v>
      </c>
      <c r="O765" s="245" t="s">
        <v>1008</v>
      </c>
      <c r="P765" s="246">
        <f>J765+J786</f>
        <v>2590606626</v>
      </c>
    </row>
    <row r="766" spans="1:16" s="247" customFormat="1" ht="12.75" customHeight="1" x14ac:dyDescent="0.3">
      <c r="A766" s="399"/>
      <c r="B766" s="587"/>
      <c r="C766" s="395"/>
      <c r="D766" s="396"/>
      <c r="E766" s="397"/>
      <c r="F766" s="396"/>
      <c r="G766" s="397"/>
      <c r="H766" s="396"/>
      <c r="I766" s="397"/>
      <c r="J766" s="398"/>
      <c r="K766" s="628"/>
      <c r="L766" s="706"/>
      <c r="M766" s="706"/>
      <c r="N766" s="398"/>
      <c r="O766" s="399"/>
      <c r="P766" s="246"/>
    </row>
    <row r="767" spans="1:16" s="247" customFormat="1" ht="21" customHeight="1" x14ac:dyDescent="0.3">
      <c r="A767" s="342"/>
      <c r="B767" s="361"/>
      <c r="C767" s="338"/>
      <c r="D767" s="339"/>
      <c r="E767" s="340"/>
      <c r="F767" s="339"/>
      <c r="G767" s="340"/>
      <c r="H767" s="339"/>
      <c r="I767" s="340"/>
      <c r="J767" s="341"/>
      <c r="K767" s="628"/>
      <c r="L767" s="706"/>
      <c r="M767" s="706"/>
      <c r="N767" s="341"/>
      <c r="O767" s="342"/>
      <c r="P767" s="400"/>
    </row>
    <row r="768" spans="1:16" s="247" customFormat="1" ht="21" customHeight="1" x14ac:dyDescent="0.35">
      <c r="A768" s="734" t="s">
        <v>509</v>
      </c>
      <c r="B768" s="734"/>
      <c r="C768" s="338"/>
      <c r="D768" s="339"/>
      <c r="E768" s="340"/>
      <c r="F768" s="339"/>
      <c r="G768" s="340"/>
      <c r="H768" s="339"/>
      <c r="I768" s="340"/>
      <c r="J768" s="341"/>
      <c r="K768" s="628"/>
      <c r="L768" s="706"/>
      <c r="M768" s="706"/>
      <c r="N768" s="341"/>
      <c r="O768" s="342"/>
      <c r="P768" s="400"/>
    </row>
    <row r="769" spans="1:16" s="247" customFormat="1" ht="52.5" customHeight="1" x14ac:dyDescent="0.3">
      <c r="A769" s="187" t="s">
        <v>1007</v>
      </c>
      <c r="B769" s="360" t="s">
        <v>50</v>
      </c>
      <c r="C769" s="175" t="s">
        <v>898</v>
      </c>
      <c r="D769" s="175" t="s">
        <v>52</v>
      </c>
      <c r="E769" s="187" t="s">
        <v>49</v>
      </c>
      <c r="F769" s="175" t="s">
        <v>1</v>
      </c>
      <c r="G769" s="187"/>
      <c r="H769" s="175" t="s">
        <v>51</v>
      </c>
      <c r="I769" s="187" t="s">
        <v>2</v>
      </c>
      <c r="J769" s="189" t="s">
        <v>4862</v>
      </c>
      <c r="K769" s="189" t="s">
        <v>5140</v>
      </c>
      <c r="L769" s="189"/>
      <c r="M769" s="189"/>
      <c r="N769" s="189" t="s">
        <v>1006</v>
      </c>
      <c r="O769" s="342"/>
      <c r="P769" s="400"/>
    </row>
    <row r="770" spans="1:16" s="247" customFormat="1" ht="30.75" customHeight="1" x14ac:dyDescent="0.35">
      <c r="A770" s="187"/>
      <c r="B770" s="497" t="s">
        <v>509</v>
      </c>
      <c r="C770" s="165" t="s">
        <v>5</v>
      </c>
      <c r="D770" s="163" t="s">
        <v>4</v>
      </c>
      <c r="E770" s="237" t="s">
        <v>45</v>
      </c>
      <c r="F770" s="163" t="s">
        <v>995</v>
      </c>
      <c r="G770" s="164"/>
      <c r="H770" s="253">
        <v>70630</v>
      </c>
      <c r="I770" s="364" t="s">
        <v>343</v>
      </c>
      <c r="J770" s="149">
        <v>50000000</v>
      </c>
      <c r="K770" s="144">
        <v>95000000</v>
      </c>
      <c r="L770" s="144">
        <v>95000000</v>
      </c>
      <c r="M770" s="718" t="s">
        <v>5123</v>
      </c>
      <c r="N770" s="189"/>
      <c r="O770" s="342"/>
      <c r="P770" s="400"/>
    </row>
    <row r="771" spans="1:16" s="247" customFormat="1" ht="25.5" customHeight="1" x14ac:dyDescent="0.35">
      <c r="A771" s="272"/>
      <c r="B771" s="497" t="s">
        <v>518</v>
      </c>
      <c r="C771" s="165" t="s">
        <v>5</v>
      </c>
      <c r="D771" s="163" t="s">
        <v>4</v>
      </c>
      <c r="E771" s="237" t="s">
        <v>45</v>
      </c>
      <c r="F771" s="163" t="s">
        <v>62</v>
      </c>
      <c r="G771" s="364"/>
      <c r="H771" s="253">
        <v>70630</v>
      </c>
      <c r="I771" s="142" t="s">
        <v>900</v>
      </c>
      <c r="J771" s="144">
        <v>2000000</v>
      </c>
      <c r="K771" s="144">
        <v>5000000</v>
      </c>
      <c r="L771" s="394"/>
      <c r="M771" s="394" t="s">
        <v>5133</v>
      </c>
      <c r="N771" s="189"/>
      <c r="O771" s="342"/>
      <c r="P771" s="400"/>
    </row>
    <row r="772" spans="1:16" s="247" customFormat="1" ht="21" customHeight="1" x14ac:dyDescent="0.35">
      <c r="A772" s="187"/>
      <c r="B772" s="360" t="s">
        <v>1008</v>
      </c>
      <c r="C772" s="165"/>
      <c r="D772" s="163"/>
      <c r="E772" s="237"/>
      <c r="F772" s="163"/>
      <c r="G772" s="164"/>
      <c r="H772" s="253"/>
      <c r="I772" s="364"/>
      <c r="J772" s="149"/>
      <c r="K772" s="406">
        <f>SUM(K770:K771)</f>
        <v>100000000</v>
      </c>
      <c r="L772" s="189"/>
      <c r="M772" s="189"/>
      <c r="N772" s="189"/>
      <c r="O772" s="342"/>
      <c r="P772" s="400"/>
    </row>
    <row r="773" spans="1:16" s="247" customFormat="1" ht="21" customHeight="1" x14ac:dyDescent="0.35">
      <c r="A773" s="499"/>
      <c r="B773" s="361"/>
      <c r="C773" s="338"/>
      <c r="D773" s="339"/>
      <c r="E773" s="340"/>
      <c r="F773" s="339"/>
      <c r="G773" s="340"/>
      <c r="H773" s="339"/>
      <c r="I773" s="340"/>
      <c r="J773" s="341"/>
      <c r="K773" s="628"/>
      <c r="L773" s="706"/>
      <c r="M773" s="706"/>
      <c r="N773" s="341"/>
      <c r="O773" s="342"/>
      <c r="P773" s="400"/>
    </row>
    <row r="774" spans="1:16" s="247" customFormat="1" ht="21" customHeight="1" x14ac:dyDescent="0.3">
      <c r="A774" s="701" t="s">
        <v>5131</v>
      </c>
      <c r="B774" s="700"/>
      <c r="C774" s="338"/>
      <c r="D774" s="339"/>
      <c r="E774" s="340"/>
      <c r="F774" s="339"/>
      <c r="G774" s="340"/>
      <c r="H774" s="339"/>
      <c r="I774" s="340"/>
      <c r="J774" s="341"/>
      <c r="K774" s="628"/>
      <c r="L774" s="706"/>
      <c r="M774" s="706"/>
      <c r="N774" s="341"/>
      <c r="O774" s="342"/>
      <c r="P774" s="400"/>
    </row>
    <row r="775" spans="1:16" s="247" customFormat="1" ht="69" customHeight="1" x14ac:dyDescent="0.3">
      <c r="A775" s="187" t="s">
        <v>1007</v>
      </c>
      <c r="B775" s="360" t="s">
        <v>50</v>
      </c>
      <c r="C775" s="175" t="s">
        <v>898</v>
      </c>
      <c r="D775" s="175" t="s">
        <v>52</v>
      </c>
      <c r="E775" s="187" t="s">
        <v>49</v>
      </c>
      <c r="F775" s="175" t="s">
        <v>1</v>
      </c>
      <c r="G775" s="187"/>
      <c r="H775" s="175" t="s">
        <v>51</v>
      </c>
      <c r="I775" s="187" t="s">
        <v>2</v>
      </c>
      <c r="J775" s="189" t="s">
        <v>4862</v>
      </c>
      <c r="K775" s="189" t="s">
        <v>5140</v>
      </c>
      <c r="L775" s="623" t="s">
        <v>5132</v>
      </c>
      <c r="M775" s="623" t="s">
        <v>5132</v>
      </c>
      <c r="N775" s="189" t="s">
        <v>1006</v>
      </c>
      <c r="O775" s="342"/>
      <c r="P775" s="400"/>
    </row>
    <row r="776" spans="1:16" s="247" customFormat="1" ht="21" customHeight="1" x14ac:dyDescent="0.35">
      <c r="A776" s="497"/>
      <c r="B776" s="497" t="s">
        <v>5131</v>
      </c>
      <c r="C776" s="165" t="s">
        <v>5</v>
      </c>
      <c r="D776" s="163" t="s">
        <v>4</v>
      </c>
      <c r="E776" s="237" t="s">
        <v>45</v>
      </c>
      <c r="F776" s="163" t="s">
        <v>995</v>
      </c>
      <c r="G776" s="164"/>
      <c r="H776" s="253">
        <v>70630</v>
      </c>
      <c r="I776" s="364" t="s">
        <v>343</v>
      </c>
      <c r="J776" s="149">
        <v>50000000</v>
      </c>
      <c r="K776" s="144">
        <v>95000000</v>
      </c>
      <c r="L776" s="144">
        <v>95000000</v>
      </c>
      <c r="M776" s="718" t="s">
        <v>5123</v>
      </c>
      <c r="N776" s="259"/>
      <c r="O776" s="342"/>
      <c r="P776" s="400"/>
    </row>
    <row r="777" spans="1:16" s="247" customFormat="1" ht="21" customHeight="1" x14ac:dyDescent="0.35">
      <c r="A777" s="272"/>
      <c r="B777" s="497" t="s">
        <v>519</v>
      </c>
      <c r="C777" s="165" t="s">
        <v>5</v>
      </c>
      <c r="D777" s="163" t="s">
        <v>4</v>
      </c>
      <c r="E777" s="237" t="s">
        <v>45</v>
      </c>
      <c r="F777" s="163" t="s">
        <v>62</v>
      </c>
      <c r="G777" s="364"/>
      <c r="H777" s="253">
        <v>70630</v>
      </c>
      <c r="I777" s="142" t="s">
        <v>900</v>
      </c>
      <c r="J777" s="144">
        <v>2000000</v>
      </c>
      <c r="K777" s="144">
        <v>5000000</v>
      </c>
      <c r="L777" s="394"/>
      <c r="M777" s="394" t="s">
        <v>5133</v>
      </c>
      <c r="N777" s="259"/>
      <c r="O777" s="342"/>
      <c r="P777" s="400"/>
    </row>
    <row r="778" spans="1:16" s="247" customFormat="1" ht="21" customHeight="1" x14ac:dyDescent="0.3">
      <c r="A778" s="245"/>
      <c r="B778" s="360" t="s">
        <v>1008</v>
      </c>
      <c r="C778" s="188"/>
      <c r="D778" s="257"/>
      <c r="E778" s="273"/>
      <c r="F778" s="257"/>
      <c r="G778" s="273"/>
      <c r="H778" s="257"/>
      <c r="I778" s="273"/>
      <c r="J778" s="259"/>
      <c r="K778" s="629">
        <f>SUM(K776:K777)</f>
        <v>100000000</v>
      </c>
      <c r="L778" s="707"/>
      <c r="M778" s="707"/>
      <c r="N778" s="259"/>
      <c r="O778" s="342"/>
      <c r="P778" s="400"/>
    </row>
    <row r="779" spans="1:16" s="247" customFormat="1" ht="21" customHeight="1" x14ac:dyDescent="0.3">
      <c r="A779" s="342"/>
      <c r="B779" s="361"/>
      <c r="C779" s="338"/>
      <c r="D779" s="339"/>
      <c r="E779" s="340"/>
      <c r="F779" s="339"/>
      <c r="G779" s="340"/>
      <c r="H779" s="339"/>
      <c r="I779" s="340"/>
      <c r="J779" s="341"/>
      <c r="K779" s="628"/>
      <c r="L779" s="706"/>
      <c r="M779" s="706"/>
      <c r="N779" s="341"/>
      <c r="O779" s="342"/>
      <c r="P779" s="400"/>
    </row>
    <row r="780" spans="1:16" ht="38.25" customHeight="1" x14ac:dyDescent="0.35">
      <c r="A780" s="600" t="s">
        <v>2483</v>
      </c>
      <c r="B780" s="600"/>
      <c r="C780" s="600"/>
      <c r="D780" s="600"/>
      <c r="E780" s="600"/>
      <c r="F780" s="600"/>
      <c r="G780" s="600"/>
      <c r="H780" s="600"/>
      <c r="I780" s="600"/>
      <c r="J780" s="600"/>
      <c r="K780" s="458"/>
      <c r="L780" s="704"/>
      <c r="M780" s="704"/>
      <c r="N780" s="600"/>
      <c r="O780" s="601"/>
    </row>
    <row r="781" spans="1:16" ht="84" customHeight="1" x14ac:dyDescent="0.35">
      <c r="A781" s="187" t="s">
        <v>1007</v>
      </c>
      <c r="B781" s="360" t="s">
        <v>50</v>
      </c>
      <c r="C781" s="175" t="s">
        <v>898</v>
      </c>
      <c r="D781" s="175" t="s">
        <v>52</v>
      </c>
      <c r="E781" s="187" t="s">
        <v>49</v>
      </c>
      <c r="F781" s="175" t="s">
        <v>1</v>
      </c>
      <c r="G781" s="187"/>
      <c r="H781" s="175" t="s">
        <v>51</v>
      </c>
      <c r="I781" s="187" t="s">
        <v>2</v>
      </c>
      <c r="J781" s="189" t="s">
        <v>4862</v>
      </c>
      <c r="K781" s="189" t="s">
        <v>5140</v>
      </c>
      <c r="L781" s="623" t="s">
        <v>5132</v>
      </c>
      <c r="M781" s="623" t="s">
        <v>5132</v>
      </c>
      <c r="N781" s="189" t="s">
        <v>1006</v>
      </c>
      <c r="O781" s="187" t="s">
        <v>50</v>
      </c>
    </row>
    <row r="782" spans="1:16" ht="27" customHeight="1" x14ac:dyDescent="0.35">
      <c r="A782" s="272" t="s">
        <v>2913</v>
      </c>
      <c r="B782" s="497" t="s">
        <v>2458</v>
      </c>
      <c r="C782" s="375" t="s">
        <v>1074</v>
      </c>
      <c r="D782" s="163">
        <v>2101</v>
      </c>
      <c r="E782" s="162" t="s">
        <v>45</v>
      </c>
      <c r="F782" s="163" t="s">
        <v>62</v>
      </c>
      <c r="G782" s="164"/>
      <c r="H782" s="253">
        <v>70630</v>
      </c>
      <c r="I782" s="142" t="s">
        <v>900</v>
      </c>
      <c r="J782" s="144">
        <v>60000000</v>
      </c>
      <c r="K782" s="627">
        <v>80000000</v>
      </c>
      <c r="L782" s="718"/>
      <c r="M782" s="718" t="s">
        <v>5133</v>
      </c>
      <c r="N782" s="610">
        <v>50000000</v>
      </c>
      <c r="O782" s="162" t="s">
        <v>2458</v>
      </c>
    </row>
    <row r="783" spans="1:16" ht="27" customHeight="1" x14ac:dyDescent="0.35">
      <c r="A783" s="272" t="s">
        <v>2914</v>
      </c>
      <c r="B783" s="497" t="s">
        <v>2459</v>
      </c>
      <c r="C783" s="375" t="s">
        <v>1074</v>
      </c>
      <c r="D783" s="163">
        <v>2101</v>
      </c>
      <c r="E783" s="162" t="s">
        <v>45</v>
      </c>
      <c r="F783" s="163" t="s">
        <v>62</v>
      </c>
      <c r="G783" s="162"/>
      <c r="H783" s="145">
        <v>70630</v>
      </c>
      <c r="I783" s="142" t="s">
        <v>900</v>
      </c>
      <c r="J783" s="144">
        <v>150000000</v>
      </c>
      <c r="K783" s="655">
        <v>147000000</v>
      </c>
      <c r="L783" s="655">
        <v>147000000</v>
      </c>
      <c r="M783" s="703" t="s">
        <v>5123</v>
      </c>
      <c r="N783" s="611"/>
      <c r="O783" s="162" t="s">
        <v>2459</v>
      </c>
    </row>
    <row r="784" spans="1:16" ht="28.5" customHeight="1" x14ac:dyDescent="0.35">
      <c r="A784" s="272" t="s">
        <v>2915</v>
      </c>
      <c r="B784" s="497" t="s">
        <v>2460</v>
      </c>
      <c r="C784" s="375" t="s">
        <v>1074</v>
      </c>
      <c r="D784" s="163">
        <v>2101</v>
      </c>
      <c r="E784" s="162" t="s">
        <v>45</v>
      </c>
      <c r="F784" s="163" t="s">
        <v>62</v>
      </c>
      <c r="G784" s="162"/>
      <c r="H784" s="145">
        <v>70630</v>
      </c>
      <c r="I784" s="142" t="s">
        <v>900</v>
      </c>
      <c r="J784" s="166">
        <v>10000000</v>
      </c>
      <c r="K784" s="627"/>
      <c r="L784" s="718"/>
      <c r="M784" s="718" t="s">
        <v>5133</v>
      </c>
      <c r="N784" s="611"/>
      <c r="O784" s="162" t="s">
        <v>2460</v>
      </c>
    </row>
    <row r="785" spans="1:15" ht="28.5" customHeight="1" x14ac:dyDescent="0.35">
      <c r="A785" s="272" t="s">
        <v>2916</v>
      </c>
      <c r="B785" s="497" t="s">
        <v>2461</v>
      </c>
      <c r="C785" s="375" t="s">
        <v>1074</v>
      </c>
      <c r="D785" s="163">
        <v>2101</v>
      </c>
      <c r="E785" s="162" t="s">
        <v>45</v>
      </c>
      <c r="F785" s="163" t="s">
        <v>62</v>
      </c>
      <c r="G785" s="162"/>
      <c r="H785" s="145">
        <v>70630</v>
      </c>
      <c r="I785" s="142" t="s">
        <v>900</v>
      </c>
      <c r="J785" s="166">
        <v>30000000</v>
      </c>
      <c r="K785" s="627"/>
      <c r="L785" s="718"/>
      <c r="M785" s="718" t="s">
        <v>5133</v>
      </c>
      <c r="N785" s="612"/>
      <c r="O785" s="162" t="s">
        <v>2461</v>
      </c>
    </row>
    <row r="786" spans="1:15" ht="28.5" customHeight="1" x14ac:dyDescent="0.35">
      <c r="A786" s="245"/>
      <c r="B786" s="360" t="s">
        <v>1008</v>
      </c>
      <c r="C786" s="188"/>
      <c r="D786" s="257"/>
      <c r="E786" s="273"/>
      <c r="F786" s="257"/>
      <c r="G786" s="273"/>
      <c r="H786" s="257"/>
      <c r="I786" s="273"/>
      <c r="J786" s="259">
        <f>SUM(J782:J785)</f>
        <v>250000000</v>
      </c>
      <c r="K786" s="259">
        <f>SUM(K782:K785)</f>
        <v>227000000</v>
      </c>
      <c r="L786" s="707"/>
      <c r="M786" s="707"/>
      <c r="N786" s="259">
        <f>N782</f>
        <v>50000000</v>
      </c>
      <c r="O786" s="245" t="s">
        <v>1008</v>
      </c>
    </row>
    <row r="787" spans="1:15" x14ac:dyDescent="0.35">
      <c r="A787" s="286"/>
      <c r="B787" s="499"/>
      <c r="C787" s="282"/>
      <c r="D787" s="283"/>
      <c r="E787" s="330"/>
      <c r="F787" s="283"/>
      <c r="G787" s="367"/>
      <c r="H787" s="571"/>
      <c r="I787" s="572"/>
      <c r="J787" s="388"/>
      <c r="K787" s="458"/>
      <c r="L787" s="704"/>
      <c r="M787" s="704"/>
      <c r="N787" s="573"/>
      <c r="O787" s="162"/>
    </row>
    <row r="788" spans="1:15" ht="39" customHeight="1" x14ac:dyDescent="0.35">
      <c r="A788" s="286"/>
      <c r="B788" s="492"/>
      <c r="C788" s="282"/>
      <c r="D788" s="283"/>
      <c r="E788" s="330"/>
      <c r="F788" s="283"/>
      <c r="G788" s="330"/>
      <c r="H788" s="283"/>
      <c r="I788" s="330"/>
      <c r="J788" s="285"/>
      <c r="K788" s="458"/>
      <c r="L788" s="704"/>
      <c r="M788" s="704"/>
      <c r="N788" s="285"/>
      <c r="O788" s="286"/>
    </row>
    <row r="789" spans="1:15" ht="29.25" hidden="1" customHeight="1" x14ac:dyDescent="0.35">
      <c r="A789" s="401" t="s">
        <v>520</v>
      </c>
      <c r="B789" s="716"/>
      <c r="C789" s="402"/>
      <c r="D789" s="403"/>
      <c r="E789" s="404"/>
      <c r="F789" s="403"/>
      <c r="G789" s="404"/>
      <c r="H789" s="403"/>
      <c r="I789" s="404"/>
      <c r="J789" s="405"/>
      <c r="K789" s="458"/>
      <c r="L789" s="704"/>
      <c r="M789" s="704"/>
      <c r="N789" s="405"/>
      <c r="O789" s="600"/>
    </row>
    <row r="790" spans="1:15" ht="29.25" customHeight="1" x14ac:dyDescent="0.35">
      <c r="A790" s="428" t="s">
        <v>2534</v>
      </c>
      <c r="B790" s="583"/>
      <c r="C790" s="429"/>
      <c r="D790" s="430"/>
      <c r="E790" s="494"/>
      <c r="F790" s="430"/>
      <c r="G790" s="494"/>
      <c r="H790" s="430"/>
      <c r="I790" s="494"/>
      <c r="J790" s="495"/>
      <c r="K790" s="458"/>
      <c r="L790" s="704"/>
      <c r="M790" s="704"/>
      <c r="N790" s="495"/>
      <c r="O790" s="357"/>
    </row>
    <row r="791" spans="1:15" ht="78" customHeight="1" x14ac:dyDescent="0.35">
      <c r="A791" s="187" t="s">
        <v>1007</v>
      </c>
      <c r="B791" s="360" t="s">
        <v>50</v>
      </c>
      <c r="C791" s="175" t="s">
        <v>898</v>
      </c>
      <c r="D791" s="175" t="s">
        <v>52</v>
      </c>
      <c r="E791" s="187" t="s">
        <v>49</v>
      </c>
      <c r="F791" s="175" t="s">
        <v>1</v>
      </c>
      <c r="G791" s="187"/>
      <c r="H791" s="175" t="s">
        <v>51</v>
      </c>
      <c r="I791" s="187" t="s">
        <v>2</v>
      </c>
      <c r="J791" s="189" t="s">
        <v>4862</v>
      </c>
      <c r="K791" s="189" t="s">
        <v>5140</v>
      </c>
      <c r="L791" s="623" t="s">
        <v>5132</v>
      </c>
      <c r="M791" s="623" t="s">
        <v>5132</v>
      </c>
      <c r="N791" s="189" t="s">
        <v>1006</v>
      </c>
      <c r="O791" s="187" t="s">
        <v>50</v>
      </c>
    </row>
    <row r="792" spans="1:15" ht="24.75" customHeight="1" x14ac:dyDescent="0.35">
      <c r="A792" s="272" t="s">
        <v>2917</v>
      </c>
      <c r="B792" s="497" t="s">
        <v>2595</v>
      </c>
      <c r="C792" s="331">
        <v>216</v>
      </c>
      <c r="D792" s="141" t="s">
        <v>4</v>
      </c>
      <c r="E792" s="163" t="s">
        <v>521</v>
      </c>
      <c r="F792" s="163" t="s">
        <v>105</v>
      </c>
      <c r="G792" s="146"/>
      <c r="H792" s="165">
        <v>70481</v>
      </c>
      <c r="I792" s="142" t="s">
        <v>901</v>
      </c>
      <c r="J792" s="277">
        <v>60000000</v>
      </c>
      <c r="K792" s="727"/>
      <c r="L792" s="627"/>
      <c r="M792" s="394" t="s">
        <v>5123</v>
      </c>
      <c r="N792" s="277">
        <v>60000000</v>
      </c>
      <c r="O792" s="162" t="s">
        <v>2595</v>
      </c>
    </row>
    <row r="793" spans="1:15" ht="31.5" customHeight="1" x14ac:dyDescent="0.35">
      <c r="A793" s="272" t="s">
        <v>2918</v>
      </c>
      <c r="B793" s="497" t="s">
        <v>2596</v>
      </c>
      <c r="C793" s="331">
        <v>108</v>
      </c>
      <c r="D793" s="141" t="s">
        <v>4</v>
      </c>
      <c r="E793" s="163" t="s">
        <v>521</v>
      </c>
      <c r="F793" s="163" t="s">
        <v>105</v>
      </c>
      <c r="G793" s="146"/>
      <c r="H793" s="165">
        <v>70481</v>
      </c>
      <c r="I793" s="142" t="s">
        <v>525</v>
      </c>
      <c r="J793" s="277">
        <v>90000000</v>
      </c>
      <c r="K793" s="727"/>
      <c r="L793" s="394"/>
      <c r="M793" s="394" t="s">
        <v>5133</v>
      </c>
      <c r="N793" s="277">
        <f>[2]CAPEX!$K$476</f>
        <v>93000000</v>
      </c>
      <c r="O793" s="162" t="s">
        <v>2596</v>
      </c>
    </row>
    <row r="794" spans="1:15" ht="27.75" customHeight="1" x14ac:dyDescent="0.35">
      <c r="A794" s="272" t="s">
        <v>2919</v>
      </c>
      <c r="B794" s="497" t="s">
        <v>4707</v>
      </c>
      <c r="C794" s="331">
        <v>216</v>
      </c>
      <c r="D794" s="141" t="s">
        <v>4</v>
      </c>
      <c r="E794" s="163" t="s">
        <v>521</v>
      </c>
      <c r="F794" s="163" t="s">
        <v>105</v>
      </c>
      <c r="G794" s="146"/>
      <c r="H794" s="165">
        <v>70481</v>
      </c>
      <c r="I794" s="146" t="s">
        <v>902</v>
      </c>
      <c r="J794" s="277">
        <v>72000000</v>
      </c>
      <c r="K794" s="727">
        <v>40000000</v>
      </c>
      <c r="L794" s="727">
        <v>40000000</v>
      </c>
      <c r="M794" s="394" t="s">
        <v>5133</v>
      </c>
      <c r="N794" s="277">
        <v>87330841</v>
      </c>
      <c r="O794" s="162" t="s">
        <v>3216</v>
      </c>
    </row>
    <row r="795" spans="1:15" ht="40.5" customHeight="1" x14ac:dyDescent="0.35">
      <c r="A795" s="272" t="s">
        <v>2920</v>
      </c>
      <c r="B795" s="497" t="s">
        <v>3217</v>
      </c>
      <c r="C795" s="457">
        <v>216</v>
      </c>
      <c r="D795" s="141" t="s">
        <v>4</v>
      </c>
      <c r="E795" s="163" t="s">
        <v>521</v>
      </c>
      <c r="F795" s="163" t="s">
        <v>522</v>
      </c>
      <c r="G795" s="146"/>
      <c r="H795" s="165">
        <v>70481</v>
      </c>
      <c r="I795" s="142" t="s">
        <v>396</v>
      </c>
      <c r="J795" s="277">
        <v>25000000</v>
      </c>
      <c r="K795" s="727">
        <v>2000000</v>
      </c>
      <c r="L795" s="394"/>
      <c r="M795" s="394" t="s">
        <v>5133</v>
      </c>
      <c r="N795" s="277">
        <f>[2]CAPEX!$K$478</f>
        <v>20000000</v>
      </c>
      <c r="O795" s="162" t="s">
        <v>3217</v>
      </c>
    </row>
    <row r="796" spans="1:15" ht="40.5" customHeight="1" x14ac:dyDescent="0.35">
      <c r="A796" s="272" t="s">
        <v>2921</v>
      </c>
      <c r="B796" s="497" t="s">
        <v>3218</v>
      </c>
      <c r="C796" s="457">
        <v>216</v>
      </c>
      <c r="D796" s="141" t="s">
        <v>4</v>
      </c>
      <c r="E796" s="163" t="s">
        <v>521</v>
      </c>
      <c r="F796" s="163" t="s">
        <v>522</v>
      </c>
      <c r="G796" s="146"/>
      <c r="H796" s="165">
        <v>70481</v>
      </c>
      <c r="I796" s="142" t="s">
        <v>523</v>
      </c>
      <c r="J796" s="277">
        <v>5000000</v>
      </c>
      <c r="K796" s="727">
        <v>3000000</v>
      </c>
      <c r="L796" s="394"/>
      <c r="M796" s="394" t="s">
        <v>5133</v>
      </c>
      <c r="N796" s="277">
        <f>[2]CAPEX!$K$479</f>
        <v>2000000</v>
      </c>
      <c r="O796" s="162" t="s">
        <v>3218</v>
      </c>
    </row>
    <row r="797" spans="1:15" ht="36.75" customHeight="1" x14ac:dyDescent="0.35">
      <c r="A797" s="272" t="s">
        <v>2922</v>
      </c>
      <c r="B797" s="497" t="s">
        <v>2597</v>
      </c>
      <c r="C797" s="331">
        <v>426</v>
      </c>
      <c r="D797" s="141" t="s">
        <v>4</v>
      </c>
      <c r="E797" s="163" t="s">
        <v>521</v>
      </c>
      <c r="F797" s="163" t="s">
        <v>105</v>
      </c>
      <c r="G797" s="146"/>
      <c r="H797" s="165">
        <v>70481</v>
      </c>
      <c r="I797" s="142" t="s">
        <v>523</v>
      </c>
      <c r="J797" s="277">
        <v>14000000</v>
      </c>
      <c r="K797" s="727">
        <v>1000000</v>
      </c>
      <c r="L797" s="394"/>
      <c r="M797" s="394" t="s">
        <v>5133</v>
      </c>
      <c r="N797" s="277">
        <f>[2]CAPEX!$K$480</f>
        <v>14000000</v>
      </c>
      <c r="O797" s="162" t="s">
        <v>2597</v>
      </c>
    </row>
    <row r="798" spans="1:15" ht="31.5" customHeight="1" x14ac:dyDescent="0.35">
      <c r="A798" s="272" t="s">
        <v>2923</v>
      </c>
      <c r="B798" s="497" t="s">
        <v>3219</v>
      </c>
      <c r="C798" s="331">
        <f>C797</f>
        <v>426</v>
      </c>
      <c r="D798" s="141" t="s">
        <v>4</v>
      </c>
      <c r="E798" s="163" t="s">
        <v>521</v>
      </c>
      <c r="F798" s="163" t="s">
        <v>524</v>
      </c>
      <c r="G798" s="146"/>
      <c r="H798" s="165">
        <v>70481</v>
      </c>
      <c r="I798" s="142" t="s">
        <v>909</v>
      </c>
      <c r="J798" s="277">
        <v>60000000</v>
      </c>
      <c r="K798" s="727"/>
      <c r="L798" s="394"/>
      <c r="M798" s="394" t="s">
        <v>5133</v>
      </c>
      <c r="N798" s="277">
        <f>[2]CAPEX!$K$481</f>
        <v>60000000</v>
      </c>
      <c r="O798" s="162" t="s">
        <v>3219</v>
      </c>
    </row>
    <row r="799" spans="1:15" ht="47.25" customHeight="1" x14ac:dyDescent="0.35">
      <c r="A799" s="272" t="s">
        <v>2924</v>
      </c>
      <c r="B799" s="497" t="s">
        <v>3220</v>
      </c>
      <c r="C799" s="331">
        <v>426</v>
      </c>
      <c r="D799" s="141" t="s">
        <v>4</v>
      </c>
      <c r="E799" s="163" t="s">
        <v>521</v>
      </c>
      <c r="F799" s="163" t="s">
        <v>522</v>
      </c>
      <c r="G799" s="146"/>
      <c r="H799" s="165">
        <v>70481</v>
      </c>
      <c r="I799" s="142" t="s">
        <v>523</v>
      </c>
      <c r="J799" s="277">
        <v>100000000</v>
      </c>
      <c r="K799" s="727">
        <v>50000000</v>
      </c>
      <c r="L799" s="394"/>
      <c r="M799" s="394" t="s">
        <v>5133</v>
      </c>
      <c r="N799" s="277">
        <f>[2]CAPEX!$K$483</f>
        <v>7000000</v>
      </c>
      <c r="O799" s="162" t="s">
        <v>3220</v>
      </c>
    </row>
    <row r="800" spans="1:15" ht="36.75" customHeight="1" x14ac:dyDescent="0.35">
      <c r="A800" s="272" t="s">
        <v>2925</v>
      </c>
      <c r="B800" s="497" t="s">
        <v>527</v>
      </c>
      <c r="C800" s="457">
        <v>216</v>
      </c>
      <c r="D800" s="141" t="s">
        <v>4</v>
      </c>
      <c r="E800" s="163" t="s">
        <v>521</v>
      </c>
      <c r="F800" s="163" t="s">
        <v>526</v>
      </c>
      <c r="G800" s="146"/>
      <c r="H800" s="165">
        <v>70481</v>
      </c>
      <c r="I800" s="142" t="s">
        <v>523</v>
      </c>
      <c r="J800" s="277">
        <v>45000000</v>
      </c>
      <c r="K800" s="727">
        <v>20000000</v>
      </c>
      <c r="L800" s="394"/>
      <c r="M800" s="394" t="s">
        <v>5133</v>
      </c>
      <c r="N800" s="277">
        <f>[2]CAPEX!$K$484</f>
        <v>7000000</v>
      </c>
      <c r="O800" s="162" t="s">
        <v>527</v>
      </c>
    </row>
    <row r="801" spans="1:15" ht="30.75" customHeight="1" x14ac:dyDescent="0.35">
      <c r="A801" s="272" t="s">
        <v>2926</v>
      </c>
      <c r="B801" s="497" t="s">
        <v>2598</v>
      </c>
      <c r="C801" s="331">
        <v>426</v>
      </c>
      <c r="D801" s="141" t="s">
        <v>4</v>
      </c>
      <c r="E801" s="163" t="s">
        <v>521</v>
      </c>
      <c r="F801" s="163" t="s">
        <v>526</v>
      </c>
      <c r="G801" s="146"/>
      <c r="H801" s="165">
        <v>70481</v>
      </c>
      <c r="I801" s="142" t="s">
        <v>523</v>
      </c>
      <c r="J801" s="277">
        <v>10000000</v>
      </c>
      <c r="K801" s="727">
        <v>9000000</v>
      </c>
      <c r="L801" s="394"/>
      <c r="M801" s="394" t="s">
        <v>5133</v>
      </c>
      <c r="N801" s="277">
        <f>[2]CAPEX!$K$485</f>
        <v>5000000</v>
      </c>
      <c r="O801" s="162" t="s">
        <v>2598</v>
      </c>
    </row>
    <row r="802" spans="1:15" ht="30.75" customHeight="1" x14ac:dyDescent="0.35">
      <c r="A802" s="272" t="s">
        <v>2927</v>
      </c>
      <c r="B802" s="497" t="s">
        <v>2599</v>
      </c>
      <c r="C802" s="331">
        <v>426</v>
      </c>
      <c r="D802" s="141" t="s">
        <v>4</v>
      </c>
      <c r="E802" s="163" t="s">
        <v>521</v>
      </c>
      <c r="F802" s="163" t="s">
        <v>105</v>
      </c>
      <c r="G802" s="146"/>
      <c r="H802" s="165">
        <v>70481</v>
      </c>
      <c r="I802" s="142" t="s">
        <v>59</v>
      </c>
      <c r="J802" s="277">
        <v>500000</v>
      </c>
      <c r="K802" s="727">
        <v>500000</v>
      </c>
      <c r="L802" s="394"/>
      <c r="M802" s="394" t="s">
        <v>5133</v>
      </c>
      <c r="N802" s="277">
        <f>[2]CAPEX!$K$486</f>
        <v>300000</v>
      </c>
      <c r="O802" s="162" t="s">
        <v>2599</v>
      </c>
    </row>
    <row r="803" spans="1:15" ht="30.75" customHeight="1" x14ac:dyDescent="0.35">
      <c r="A803" s="272" t="s">
        <v>2928</v>
      </c>
      <c r="B803" s="497" t="s">
        <v>57</v>
      </c>
      <c r="C803" s="331">
        <v>216</v>
      </c>
      <c r="D803" s="141" t="s">
        <v>4</v>
      </c>
      <c r="E803" s="163" t="s">
        <v>521</v>
      </c>
      <c r="F803" s="163" t="s">
        <v>62</v>
      </c>
      <c r="G803" s="146"/>
      <c r="H803" s="165">
        <v>70481</v>
      </c>
      <c r="I803" s="142" t="s">
        <v>59</v>
      </c>
      <c r="J803" s="277">
        <v>4000000</v>
      </c>
      <c r="K803" s="727">
        <v>1000000</v>
      </c>
      <c r="L803" s="394"/>
      <c r="M803" s="394" t="s">
        <v>5133</v>
      </c>
      <c r="N803" s="277">
        <f>[2]CAPEX!$K$487</f>
        <v>500000</v>
      </c>
      <c r="O803" s="162" t="s">
        <v>57</v>
      </c>
    </row>
    <row r="804" spans="1:15" ht="30.75" customHeight="1" x14ac:dyDescent="0.35">
      <c r="A804" s="272" t="s">
        <v>2929</v>
      </c>
      <c r="B804" s="497" t="s">
        <v>60</v>
      </c>
      <c r="C804" s="331">
        <v>216</v>
      </c>
      <c r="D804" s="141" t="s">
        <v>4</v>
      </c>
      <c r="E804" s="163" t="s">
        <v>521</v>
      </c>
      <c r="F804" s="163" t="s">
        <v>56</v>
      </c>
      <c r="G804" s="146"/>
      <c r="H804" s="165">
        <v>70481</v>
      </c>
      <c r="I804" s="142" t="s">
        <v>59</v>
      </c>
      <c r="J804" s="277">
        <v>10000000</v>
      </c>
      <c r="K804" s="727">
        <v>7000000</v>
      </c>
      <c r="L804" s="394"/>
      <c r="M804" s="394" t="s">
        <v>5133</v>
      </c>
      <c r="N804" s="277">
        <f>[2]CAPEX!$K$488</f>
        <v>2000000</v>
      </c>
      <c r="O804" s="162" t="s">
        <v>60</v>
      </c>
    </row>
    <row r="805" spans="1:15" ht="36" customHeight="1" x14ac:dyDescent="0.35">
      <c r="A805" s="272" t="s">
        <v>2930</v>
      </c>
      <c r="B805" s="497" t="s">
        <v>528</v>
      </c>
      <c r="C805" s="331">
        <v>216</v>
      </c>
      <c r="D805" s="141" t="s">
        <v>4</v>
      </c>
      <c r="E805" s="163" t="s">
        <v>521</v>
      </c>
      <c r="F805" s="163" t="s">
        <v>999</v>
      </c>
      <c r="G805" s="146"/>
      <c r="H805" s="165">
        <v>70481</v>
      </c>
      <c r="I805" s="142" t="s">
        <v>59</v>
      </c>
      <c r="J805" s="277">
        <v>5000000</v>
      </c>
      <c r="K805" s="727">
        <v>1000000</v>
      </c>
      <c r="L805" s="394"/>
      <c r="M805" s="394" t="s">
        <v>5133</v>
      </c>
      <c r="N805" s="277">
        <f>[2]CAPEX!$K$489</f>
        <v>5000000</v>
      </c>
      <c r="O805" s="162" t="s">
        <v>528</v>
      </c>
    </row>
    <row r="806" spans="1:15" ht="39.75" customHeight="1" x14ac:dyDescent="0.35">
      <c r="A806" s="272" t="s">
        <v>2931</v>
      </c>
      <c r="B806" s="497" t="s">
        <v>3221</v>
      </c>
      <c r="C806" s="331">
        <v>426</v>
      </c>
      <c r="D806" s="141" t="s">
        <v>4</v>
      </c>
      <c r="E806" s="163" t="s">
        <v>521</v>
      </c>
      <c r="F806" s="163" t="s">
        <v>983</v>
      </c>
      <c r="G806" s="146"/>
      <c r="H806" s="165">
        <v>70481</v>
      </c>
      <c r="I806" s="142" t="s">
        <v>59</v>
      </c>
      <c r="J806" s="277">
        <v>35000000</v>
      </c>
      <c r="K806" s="727">
        <v>1000000</v>
      </c>
      <c r="L806" s="394"/>
      <c r="M806" s="394" t="s">
        <v>5133</v>
      </c>
      <c r="N806" s="277">
        <v>2000000</v>
      </c>
      <c r="O806" s="162" t="s">
        <v>3221</v>
      </c>
    </row>
    <row r="807" spans="1:15" ht="36.75" customHeight="1" x14ac:dyDescent="0.35">
      <c r="A807" s="272" t="s">
        <v>2932</v>
      </c>
      <c r="B807" s="497" t="s">
        <v>3222</v>
      </c>
      <c r="C807" s="331">
        <v>426</v>
      </c>
      <c r="D807" s="141" t="s">
        <v>4</v>
      </c>
      <c r="E807" s="163" t="s">
        <v>521</v>
      </c>
      <c r="F807" s="163" t="s">
        <v>76</v>
      </c>
      <c r="G807" s="146"/>
      <c r="H807" s="165">
        <v>70481</v>
      </c>
      <c r="I807" s="142" t="s">
        <v>904</v>
      </c>
      <c r="J807" s="277">
        <v>40000000</v>
      </c>
      <c r="K807" s="727">
        <v>1000000</v>
      </c>
      <c r="L807" s="394"/>
      <c r="M807" s="394" t="s">
        <v>5133</v>
      </c>
      <c r="N807" s="277">
        <v>5000000</v>
      </c>
      <c r="O807" s="162" t="s">
        <v>3222</v>
      </c>
    </row>
    <row r="808" spans="1:15" ht="36.75" customHeight="1" x14ac:dyDescent="0.35">
      <c r="A808" s="272" t="s">
        <v>3232</v>
      </c>
      <c r="B808" s="497" t="s">
        <v>3223</v>
      </c>
      <c r="C808" s="331">
        <v>426</v>
      </c>
      <c r="D808" s="141" t="s">
        <v>4</v>
      </c>
      <c r="E808" s="163" t="s">
        <v>521</v>
      </c>
      <c r="F808" s="163" t="s">
        <v>76</v>
      </c>
      <c r="G808" s="146"/>
      <c r="H808" s="165">
        <v>70481</v>
      </c>
      <c r="I808" s="142" t="s">
        <v>904</v>
      </c>
      <c r="J808" s="277">
        <v>30000000</v>
      </c>
      <c r="K808" s="727">
        <v>30000000</v>
      </c>
      <c r="L808" s="727">
        <v>30000000</v>
      </c>
      <c r="M808" s="394" t="s">
        <v>5133</v>
      </c>
      <c r="N808" s="277"/>
      <c r="O808" s="162" t="s">
        <v>3223</v>
      </c>
    </row>
    <row r="809" spans="1:15" ht="57" customHeight="1" x14ac:dyDescent="0.35">
      <c r="A809" s="272" t="s">
        <v>3233</v>
      </c>
      <c r="B809" s="497" t="s">
        <v>3224</v>
      </c>
      <c r="C809" s="457">
        <v>426</v>
      </c>
      <c r="D809" s="141" t="s">
        <v>4</v>
      </c>
      <c r="E809" s="163" t="s">
        <v>521</v>
      </c>
      <c r="F809" s="163" t="s">
        <v>76</v>
      </c>
      <c r="G809" s="146"/>
      <c r="H809" s="165">
        <v>70481</v>
      </c>
      <c r="I809" s="142" t="s">
        <v>904</v>
      </c>
      <c r="J809" s="277">
        <v>150000000</v>
      </c>
      <c r="K809" s="727"/>
      <c r="L809" s="394"/>
      <c r="M809" s="394" t="s">
        <v>5133</v>
      </c>
      <c r="N809" s="277"/>
      <c r="O809" s="162" t="s">
        <v>3224</v>
      </c>
    </row>
    <row r="810" spans="1:15" ht="27" customHeight="1" x14ac:dyDescent="0.35">
      <c r="A810" s="272" t="s">
        <v>3234</v>
      </c>
      <c r="B810" s="497" t="s">
        <v>3225</v>
      </c>
      <c r="C810" s="457">
        <v>426</v>
      </c>
      <c r="D810" s="141" t="s">
        <v>4</v>
      </c>
      <c r="E810" s="163" t="s">
        <v>521</v>
      </c>
      <c r="F810" s="163" t="s">
        <v>76</v>
      </c>
      <c r="G810" s="146"/>
      <c r="H810" s="165">
        <v>70481</v>
      </c>
      <c r="I810" s="142" t="s">
        <v>904</v>
      </c>
      <c r="J810" s="277">
        <v>28000000</v>
      </c>
      <c r="K810" s="727">
        <v>15000000</v>
      </c>
      <c r="L810" s="394"/>
      <c r="M810" s="394" t="s">
        <v>5133</v>
      </c>
      <c r="N810" s="277"/>
      <c r="O810" s="162" t="s">
        <v>3225</v>
      </c>
    </row>
    <row r="811" spans="1:15" ht="33.75" customHeight="1" x14ac:dyDescent="0.35">
      <c r="A811" s="272" t="s">
        <v>3235</v>
      </c>
      <c r="B811" s="497" t="s">
        <v>3226</v>
      </c>
      <c r="C811" s="457">
        <v>426</v>
      </c>
      <c r="D811" s="141" t="s">
        <v>4</v>
      </c>
      <c r="E811" s="163" t="s">
        <v>521</v>
      </c>
      <c r="F811" s="163" t="s">
        <v>76</v>
      </c>
      <c r="G811" s="146"/>
      <c r="H811" s="165">
        <v>70481</v>
      </c>
      <c r="I811" s="142" t="s">
        <v>904</v>
      </c>
      <c r="J811" s="277">
        <v>35000000</v>
      </c>
      <c r="K811" s="727">
        <v>100000000</v>
      </c>
      <c r="L811" s="727">
        <v>100000000</v>
      </c>
      <c r="M811" s="394" t="s">
        <v>5123</v>
      </c>
      <c r="N811" s="277"/>
      <c r="O811" s="162" t="s">
        <v>3226</v>
      </c>
    </row>
    <row r="812" spans="1:15" ht="33.75" customHeight="1" x14ac:dyDescent="0.35">
      <c r="A812" s="272" t="s">
        <v>3236</v>
      </c>
      <c r="B812" s="497" t="s">
        <v>3227</v>
      </c>
      <c r="C812" s="457">
        <v>426</v>
      </c>
      <c r="D812" s="141" t="s">
        <v>4</v>
      </c>
      <c r="E812" s="163" t="s">
        <v>521</v>
      </c>
      <c r="F812" s="163" t="s">
        <v>76</v>
      </c>
      <c r="G812" s="146"/>
      <c r="H812" s="165">
        <v>70481</v>
      </c>
      <c r="I812" s="142" t="s">
        <v>904</v>
      </c>
      <c r="J812" s="277">
        <v>25000000</v>
      </c>
      <c r="K812" s="727">
        <v>10000000</v>
      </c>
      <c r="L812" s="394"/>
      <c r="M812" s="394" t="s">
        <v>5133</v>
      </c>
      <c r="N812" s="277"/>
      <c r="O812" s="162" t="s">
        <v>3227</v>
      </c>
    </row>
    <row r="813" spans="1:15" ht="33.75" customHeight="1" x14ac:dyDescent="0.35">
      <c r="A813" s="272" t="s">
        <v>3237</v>
      </c>
      <c r="B813" s="497" t="s">
        <v>3228</v>
      </c>
      <c r="C813" s="457">
        <v>426</v>
      </c>
      <c r="D813" s="141" t="s">
        <v>4</v>
      </c>
      <c r="E813" s="163" t="s">
        <v>521</v>
      </c>
      <c r="F813" s="163" t="s">
        <v>76</v>
      </c>
      <c r="G813" s="146"/>
      <c r="H813" s="165">
        <v>70481</v>
      </c>
      <c r="I813" s="142" t="s">
        <v>904</v>
      </c>
      <c r="J813" s="277">
        <v>40000000</v>
      </c>
      <c r="K813" s="727">
        <v>35000000</v>
      </c>
      <c r="L813" s="394"/>
      <c r="M813" s="394" t="s">
        <v>5133</v>
      </c>
      <c r="N813" s="277"/>
      <c r="O813" s="162" t="s">
        <v>3228</v>
      </c>
    </row>
    <row r="814" spans="1:15" ht="33.75" customHeight="1" x14ac:dyDescent="0.35">
      <c r="A814" s="272" t="s">
        <v>3238</v>
      </c>
      <c r="B814" s="497" t="s">
        <v>3229</v>
      </c>
      <c r="C814" s="457">
        <v>426</v>
      </c>
      <c r="D814" s="141" t="s">
        <v>4</v>
      </c>
      <c r="E814" s="163" t="s">
        <v>521</v>
      </c>
      <c r="F814" s="163" t="s">
        <v>76</v>
      </c>
      <c r="G814" s="146"/>
      <c r="H814" s="165">
        <v>70481</v>
      </c>
      <c r="I814" s="142" t="s">
        <v>904</v>
      </c>
      <c r="J814" s="277">
        <v>40000000</v>
      </c>
      <c r="K814" s="727"/>
      <c r="L814" s="394"/>
      <c r="M814" s="394" t="s">
        <v>5133</v>
      </c>
      <c r="N814" s="277"/>
      <c r="O814" s="162" t="s">
        <v>3229</v>
      </c>
    </row>
    <row r="815" spans="1:15" ht="33.75" customHeight="1" x14ac:dyDescent="0.35">
      <c r="A815" s="272" t="s">
        <v>3239</v>
      </c>
      <c r="B815" s="497" t="s">
        <v>3230</v>
      </c>
      <c r="C815" s="457">
        <v>426</v>
      </c>
      <c r="D815" s="141" t="s">
        <v>4</v>
      </c>
      <c r="E815" s="163" t="s">
        <v>521</v>
      </c>
      <c r="F815" s="163" t="s">
        <v>76</v>
      </c>
      <c r="G815" s="146"/>
      <c r="H815" s="165">
        <v>70481</v>
      </c>
      <c r="I815" s="142" t="s">
        <v>904</v>
      </c>
      <c r="J815" s="277">
        <v>45000000</v>
      </c>
      <c r="K815" s="727"/>
      <c r="L815" s="394"/>
      <c r="M815" s="394" t="s">
        <v>5133</v>
      </c>
      <c r="N815" s="277"/>
      <c r="O815" s="162" t="s">
        <v>3230</v>
      </c>
    </row>
    <row r="816" spans="1:15" ht="32.25" customHeight="1" x14ac:dyDescent="0.35">
      <c r="A816" s="272" t="s">
        <v>3240</v>
      </c>
      <c r="B816" s="497" t="s">
        <v>3231</v>
      </c>
      <c r="C816" s="457">
        <v>426</v>
      </c>
      <c r="D816" s="141" t="s">
        <v>4</v>
      </c>
      <c r="E816" s="163" t="s">
        <v>521</v>
      </c>
      <c r="F816" s="163" t="s">
        <v>76</v>
      </c>
      <c r="G816" s="146"/>
      <c r="H816" s="165">
        <v>70481</v>
      </c>
      <c r="I816" s="142" t="s">
        <v>904</v>
      </c>
      <c r="J816" s="277">
        <v>30000000</v>
      </c>
      <c r="K816" s="727">
        <v>20000000</v>
      </c>
      <c r="L816" s="394"/>
      <c r="M816" s="394" t="s">
        <v>5133</v>
      </c>
      <c r="N816" s="277"/>
      <c r="O816" s="162" t="s">
        <v>3231</v>
      </c>
    </row>
    <row r="817" spans="1:16" ht="33.75" customHeight="1" x14ac:dyDescent="0.35">
      <c r="A817" s="272" t="s">
        <v>3634</v>
      </c>
      <c r="B817" s="463" t="s">
        <v>3635</v>
      </c>
      <c r="C817" s="457">
        <v>426</v>
      </c>
      <c r="D817" s="141" t="s">
        <v>4</v>
      </c>
      <c r="E817" s="163" t="s">
        <v>521</v>
      </c>
      <c r="F817" s="163" t="s">
        <v>76</v>
      </c>
      <c r="G817" s="146"/>
      <c r="H817" s="165">
        <v>70481</v>
      </c>
      <c r="I817" s="142" t="s">
        <v>904</v>
      </c>
      <c r="J817" s="149">
        <v>500000000</v>
      </c>
      <c r="K817" s="727">
        <v>450000000</v>
      </c>
      <c r="L817" s="727">
        <v>450000000</v>
      </c>
      <c r="M817" s="394" t="s">
        <v>5123</v>
      </c>
      <c r="N817" s="149"/>
    </row>
    <row r="818" spans="1:16" s="247" customFormat="1" ht="35.25" customHeight="1" x14ac:dyDescent="0.3">
      <c r="A818" s="245"/>
      <c r="B818" s="360" t="s">
        <v>1008</v>
      </c>
      <c r="C818" s="188"/>
      <c r="D818" s="257"/>
      <c r="E818" s="273"/>
      <c r="F818" s="257"/>
      <c r="G818" s="273"/>
      <c r="H818" s="257"/>
      <c r="I818" s="273"/>
      <c r="J818" s="259">
        <f>SUM(J792:J817)</f>
        <v>1498500000</v>
      </c>
      <c r="K818" s="259">
        <f>SUM(K792:K817)</f>
        <v>796500000</v>
      </c>
      <c r="L818" s="707"/>
      <c r="M818" s="707"/>
      <c r="N818" s="259">
        <f>SUM(N792:N807)</f>
        <v>370130841</v>
      </c>
      <c r="O818" s="245" t="s">
        <v>1008</v>
      </c>
      <c r="P818" s="246"/>
    </row>
    <row r="819" spans="1:16" ht="19.5" customHeight="1" x14ac:dyDescent="0.35">
      <c r="A819" s="286"/>
      <c r="B819" s="492"/>
      <c r="C819" s="282"/>
      <c r="D819" s="283"/>
      <c r="E819" s="330"/>
      <c r="F819" s="283"/>
      <c r="G819" s="330"/>
      <c r="H819" s="283"/>
      <c r="I819" s="330"/>
      <c r="J819" s="285"/>
      <c r="K819" s="341"/>
      <c r="L819" s="704"/>
      <c r="M819" s="704"/>
      <c r="N819" s="285"/>
      <c r="O819" s="286"/>
    </row>
    <row r="820" spans="1:16" ht="28.5" hidden="1" customHeight="1" x14ac:dyDescent="0.35">
      <c r="A820" s="401" t="s">
        <v>529</v>
      </c>
      <c r="B820" s="716"/>
      <c r="C820" s="402"/>
      <c r="D820" s="403"/>
      <c r="E820" s="404"/>
      <c r="F820" s="403"/>
      <c r="G820" s="404"/>
      <c r="H820" s="403"/>
      <c r="I820" s="404"/>
      <c r="J820" s="405"/>
      <c r="K820" s="458"/>
      <c r="L820" s="704"/>
      <c r="M820" s="704"/>
      <c r="N820" s="405"/>
      <c r="O820" s="401"/>
    </row>
    <row r="821" spans="1:16" ht="35.25" customHeight="1" x14ac:dyDescent="0.35">
      <c r="A821" s="428" t="s">
        <v>4794</v>
      </c>
      <c r="B821" s="583"/>
      <c r="C821" s="429"/>
      <c r="D821" s="430"/>
      <c r="E821" s="494"/>
      <c r="F821" s="430"/>
      <c r="G821" s="494"/>
      <c r="H821" s="430"/>
      <c r="I821" s="494"/>
      <c r="J821" s="495"/>
      <c r="K821" s="458"/>
      <c r="L821" s="704"/>
      <c r="M821" s="704"/>
      <c r="N821" s="495"/>
      <c r="O821" s="357"/>
    </row>
    <row r="822" spans="1:16" ht="77.25" customHeight="1" x14ac:dyDescent="0.35">
      <c r="A822" s="187" t="s">
        <v>1007</v>
      </c>
      <c r="B822" s="360" t="s">
        <v>50</v>
      </c>
      <c r="C822" s="175" t="s">
        <v>898</v>
      </c>
      <c r="D822" s="175" t="s">
        <v>52</v>
      </c>
      <c r="E822" s="187" t="s">
        <v>49</v>
      </c>
      <c r="F822" s="175" t="s">
        <v>1</v>
      </c>
      <c r="G822" s="187"/>
      <c r="H822" s="175" t="s">
        <v>51</v>
      </c>
      <c r="I822" s="187" t="s">
        <v>2</v>
      </c>
      <c r="J822" s="189" t="s">
        <v>4862</v>
      </c>
      <c r="K822" s="189" t="s">
        <v>5140</v>
      </c>
      <c r="L822" s="623" t="s">
        <v>5132</v>
      </c>
      <c r="M822" s="623" t="s">
        <v>5132</v>
      </c>
      <c r="N822" s="189" t="s">
        <v>1006</v>
      </c>
      <c r="O822" s="187" t="s">
        <v>50</v>
      </c>
    </row>
    <row r="823" spans="1:16" ht="47.25" customHeight="1" x14ac:dyDescent="0.35">
      <c r="A823" s="272" t="s">
        <v>2933</v>
      </c>
      <c r="B823" s="497" t="s">
        <v>530</v>
      </c>
      <c r="C823" s="165" t="s">
        <v>5</v>
      </c>
      <c r="D823" s="163" t="s">
        <v>4</v>
      </c>
      <c r="E823" s="237" t="s">
        <v>37</v>
      </c>
      <c r="F823" s="163" t="s">
        <v>395</v>
      </c>
      <c r="G823" s="146"/>
      <c r="H823" s="253">
        <v>70411</v>
      </c>
      <c r="I823" s="142" t="s">
        <v>927</v>
      </c>
      <c r="J823" s="144">
        <v>5000000</v>
      </c>
      <c r="K823" s="627">
        <v>500000</v>
      </c>
      <c r="L823" s="394"/>
      <c r="M823" s="394" t="s">
        <v>5133</v>
      </c>
      <c r="N823" s="166">
        <v>5000000</v>
      </c>
      <c r="O823" s="162" t="s">
        <v>530</v>
      </c>
    </row>
    <row r="824" spans="1:16" ht="42" customHeight="1" x14ac:dyDescent="0.35">
      <c r="A824" s="272" t="s">
        <v>2934</v>
      </c>
      <c r="B824" s="497" t="s">
        <v>531</v>
      </c>
      <c r="C824" s="165" t="s">
        <v>5</v>
      </c>
      <c r="D824" s="163" t="s">
        <v>4</v>
      </c>
      <c r="E824" s="237" t="s">
        <v>37</v>
      </c>
      <c r="F824" s="163" t="s">
        <v>765</v>
      </c>
      <c r="G824" s="164"/>
      <c r="H824" s="253">
        <v>70411</v>
      </c>
      <c r="I824" s="142" t="s">
        <v>927</v>
      </c>
      <c r="J824" s="144">
        <v>5000000</v>
      </c>
      <c r="K824" s="627"/>
      <c r="L824" s="394"/>
      <c r="M824" s="394" t="s">
        <v>5133</v>
      </c>
      <c r="N824" s="166">
        <v>5000000</v>
      </c>
      <c r="O824" s="162" t="s">
        <v>531</v>
      </c>
    </row>
    <row r="825" spans="1:16" ht="49.5" customHeight="1" x14ac:dyDescent="0.35">
      <c r="A825" s="272" t="s">
        <v>2935</v>
      </c>
      <c r="B825" s="497" t="s">
        <v>532</v>
      </c>
      <c r="C825" s="165" t="s">
        <v>5</v>
      </c>
      <c r="D825" s="163" t="s">
        <v>4</v>
      </c>
      <c r="E825" s="237" t="s">
        <v>37</v>
      </c>
      <c r="F825" s="163" t="s">
        <v>533</v>
      </c>
      <c r="G825" s="153"/>
      <c r="H825" s="253">
        <v>70411</v>
      </c>
      <c r="I825" s="142" t="s">
        <v>928</v>
      </c>
      <c r="J825" s="166">
        <v>150000000</v>
      </c>
      <c r="K825" s="627">
        <v>61500000</v>
      </c>
      <c r="L825" s="394"/>
      <c r="M825" s="394" t="s">
        <v>5133</v>
      </c>
      <c r="N825" s="166">
        <v>35000000</v>
      </c>
      <c r="O825" s="162" t="s">
        <v>532</v>
      </c>
    </row>
    <row r="826" spans="1:16" ht="30" customHeight="1" x14ac:dyDescent="0.35">
      <c r="A826" s="272" t="s">
        <v>2936</v>
      </c>
      <c r="B826" s="497" t="s">
        <v>534</v>
      </c>
      <c r="C826" s="165" t="s">
        <v>5</v>
      </c>
      <c r="D826" s="163" t="s">
        <v>4</v>
      </c>
      <c r="E826" s="237" t="s">
        <v>37</v>
      </c>
      <c r="F826" s="163" t="s">
        <v>192</v>
      </c>
      <c r="G826" s="164"/>
      <c r="H826" s="253">
        <v>70411</v>
      </c>
      <c r="I826" s="142" t="s">
        <v>929</v>
      </c>
      <c r="J826" s="166">
        <v>5000000</v>
      </c>
      <c r="K826" s="627">
        <v>3000000</v>
      </c>
      <c r="L826" s="394"/>
      <c r="M826" s="394" t="s">
        <v>5133</v>
      </c>
      <c r="N826" s="166">
        <v>5000000</v>
      </c>
      <c r="O826" s="162" t="s">
        <v>534</v>
      </c>
    </row>
    <row r="827" spans="1:16" ht="30" customHeight="1" x14ac:dyDescent="0.35">
      <c r="A827" s="272" t="s">
        <v>2937</v>
      </c>
      <c r="B827" s="497" t="s">
        <v>215</v>
      </c>
      <c r="C827" s="165" t="s">
        <v>5</v>
      </c>
      <c r="D827" s="163" t="s">
        <v>4</v>
      </c>
      <c r="E827" s="237" t="s">
        <v>37</v>
      </c>
      <c r="F827" s="163" t="s">
        <v>62</v>
      </c>
      <c r="G827" s="164"/>
      <c r="H827" s="253">
        <v>70411</v>
      </c>
      <c r="I827" s="146" t="s">
        <v>904</v>
      </c>
      <c r="J827" s="166">
        <v>10000000</v>
      </c>
      <c r="K827" s="627">
        <v>1000000</v>
      </c>
      <c r="L827" s="394"/>
      <c r="M827" s="394" t="s">
        <v>5133</v>
      </c>
      <c r="N827" s="166">
        <v>9893656</v>
      </c>
      <c r="O827" s="162" t="s">
        <v>215</v>
      </c>
    </row>
    <row r="828" spans="1:16" ht="30" customHeight="1" x14ac:dyDescent="0.35">
      <c r="A828" s="272" t="s">
        <v>2938</v>
      </c>
      <c r="B828" s="497" t="s">
        <v>535</v>
      </c>
      <c r="C828" s="165" t="s">
        <v>5</v>
      </c>
      <c r="D828" s="163" t="s">
        <v>4</v>
      </c>
      <c r="E828" s="237" t="s">
        <v>37</v>
      </c>
      <c r="F828" s="163" t="s">
        <v>56</v>
      </c>
      <c r="G828" s="164"/>
      <c r="H828" s="253">
        <v>70411</v>
      </c>
      <c r="I828" s="142" t="s">
        <v>901</v>
      </c>
      <c r="J828" s="166">
        <v>1000000</v>
      </c>
      <c r="K828" s="627">
        <v>500000</v>
      </c>
      <c r="L828" s="394"/>
      <c r="M828" s="394" t="s">
        <v>5133</v>
      </c>
      <c r="N828" s="166">
        <v>856344</v>
      </c>
      <c r="O828" s="162" t="s">
        <v>535</v>
      </c>
    </row>
    <row r="829" spans="1:16" ht="30" customHeight="1" x14ac:dyDescent="0.35">
      <c r="A829" s="272" t="s">
        <v>2939</v>
      </c>
      <c r="B829" s="497" t="s">
        <v>106</v>
      </c>
      <c r="C829" s="165" t="s">
        <v>5</v>
      </c>
      <c r="D829" s="163" t="s">
        <v>4</v>
      </c>
      <c r="E829" s="237" t="s">
        <v>37</v>
      </c>
      <c r="F829" s="163" t="s">
        <v>54</v>
      </c>
      <c r="G829" s="164"/>
      <c r="H829" s="253">
        <v>70411</v>
      </c>
      <c r="I829" s="142" t="s">
        <v>900</v>
      </c>
      <c r="J829" s="166">
        <v>4000000</v>
      </c>
      <c r="K829" s="627">
        <v>500000</v>
      </c>
      <c r="L829" s="394"/>
      <c r="M829" s="394" t="s">
        <v>5133</v>
      </c>
      <c r="N829" s="166">
        <v>3000000</v>
      </c>
      <c r="O829" s="162" t="s">
        <v>106</v>
      </c>
    </row>
    <row r="830" spans="1:16" ht="30" customHeight="1" x14ac:dyDescent="0.35">
      <c r="A830" s="272" t="s">
        <v>2940</v>
      </c>
      <c r="B830" s="497" t="s">
        <v>60</v>
      </c>
      <c r="C830" s="165" t="s">
        <v>5</v>
      </c>
      <c r="D830" s="163" t="s">
        <v>4</v>
      </c>
      <c r="E830" s="237" t="s">
        <v>37</v>
      </c>
      <c r="F830" s="163" t="s">
        <v>983</v>
      </c>
      <c r="G830" s="164"/>
      <c r="H830" s="253">
        <v>70411</v>
      </c>
      <c r="I830" s="142" t="s">
        <v>902</v>
      </c>
      <c r="J830" s="144">
        <v>2000000</v>
      </c>
      <c r="K830" s="627">
        <v>2000000</v>
      </c>
      <c r="L830" s="394"/>
      <c r="M830" s="394" t="s">
        <v>5133</v>
      </c>
      <c r="N830" s="166">
        <v>9250000</v>
      </c>
      <c r="O830" s="162" t="s">
        <v>60</v>
      </c>
    </row>
    <row r="831" spans="1:16" ht="30" customHeight="1" x14ac:dyDescent="0.35">
      <c r="A831" s="272" t="s">
        <v>2941</v>
      </c>
      <c r="B831" s="497" t="s">
        <v>536</v>
      </c>
      <c r="C831" s="165" t="s">
        <v>424</v>
      </c>
      <c r="D831" s="163" t="s">
        <v>4</v>
      </c>
      <c r="E831" s="237" t="s">
        <v>37</v>
      </c>
      <c r="F831" s="163" t="s">
        <v>192</v>
      </c>
      <c r="G831" s="164"/>
      <c r="H831" s="253">
        <v>70411</v>
      </c>
      <c r="I831" s="142" t="s">
        <v>929</v>
      </c>
      <c r="J831" s="144">
        <v>5000000</v>
      </c>
      <c r="K831" s="627">
        <v>1000000</v>
      </c>
      <c r="L831" s="394"/>
      <c r="M831" s="394" t="s">
        <v>5133</v>
      </c>
      <c r="N831" s="166">
        <v>14000000</v>
      </c>
      <c r="O831" s="162" t="s">
        <v>536</v>
      </c>
    </row>
    <row r="832" spans="1:16" ht="30" customHeight="1" x14ac:dyDescent="0.35">
      <c r="A832" s="272" t="s">
        <v>2942</v>
      </c>
      <c r="B832" s="497" t="s">
        <v>537</v>
      </c>
      <c r="C832" s="165" t="s">
        <v>5</v>
      </c>
      <c r="D832" s="163" t="s">
        <v>4</v>
      </c>
      <c r="E832" s="237" t="s">
        <v>37</v>
      </c>
      <c r="F832" s="163" t="s">
        <v>207</v>
      </c>
      <c r="G832" s="164"/>
      <c r="H832" s="253">
        <v>70411</v>
      </c>
      <c r="I832" s="142" t="s">
        <v>929</v>
      </c>
      <c r="J832" s="144">
        <v>10000000</v>
      </c>
      <c r="K832" s="627"/>
      <c r="L832" s="394"/>
      <c r="M832" s="394" t="s">
        <v>5133</v>
      </c>
      <c r="N832" s="166">
        <v>10000000</v>
      </c>
      <c r="O832" s="162" t="s">
        <v>537</v>
      </c>
    </row>
    <row r="833" spans="1:16" ht="30" customHeight="1" x14ac:dyDescent="0.35">
      <c r="A833" s="272" t="s">
        <v>2943</v>
      </c>
      <c r="B833" s="497" t="s">
        <v>539</v>
      </c>
      <c r="C833" s="165" t="s">
        <v>469</v>
      </c>
      <c r="D833" s="163" t="s">
        <v>4</v>
      </c>
      <c r="E833" s="237" t="s">
        <v>37</v>
      </c>
      <c r="F833" s="163" t="s">
        <v>192</v>
      </c>
      <c r="G833" s="164"/>
      <c r="H833" s="253">
        <v>70411</v>
      </c>
      <c r="I833" s="142" t="s">
        <v>929</v>
      </c>
      <c r="J833" s="144">
        <v>4944393</v>
      </c>
      <c r="K833" s="627">
        <v>1000000</v>
      </c>
      <c r="L833" s="394"/>
      <c r="M833" s="394" t="s">
        <v>5133</v>
      </c>
      <c r="N833" s="166">
        <v>4944393</v>
      </c>
      <c r="O833" s="162" t="s">
        <v>539</v>
      </c>
    </row>
    <row r="834" spans="1:16" ht="30" customHeight="1" x14ac:dyDescent="0.35">
      <c r="A834" s="272" t="s">
        <v>2944</v>
      </c>
      <c r="B834" s="497" t="s">
        <v>540</v>
      </c>
      <c r="C834" s="165" t="s">
        <v>424</v>
      </c>
      <c r="D834" s="163" t="s">
        <v>4</v>
      </c>
      <c r="E834" s="237" t="s">
        <v>37</v>
      </c>
      <c r="F834" s="163" t="s">
        <v>192</v>
      </c>
      <c r="G834" s="164"/>
      <c r="H834" s="253">
        <v>70411</v>
      </c>
      <c r="I834" s="142" t="s">
        <v>929</v>
      </c>
      <c r="J834" s="144">
        <v>4944393</v>
      </c>
      <c r="K834" s="627">
        <v>1000000</v>
      </c>
      <c r="L834" s="394"/>
      <c r="M834" s="394" t="s">
        <v>5133</v>
      </c>
      <c r="N834" s="166">
        <v>4944393</v>
      </c>
      <c r="O834" s="162" t="s">
        <v>540</v>
      </c>
    </row>
    <row r="835" spans="1:16" s="247" customFormat="1" ht="35.25" customHeight="1" x14ac:dyDescent="0.3">
      <c r="A835" s="245"/>
      <c r="B835" s="360" t="s">
        <v>1008</v>
      </c>
      <c r="C835" s="188"/>
      <c r="D835" s="257"/>
      <c r="E835" s="273"/>
      <c r="F835" s="257"/>
      <c r="G835" s="273"/>
      <c r="H835" s="257"/>
      <c r="I835" s="273"/>
      <c r="J835" s="259">
        <f>SUM(J823:J834)</f>
        <v>206888786</v>
      </c>
      <c r="K835" s="259">
        <f>SUM(K823:K834)</f>
        <v>72000000</v>
      </c>
      <c r="L835" s="707"/>
      <c r="M835" s="707"/>
      <c r="N835" s="259">
        <f>SUM(N823:N834)</f>
        <v>106888786</v>
      </c>
      <c r="O835" s="245" t="s">
        <v>1008</v>
      </c>
      <c r="P835" s="246"/>
    </row>
    <row r="836" spans="1:16" s="247" customFormat="1" ht="22.5" customHeight="1" x14ac:dyDescent="0.3">
      <c r="A836" s="342"/>
      <c r="B836" s="361"/>
      <c r="C836" s="338"/>
      <c r="D836" s="339"/>
      <c r="E836" s="340"/>
      <c r="F836" s="339"/>
      <c r="G836" s="340"/>
      <c r="H836" s="339"/>
      <c r="I836" s="340"/>
      <c r="J836" s="341"/>
      <c r="K836" s="628"/>
      <c r="L836" s="706"/>
      <c r="M836" s="706"/>
      <c r="N836" s="341"/>
      <c r="O836" s="342"/>
      <c r="P836" s="246"/>
    </row>
    <row r="837" spans="1:16" s="247" customFormat="1" ht="9" hidden="1" customHeight="1" x14ac:dyDescent="0.3">
      <c r="A837" s="342"/>
      <c r="B837" s="361"/>
      <c r="C837" s="338"/>
      <c r="D837" s="339"/>
      <c r="E837" s="340"/>
      <c r="F837" s="339"/>
      <c r="G837" s="340"/>
      <c r="H837" s="339"/>
      <c r="I837" s="340"/>
      <c r="J837" s="341"/>
      <c r="K837" s="628"/>
      <c r="L837" s="706"/>
      <c r="M837" s="706"/>
      <c r="N837" s="341"/>
      <c r="O837" s="342"/>
      <c r="P837" s="246"/>
    </row>
    <row r="838" spans="1:16" ht="22.5" customHeight="1" x14ac:dyDescent="0.35">
      <c r="A838" s="286"/>
      <c r="B838" s="492"/>
      <c r="C838" s="282"/>
      <c r="D838" s="283"/>
      <c r="E838" s="330"/>
      <c r="F838" s="283"/>
      <c r="G838" s="330"/>
      <c r="H838" s="283"/>
      <c r="I838" s="330"/>
      <c r="J838" s="285"/>
      <c r="K838" s="458"/>
      <c r="L838" s="704"/>
      <c r="M838" s="704"/>
      <c r="N838" s="285"/>
      <c r="O838" s="286"/>
    </row>
    <row r="839" spans="1:16" ht="29.25" hidden="1" customHeight="1" x14ac:dyDescent="0.35">
      <c r="A839" s="401" t="s">
        <v>541</v>
      </c>
      <c r="B839" s="716"/>
      <c r="C839" s="402"/>
      <c r="D839" s="403"/>
      <c r="E839" s="404"/>
      <c r="F839" s="403"/>
      <c r="G839" s="404"/>
      <c r="H839" s="403"/>
      <c r="I839" s="404"/>
      <c r="J839" s="405"/>
      <c r="K839" s="458"/>
      <c r="L839" s="704"/>
      <c r="M839" s="704"/>
      <c r="N839" s="405"/>
      <c r="O839" s="600"/>
    </row>
    <row r="840" spans="1:16" ht="26.25" customHeight="1" x14ac:dyDescent="0.35">
      <c r="A840" s="428" t="s">
        <v>2600</v>
      </c>
      <c r="B840" s="583"/>
      <c r="C840" s="429"/>
      <c r="D840" s="430"/>
      <c r="E840" s="494"/>
      <c r="F840" s="430"/>
      <c r="G840" s="494"/>
      <c r="H840" s="430"/>
      <c r="I840" s="494"/>
      <c r="J840" s="495"/>
      <c r="K840" s="458"/>
      <c r="L840" s="704"/>
      <c r="M840" s="704"/>
      <c r="N840" s="495"/>
      <c r="O840" s="357"/>
    </row>
    <row r="841" spans="1:16" s="235" customFormat="1" ht="83.25" customHeight="1" x14ac:dyDescent="0.35">
      <c r="A841" s="187" t="s">
        <v>1007</v>
      </c>
      <c r="B841" s="360" t="s">
        <v>50</v>
      </c>
      <c r="C841" s="175" t="s">
        <v>898</v>
      </c>
      <c r="D841" s="175" t="s">
        <v>52</v>
      </c>
      <c r="E841" s="187" t="s">
        <v>49</v>
      </c>
      <c r="F841" s="175" t="s">
        <v>1</v>
      </c>
      <c r="G841" s="187"/>
      <c r="H841" s="175" t="s">
        <v>51</v>
      </c>
      <c r="I841" s="187" t="s">
        <v>2</v>
      </c>
      <c r="J841" s="189" t="s">
        <v>4862</v>
      </c>
      <c r="K841" s="189" t="s">
        <v>5140</v>
      </c>
      <c r="L841" s="623" t="s">
        <v>5132</v>
      </c>
      <c r="M841" s="623" t="s">
        <v>5132</v>
      </c>
      <c r="N841" s="189" t="s">
        <v>1006</v>
      </c>
      <c r="O841" s="187" t="s">
        <v>50</v>
      </c>
      <c r="P841" s="387"/>
    </row>
    <row r="842" spans="1:16" ht="36.75" customHeight="1" x14ac:dyDescent="0.35">
      <c r="A842" s="272" t="s">
        <v>2945</v>
      </c>
      <c r="B842" s="497" t="s">
        <v>542</v>
      </c>
      <c r="C842" s="165" t="s">
        <v>5</v>
      </c>
      <c r="D842" s="163" t="s">
        <v>4</v>
      </c>
      <c r="E842" s="237" t="s">
        <v>32</v>
      </c>
      <c r="F842" s="163" t="s">
        <v>313</v>
      </c>
      <c r="G842" s="164"/>
      <c r="H842" s="253">
        <v>70411</v>
      </c>
      <c r="I842" s="364" t="s">
        <v>400</v>
      </c>
      <c r="J842" s="166">
        <v>312246476</v>
      </c>
      <c r="K842" s="627">
        <v>100000000</v>
      </c>
      <c r="L842" s="394"/>
      <c r="M842" s="394" t="s">
        <v>5133</v>
      </c>
      <c r="N842" s="161">
        <v>900000000</v>
      </c>
      <c r="O842" s="162" t="s">
        <v>542</v>
      </c>
    </row>
    <row r="843" spans="1:16" ht="31.5" customHeight="1" x14ac:dyDescent="0.35">
      <c r="A843" s="272" t="s">
        <v>2946</v>
      </c>
      <c r="B843" s="497" t="s">
        <v>543</v>
      </c>
      <c r="C843" s="165" t="s">
        <v>5</v>
      </c>
      <c r="D843" s="163" t="s">
        <v>4</v>
      </c>
      <c r="E843" s="237" t="s">
        <v>32</v>
      </c>
      <c r="F843" s="163" t="s">
        <v>544</v>
      </c>
      <c r="G843" s="164"/>
      <c r="H843" s="253">
        <v>70411</v>
      </c>
      <c r="I843" s="364" t="s">
        <v>400</v>
      </c>
      <c r="J843" s="166">
        <v>80000000</v>
      </c>
      <c r="K843" s="627">
        <v>50000000</v>
      </c>
      <c r="L843" s="394"/>
      <c r="M843" s="394" t="s">
        <v>5133</v>
      </c>
      <c r="N843" s="161">
        <v>160000000</v>
      </c>
      <c r="O843" s="162" t="s">
        <v>543</v>
      </c>
    </row>
    <row r="844" spans="1:16" ht="27.75" customHeight="1" x14ac:dyDescent="0.35">
      <c r="A844" s="272" t="s">
        <v>2947</v>
      </c>
      <c r="B844" s="497" t="s">
        <v>96</v>
      </c>
      <c r="C844" s="165" t="s">
        <v>5</v>
      </c>
      <c r="D844" s="163" t="s">
        <v>4</v>
      </c>
      <c r="E844" s="237" t="s">
        <v>32</v>
      </c>
      <c r="F844" s="163" t="s">
        <v>54</v>
      </c>
      <c r="G844" s="164"/>
      <c r="H844" s="253">
        <v>70411</v>
      </c>
      <c r="I844" s="142" t="s">
        <v>900</v>
      </c>
      <c r="J844" s="144">
        <v>10000000</v>
      </c>
      <c r="K844" s="627">
        <v>3500000</v>
      </c>
      <c r="L844" s="394"/>
      <c r="M844" s="394" t="s">
        <v>5133</v>
      </c>
      <c r="N844" s="161">
        <v>20000000</v>
      </c>
      <c r="O844" s="162" t="s">
        <v>96</v>
      </c>
    </row>
    <row r="845" spans="1:16" ht="24.75" customHeight="1" x14ac:dyDescent="0.35">
      <c r="A845" s="272" t="s">
        <v>2948</v>
      </c>
      <c r="B845" s="497" t="s">
        <v>220</v>
      </c>
      <c r="C845" s="165" t="s">
        <v>5</v>
      </c>
      <c r="D845" s="163" t="s">
        <v>4</v>
      </c>
      <c r="E845" s="237" t="s">
        <v>32</v>
      </c>
      <c r="F845" s="163" t="s">
        <v>62</v>
      </c>
      <c r="G845" s="164"/>
      <c r="H845" s="253">
        <v>70411</v>
      </c>
      <c r="I845" s="142" t="s">
        <v>904</v>
      </c>
      <c r="J845" s="144">
        <v>15000000</v>
      </c>
      <c r="K845" s="627">
        <v>3500000</v>
      </c>
      <c r="L845" s="394"/>
      <c r="M845" s="394" t="s">
        <v>5133</v>
      </c>
      <c r="N845" s="161">
        <v>15000000</v>
      </c>
      <c r="O845" s="162" t="s">
        <v>220</v>
      </c>
    </row>
    <row r="846" spans="1:16" ht="28.5" customHeight="1" x14ac:dyDescent="0.35">
      <c r="A846" s="272" t="s">
        <v>2949</v>
      </c>
      <c r="B846" s="497" t="s">
        <v>102</v>
      </c>
      <c r="C846" s="165" t="s">
        <v>5</v>
      </c>
      <c r="D846" s="163" t="s">
        <v>4</v>
      </c>
      <c r="E846" s="237" t="s">
        <v>32</v>
      </c>
      <c r="F846" s="163" t="s">
        <v>56</v>
      </c>
      <c r="G846" s="164"/>
      <c r="H846" s="253">
        <v>70411</v>
      </c>
      <c r="I846" s="142" t="s">
        <v>901</v>
      </c>
      <c r="J846" s="144">
        <v>1000000</v>
      </c>
      <c r="K846" s="627">
        <v>400000</v>
      </c>
      <c r="L846" s="394"/>
      <c r="M846" s="394" t="s">
        <v>5133</v>
      </c>
      <c r="N846" s="161">
        <v>1000000</v>
      </c>
      <c r="O846" s="162" t="s">
        <v>102</v>
      </c>
    </row>
    <row r="847" spans="1:16" ht="24.75" customHeight="1" x14ac:dyDescent="0.35">
      <c r="A847" s="272" t="s">
        <v>2950</v>
      </c>
      <c r="B847" s="497" t="s">
        <v>546</v>
      </c>
      <c r="C847" s="165" t="s">
        <v>5</v>
      </c>
      <c r="D847" s="163" t="s">
        <v>4</v>
      </c>
      <c r="E847" s="237" t="s">
        <v>32</v>
      </c>
      <c r="F847" s="163" t="s">
        <v>544</v>
      </c>
      <c r="G847" s="164"/>
      <c r="H847" s="253">
        <v>70411</v>
      </c>
      <c r="I847" s="364" t="s">
        <v>400</v>
      </c>
      <c r="J847" s="166">
        <v>300000000</v>
      </c>
      <c r="K847" s="627">
        <v>120000000</v>
      </c>
      <c r="L847" s="394"/>
      <c r="M847" s="394" t="s">
        <v>5133</v>
      </c>
      <c r="N847" s="161">
        <v>300000000</v>
      </c>
      <c r="O847" s="162" t="s">
        <v>546</v>
      </c>
    </row>
    <row r="848" spans="1:16" ht="29.25" customHeight="1" x14ac:dyDescent="0.35">
      <c r="A848" s="272" t="s">
        <v>2951</v>
      </c>
      <c r="B848" s="497" t="s">
        <v>547</v>
      </c>
      <c r="C848" s="165" t="s">
        <v>5</v>
      </c>
      <c r="D848" s="163" t="s">
        <v>4</v>
      </c>
      <c r="E848" s="237" t="s">
        <v>32</v>
      </c>
      <c r="F848" s="163" t="s">
        <v>54</v>
      </c>
      <c r="G848" s="164"/>
      <c r="H848" s="253">
        <v>70411</v>
      </c>
      <c r="I848" s="142" t="s">
        <v>900</v>
      </c>
      <c r="J848" s="144">
        <v>2000000</v>
      </c>
      <c r="K848" s="627">
        <v>800000</v>
      </c>
      <c r="L848" s="394"/>
      <c r="M848" s="394" t="s">
        <v>5133</v>
      </c>
      <c r="N848" s="161">
        <v>2000000</v>
      </c>
      <c r="O848" s="162" t="s">
        <v>547</v>
      </c>
    </row>
    <row r="849" spans="1:16" ht="31.5" customHeight="1" x14ac:dyDescent="0.35">
      <c r="A849" s="272" t="s">
        <v>2952</v>
      </c>
      <c r="B849" s="497" t="s">
        <v>548</v>
      </c>
      <c r="C849" s="165" t="s">
        <v>5</v>
      </c>
      <c r="D849" s="163" t="s">
        <v>4</v>
      </c>
      <c r="E849" s="237" t="s">
        <v>32</v>
      </c>
      <c r="F849" s="163" t="s">
        <v>549</v>
      </c>
      <c r="G849" s="164"/>
      <c r="H849" s="253">
        <v>70411</v>
      </c>
      <c r="I849" s="142" t="s">
        <v>902</v>
      </c>
      <c r="J849" s="144">
        <v>15000000</v>
      </c>
      <c r="K849" s="627">
        <v>8500000</v>
      </c>
      <c r="L849" s="394"/>
      <c r="M849" s="394" t="s">
        <v>5133</v>
      </c>
      <c r="N849" s="161">
        <v>15000000</v>
      </c>
      <c r="O849" s="162" t="s">
        <v>548</v>
      </c>
    </row>
    <row r="850" spans="1:16" ht="27" customHeight="1" x14ac:dyDescent="0.35">
      <c r="A850" s="272" t="s">
        <v>2953</v>
      </c>
      <c r="B850" s="497" t="s">
        <v>60</v>
      </c>
      <c r="C850" s="165" t="s">
        <v>5</v>
      </c>
      <c r="D850" s="163" t="s">
        <v>4</v>
      </c>
      <c r="E850" s="237" t="s">
        <v>32</v>
      </c>
      <c r="F850" s="163" t="s">
        <v>983</v>
      </c>
      <c r="G850" s="164"/>
      <c r="H850" s="253">
        <v>70411</v>
      </c>
      <c r="I850" s="142" t="s">
        <v>902</v>
      </c>
      <c r="J850" s="144">
        <v>25000000</v>
      </c>
      <c r="K850" s="627">
        <v>8500000</v>
      </c>
      <c r="L850" s="394"/>
      <c r="M850" s="394" t="s">
        <v>5133</v>
      </c>
      <c r="N850" s="161">
        <v>15000000</v>
      </c>
      <c r="O850" s="162" t="s">
        <v>60</v>
      </c>
    </row>
    <row r="851" spans="1:16" ht="27" customHeight="1" x14ac:dyDescent="0.35">
      <c r="A851" s="272" t="s">
        <v>2954</v>
      </c>
      <c r="B851" s="497" t="s">
        <v>550</v>
      </c>
      <c r="C851" s="165" t="s">
        <v>5</v>
      </c>
      <c r="D851" s="163" t="s">
        <v>4</v>
      </c>
      <c r="E851" s="237" t="s">
        <v>32</v>
      </c>
      <c r="F851" s="163" t="s">
        <v>549</v>
      </c>
      <c r="G851" s="164"/>
      <c r="H851" s="253">
        <v>70411</v>
      </c>
      <c r="I851" s="142" t="s">
        <v>902</v>
      </c>
      <c r="J851" s="144">
        <v>45000000</v>
      </c>
      <c r="K851" s="627">
        <v>40000000</v>
      </c>
      <c r="L851" s="394"/>
      <c r="M851" s="394" t="s">
        <v>5133</v>
      </c>
      <c r="N851" s="161">
        <v>45000000</v>
      </c>
      <c r="O851" s="162" t="s">
        <v>550</v>
      </c>
    </row>
    <row r="852" spans="1:16" ht="36.75" customHeight="1" x14ac:dyDescent="0.35">
      <c r="A852" s="272" t="s">
        <v>2955</v>
      </c>
      <c r="B852" s="497" t="s">
        <v>551</v>
      </c>
      <c r="C852" s="165" t="s">
        <v>5</v>
      </c>
      <c r="D852" s="163" t="s">
        <v>4</v>
      </c>
      <c r="E852" s="237" t="s">
        <v>32</v>
      </c>
      <c r="F852" s="163" t="s">
        <v>54</v>
      </c>
      <c r="G852" s="164"/>
      <c r="H852" s="253">
        <v>70411</v>
      </c>
      <c r="I852" s="142" t="s">
        <v>900</v>
      </c>
      <c r="J852" s="144">
        <v>26000000</v>
      </c>
      <c r="K852" s="627">
        <v>21000000</v>
      </c>
      <c r="L852" s="394"/>
      <c r="M852" s="394" t="s">
        <v>5133</v>
      </c>
      <c r="N852" s="161">
        <v>26000000</v>
      </c>
      <c r="O852" s="162" t="s">
        <v>551</v>
      </c>
    </row>
    <row r="853" spans="1:16" ht="30.75" customHeight="1" x14ac:dyDescent="0.35">
      <c r="A853" s="272" t="s">
        <v>2956</v>
      </c>
      <c r="B853" s="497" t="s">
        <v>552</v>
      </c>
      <c r="C853" s="165" t="s">
        <v>5</v>
      </c>
      <c r="D853" s="163" t="s">
        <v>4</v>
      </c>
      <c r="E853" s="237" t="s">
        <v>32</v>
      </c>
      <c r="F853" s="163" t="s">
        <v>553</v>
      </c>
      <c r="G853" s="164"/>
      <c r="H853" s="253">
        <v>70411</v>
      </c>
      <c r="I853" s="142" t="s">
        <v>902</v>
      </c>
      <c r="J853" s="144">
        <v>100000000</v>
      </c>
      <c r="K853" s="627">
        <v>60647352</v>
      </c>
      <c r="L853" s="394"/>
      <c r="M853" s="394" t="s">
        <v>5133</v>
      </c>
      <c r="N853" s="161">
        <v>100000000</v>
      </c>
      <c r="O853" s="162" t="s">
        <v>552</v>
      </c>
    </row>
    <row r="854" spans="1:16" ht="31.5" customHeight="1" x14ac:dyDescent="0.35">
      <c r="A854" s="272" t="s">
        <v>2957</v>
      </c>
      <c r="B854" s="497" t="s">
        <v>554</v>
      </c>
      <c r="C854" s="165" t="s">
        <v>5</v>
      </c>
      <c r="D854" s="163" t="s">
        <v>4</v>
      </c>
      <c r="E854" s="237" t="s">
        <v>32</v>
      </c>
      <c r="F854" s="163" t="s">
        <v>110</v>
      </c>
      <c r="G854" s="164"/>
      <c r="H854" s="253">
        <v>70411</v>
      </c>
      <c r="I854" s="142" t="s">
        <v>906</v>
      </c>
      <c r="J854" s="144">
        <v>60000000</v>
      </c>
      <c r="K854" s="627">
        <v>50000000</v>
      </c>
      <c r="L854" s="394"/>
      <c r="M854" s="394" t="s">
        <v>5133</v>
      </c>
      <c r="N854" s="161">
        <v>50000000</v>
      </c>
      <c r="O854" s="162" t="s">
        <v>554</v>
      </c>
    </row>
    <row r="855" spans="1:16" ht="31.5" customHeight="1" x14ac:dyDescent="0.35">
      <c r="A855" s="272" t="s">
        <v>2958</v>
      </c>
      <c r="B855" s="497" t="s">
        <v>3127</v>
      </c>
      <c r="C855" s="165" t="s">
        <v>5</v>
      </c>
      <c r="D855" s="163" t="s">
        <v>4</v>
      </c>
      <c r="E855" s="237" t="s">
        <v>32</v>
      </c>
      <c r="F855" s="163" t="s">
        <v>105</v>
      </c>
      <c r="G855" s="164"/>
      <c r="H855" s="253">
        <v>70411</v>
      </c>
      <c r="I855" s="364" t="s">
        <v>59</v>
      </c>
      <c r="J855" s="166">
        <v>10000000</v>
      </c>
      <c r="K855" s="627">
        <v>20000000</v>
      </c>
      <c r="L855" s="394"/>
      <c r="M855" s="394" t="s">
        <v>5133</v>
      </c>
      <c r="N855" s="161">
        <v>50000000</v>
      </c>
      <c r="O855" s="162" t="s">
        <v>3127</v>
      </c>
    </row>
    <row r="856" spans="1:16" ht="29.25" customHeight="1" x14ac:dyDescent="0.35">
      <c r="A856" s="272" t="s">
        <v>2959</v>
      </c>
      <c r="B856" s="497" t="s">
        <v>555</v>
      </c>
      <c r="C856" s="165" t="s">
        <v>5</v>
      </c>
      <c r="D856" s="163" t="s">
        <v>4</v>
      </c>
      <c r="E856" s="237" t="s">
        <v>32</v>
      </c>
      <c r="F856" s="163" t="s">
        <v>512</v>
      </c>
      <c r="G856" s="164"/>
      <c r="H856" s="253">
        <v>70411</v>
      </c>
      <c r="I856" s="142" t="s">
        <v>930</v>
      </c>
      <c r="J856" s="144">
        <f>5000000000-3304878675-1155000000</f>
        <v>540121325</v>
      </c>
      <c r="K856" s="627">
        <f>500000000-100000000-100000000-35500000</f>
        <v>264500000</v>
      </c>
      <c r="L856" s="394"/>
      <c r="M856" s="394" t="s">
        <v>5133</v>
      </c>
      <c r="N856" s="161">
        <f>[2]CAPEX!$K$749</f>
        <v>5000000000</v>
      </c>
      <c r="O856" s="162" t="s">
        <v>555</v>
      </c>
      <c r="P856" s="458">
        <v>3304878675.2715454</v>
      </c>
    </row>
    <row r="857" spans="1:16" s="247" customFormat="1" ht="31.5" customHeight="1" x14ac:dyDescent="0.3">
      <c r="A857" s="245"/>
      <c r="B857" s="360" t="s">
        <v>1008</v>
      </c>
      <c r="C857" s="188"/>
      <c r="D857" s="257"/>
      <c r="E857" s="273"/>
      <c r="F857" s="257"/>
      <c r="G857" s="273"/>
      <c r="H857" s="257"/>
      <c r="I857" s="273"/>
      <c r="J857" s="259">
        <f>SUM(J842:J856)</f>
        <v>1541367801</v>
      </c>
      <c r="K857" s="259">
        <f>SUM(K842:K856)</f>
        <v>751347352</v>
      </c>
      <c r="L857" s="707"/>
      <c r="M857" s="707"/>
      <c r="N857" s="259">
        <f>SUM(N842:N856)</f>
        <v>6699000000</v>
      </c>
      <c r="O857" s="245" t="s">
        <v>1008</v>
      </c>
      <c r="P857" s="246"/>
    </row>
    <row r="858" spans="1:16" ht="31.5" customHeight="1" x14ac:dyDescent="0.35">
      <c r="A858" s="286"/>
      <c r="B858" s="492"/>
      <c r="C858" s="282"/>
      <c r="D858" s="283"/>
      <c r="E858" s="330"/>
      <c r="F858" s="283"/>
      <c r="G858" s="330"/>
      <c r="H858" s="283"/>
      <c r="I858" s="330"/>
      <c r="J858" s="285"/>
      <c r="K858" s="458"/>
      <c r="L858" s="704"/>
      <c r="M858" s="704"/>
      <c r="N858" s="285"/>
      <c r="O858" s="286"/>
    </row>
    <row r="859" spans="1:16" ht="29.25" customHeight="1" x14ac:dyDescent="0.35">
      <c r="A859" s="401" t="s">
        <v>2601</v>
      </c>
      <c r="B859" s="716"/>
      <c r="C859" s="402"/>
      <c r="D859" s="403"/>
      <c r="E859" s="404"/>
      <c r="F859" s="403"/>
      <c r="G859" s="404"/>
      <c r="H859" s="403"/>
      <c r="I859" s="404"/>
      <c r="J859" s="405"/>
      <c r="K859" s="458"/>
      <c r="L859" s="704"/>
      <c r="M859" s="704"/>
      <c r="N859" s="405"/>
      <c r="O859" s="259">
        <v>3304878675</v>
      </c>
      <c r="P859" s="231">
        <f>O859-3120000000</f>
        <v>184878675</v>
      </c>
    </row>
    <row r="860" spans="1:16" ht="29.25" hidden="1" customHeight="1" x14ac:dyDescent="0.35">
      <c r="A860" s="428"/>
      <c r="B860" s="583"/>
      <c r="C860" s="429"/>
      <c r="D860" s="430"/>
      <c r="E860" s="494"/>
      <c r="F860" s="430"/>
      <c r="G860" s="494"/>
      <c r="H860" s="430"/>
      <c r="I860" s="494"/>
      <c r="J860" s="495"/>
      <c r="K860" s="458"/>
      <c r="L860" s="704"/>
      <c r="M860" s="704"/>
      <c r="N860" s="495"/>
      <c r="O860" s="357"/>
    </row>
    <row r="861" spans="1:16" ht="87" customHeight="1" x14ac:dyDescent="0.35">
      <c r="A861" s="187" t="s">
        <v>1007</v>
      </c>
      <c r="B861" s="360" t="s">
        <v>50</v>
      </c>
      <c r="C861" s="175" t="s">
        <v>898</v>
      </c>
      <c r="D861" s="175" t="s">
        <v>52</v>
      </c>
      <c r="E861" s="187" t="s">
        <v>49</v>
      </c>
      <c r="F861" s="175" t="s">
        <v>1</v>
      </c>
      <c r="G861" s="187"/>
      <c r="H861" s="175" t="s">
        <v>51</v>
      </c>
      <c r="I861" s="187" t="s">
        <v>2</v>
      </c>
      <c r="J861" s="189" t="s">
        <v>4862</v>
      </c>
      <c r="K861" s="189" t="s">
        <v>5140</v>
      </c>
      <c r="L861" s="623" t="s">
        <v>5132</v>
      </c>
      <c r="M861" s="623" t="s">
        <v>5132</v>
      </c>
      <c r="N861" s="189" t="s">
        <v>1006</v>
      </c>
      <c r="O861" s="187" t="s">
        <v>50</v>
      </c>
    </row>
    <row r="862" spans="1:16" ht="36.75" customHeight="1" x14ac:dyDescent="0.4">
      <c r="A862" s="272" t="s">
        <v>2960</v>
      </c>
      <c r="B862" s="721" t="s">
        <v>5090</v>
      </c>
      <c r="C862" s="165" t="s">
        <v>5</v>
      </c>
      <c r="D862" s="145" t="s">
        <v>4</v>
      </c>
      <c r="E862" s="332" t="s">
        <v>3</v>
      </c>
      <c r="F862" s="467" t="s">
        <v>980</v>
      </c>
      <c r="G862" s="271"/>
      <c r="H862" s="467" t="s">
        <v>4874</v>
      </c>
      <c r="I862" s="479" t="s">
        <v>421</v>
      </c>
      <c r="J862" s="160">
        <v>600000000</v>
      </c>
      <c r="K862" s="722">
        <v>90000000</v>
      </c>
      <c r="L862" s="394"/>
      <c r="M862" s="394" t="s">
        <v>5133</v>
      </c>
      <c r="N862" s="149">
        <v>460244860.67384702</v>
      </c>
      <c r="O862" s="180" t="s">
        <v>556</v>
      </c>
    </row>
    <row r="863" spans="1:16" ht="36.75" customHeight="1" x14ac:dyDescent="0.4">
      <c r="A863" s="272" t="s">
        <v>5095</v>
      </c>
      <c r="B863" s="721" t="s">
        <v>5091</v>
      </c>
      <c r="C863" s="165"/>
      <c r="D863" s="145" t="s">
        <v>4</v>
      </c>
      <c r="E863" s="332" t="s">
        <v>3</v>
      </c>
      <c r="F863" s="526" t="s">
        <v>62</v>
      </c>
      <c r="G863" s="692"/>
      <c r="H863" s="693">
        <v>70411</v>
      </c>
      <c r="I863" s="694" t="s">
        <v>904</v>
      </c>
      <c r="J863" s="160"/>
      <c r="K863" s="722">
        <v>35000000</v>
      </c>
      <c r="L863" s="394"/>
      <c r="M863" s="394" t="s">
        <v>5133</v>
      </c>
      <c r="N863" s="149"/>
      <c r="O863" s="180"/>
    </row>
    <row r="864" spans="1:16" ht="36.75" customHeight="1" x14ac:dyDescent="0.4">
      <c r="A864" s="272" t="s">
        <v>5096</v>
      </c>
      <c r="B864" s="723" t="s">
        <v>5092</v>
      </c>
      <c r="C864" s="165"/>
      <c r="D864" s="145" t="s">
        <v>4</v>
      </c>
      <c r="E864" s="332" t="s">
        <v>3</v>
      </c>
      <c r="F864" s="526" t="s">
        <v>983</v>
      </c>
      <c r="G864" s="692"/>
      <c r="H864" s="693">
        <v>70411</v>
      </c>
      <c r="I864" s="479" t="s">
        <v>902</v>
      </c>
      <c r="J864" s="160"/>
      <c r="K864" s="722">
        <v>20000000</v>
      </c>
      <c r="L864" s="394"/>
      <c r="M864" s="394" t="s">
        <v>5133</v>
      </c>
      <c r="N864" s="149"/>
      <c r="O864" s="180"/>
    </row>
    <row r="865" spans="1:16" ht="36.75" customHeight="1" x14ac:dyDescent="0.4">
      <c r="A865" s="272" t="s">
        <v>5097</v>
      </c>
      <c r="B865" s="721" t="s">
        <v>5093</v>
      </c>
      <c r="C865" s="165"/>
      <c r="D865" s="145" t="s">
        <v>4</v>
      </c>
      <c r="E865" s="332" t="s">
        <v>3</v>
      </c>
      <c r="F865" s="526" t="s">
        <v>562</v>
      </c>
      <c r="G865" s="694"/>
      <c r="H865" s="526">
        <v>70132</v>
      </c>
      <c r="I865" s="479" t="s">
        <v>909</v>
      </c>
      <c r="J865" s="160"/>
      <c r="K865" s="724">
        <v>50000000</v>
      </c>
      <c r="L865" s="394"/>
      <c r="M865" s="394" t="s">
        <v>5133</v>
      </c>
      <c r="N865" s="149"/>
      <c r="O865" s="180"/>
    </row>
    <row r="866" spans="1:16" ht="36.75" customHeight="1" x14ac:dyDescent="0.4">
      <c r="A866" s="272" t="s">
        <v>5098</v>
      </c>
      <c r="B866" s="721" t="s">
        <v>5094</v>
      </c>
      <c r="C866" s="165"/>
      <c r="D866" s="145" t="s">
        <v>4</v>
      </c>
      <c r="E866" s="332" t="s">
        <v>3</v>
      </c>
      <c r="F866" s="180" t="s">
        <v>891</v>
      </c>
      <c r="G866" s="381"/>
      <c r="H866" s="392">
        <v>70721</v>
      </c>
      <c r="I866" s="694" t="s">
        <v>855</v>
      </c>
      <c r="J866" s="160"/>
      <c r="K866" s="722">
        <f>14000000+184074</f>
        <v>14184074</v>
      </c>
      <c r="L866" s="394"/>
      <c r="M866" s="394" t="s">
        <v>5133</v>
      </c>
      <c r="N866" s="149"/>
      <c r="O866" s="180"/>
    </row>
    <row r="867" spans="1:16" s="247" customFormat="1" ht="30" customHeight="1" x14ac:dyDescent="0.3">
      <c r="A867" s="245"/>
      <c r="B867" s="360" t="str">
        <f>B857</f>
        <v>Total</v>
      </c>
      <c r="C867" s="188"/>
      <c r="D867" s="257"/>
      <c r="E867" s="273"/>
      <c r="F867" s="257"/>
      <c r="G867" s="273"/>
      <c r="H867" s="257"/>
      <c r="I867" s="273"/>
      <c r="J867" s="259">
        <f>SUM(J862)</f>
        <v>600000000</v>
      </c>
      <c r="K867" s="259">
        <f>SUM(K862:K866)</f>
        <v>209184074</v>
      </c>
      <c r="L867" s="707"/>
      <c r="M867" s="707"/>
      <c r="N867" s="259">
        <f>SUM(N862)</f>
        <v>460244860.67384702</v>
      </c>
      <c r="O867" s="245" t="str">
        <f>O857</f>
        <v>Total</v>
      </c>
      <c r="P867" s="246"/>
    </row>
    <row r="868" spans="1:16" ht="30" customHeight="1" x14ac:dyDescent="0.35">
      <c r="B868" s="492"/>
      <c r="C868" s="282"/>
      <c r="D868" s="283"/>
      <c r="E868" s="330"/>
      <c r="F868" s="283"/>
      <c r="G868" s="330"/>
      <c r="H868" s="283"/>
      <c r="I868" s="330"/>
      <c r="J868" s="285"/>
      <c r="K868" s="458"/>
      <c r="L868" s="704"/>
      <c r="M868" s="704"/>
      <c r="N868" s="285"/>
      <c r="O868" s="286"/>
    </row>
    <row r="869" spans="1:16" ht="29.25" hidden="1" customHeight="1" x14ac:dyDescent="0.35">
      <c r="A869" s="401" t="s">
        <v>557</v>
      </c>
      <c r="B869" s="716"/>
      <c r="C869" s="402"/>
      <c r="D869" s="403"/>
      <c r="E869" s="404"/>
      <c r="F869" s="403"/>
      <c r="G869" s="404"/>
      <c r="H869" s="403"/>
      <c r="I869" s="404"/>
      <c r="J869" s="405"/>
      <c r="K869" s="458"/>
      <c r="L869" s="704"/>
      <c r="M869" s="704"/>
      <c r="N869" s="405"/>
      <c r="O869" s="600"/>
    </row>
    <row r="870" spans="1:16" ht="29.25" customHeight="1" x14ac:dyDescent="0.35">
      <c r="A870" s="428" t="s">
        <v>1380</v>
      </c>
      <c r="B870" s="583"/>
      <c r="C870" s="429"/>
      <c r="D870" s="430"/>
      <c r="E870" s="494"/>
      <c r="F870" s="430"/>
      <c r="G870" s="494"/>
      <c r="H870" s="430"/>
      <c r="I870" s="494"/>
      <c r="J870" s="495"/>
      <c r="K870" s="458"/>
      <c r="L870" s="704"/>
      <c r="M870" s="704"/>
      <c r="N870" s="495"/>
      <c r="O870" s="357"/>
    </row>
    <row r="871" spans="1:16" ht="90.75" customHeight="1" x14ac:dyDescent="0.35">
      <c r="A871" s="187" t="s">
        <v>1007</v>
      </c>
      <c r="B871" s="360" t="s">
        <v>50</v>
      </c>
      <c r="C871" s="175" t="s">
        <v>898</v>
      </c>
      <c r="D871" s="175" t="s">
        <v>52</v>
      </c>
      <c r="E871" s="187" t="s">
        <v>49</v>
      </c>
      <c r="F871" s="175" t="s">
        <v>1</v>
      </c>
      <c r="G871" s="187"/>
      <c r="H871" s="175" t="s">
        <v>51</v>
      </c>
      <c r="I871" s="187" t="s">
        <v>2</v>
      </c>
      <c r="J871" s="189" t="s">
        <v>4862</v>
      </c>
      <c r="K871" s="189" t="s">
        <v>5140</v>
      </c>
      <c r="L871" s="623" t="s">
        <v>5132</v>
      </c>
      <c r="M871" s="623" t="s">
        <v>5132</v>
      </c>
      <c r="N871" s="189" t="s">
        <v>932</v>
      </c>
      <c r="O871" s="187" t="s">
        <v>50</v>
      </c>
    </row>
    <row r="872" spans="1:16" ht="43.5" customHeight="1" x14ac:dyDescent="0.35">
      <c r="A872" s="272" t="s">
        <v>2961</v>
      </c>
      <c r="B872" s="480" t="s">
        <v>559</v>
      </c>
      <c r="C872" s="165" t="s">
        <v>5</v>
      </c>
      <c r="D872" s="141" t="s">
        <v>4</v>
      </c>
      <c r="E872" s="237" t="s">
        <v>43</v>
      </c>
      <c r="F872" s="163" t="s">
        <v>56</v>
      </c>
      <c r="G872" s="146"/>
      <c r="H872" s="163">
        <v>70132</v>
      </c>
      <c r="I872" s="142" t="s">
        <v>901</v>
      </c>
      <c r="J872" s="144">
        <v>1000000</v>
      </c>
      <c r="K872" s="627">
        <v>1000000</v>
      </c>
      <c r="L872" s="394"/>
      <c r="M872" s="394" t="s">
        <v>5133</v>
      </c>
      <c r="N872" s="149">
        <v>1000000</v>
      </c>
      <c r="O872" s="241" t="s">
        <v>559</v>
      </c>
    </row>
    <row r="873" spans="1:16" ht="33.75" customHeight="1" x14ac:dyDescent="0.35">
      <c r="A873" s="272" t="s">
        <v>2962</v>
      </c>
      <c r="B873" s="480" t="s">
        <v>570</v>
      </c>
      <c r="C873" s="165" t="s">
        <v>5</v>
      </c>
      <c r="D873" s="141" t="s">
        <v>4</v>
      </c>
      <c r="E873" s="237" t="s">
        <v>43</v>
      </c>
      <c r="F873" s="163" t="s">
        <v>983</v>
      </c>
      <c r="G873" s="146"/>
      <c r="H873" s="163">
        <v>70132</v>
      </c>
      <c r="I873" s="142" t="s">
        <v>902</v>
      </c>
      <c r="J873" s="144">
        <v>20000000</v>
      </c>
      <c r="K873" s="627">
        <f>50000000+75378381-20000000-50000000</f>
        <v>55378381</v>
      </c>
      <c r="L873" s="394"/>
      <c r="M873" s="394" t="s">
        <v>5133</v>
      </c>
      <c r="N873" s="149">
        <v>20000000</v>
      </c>
      <c r="O873" s="241" t="s">
        <v>570</v>
      </c>
    </row>
    <row r="874" spans="1:16" ht="35.25" customHeight="1" x14ac:dyDescent="0.35">
      <c r="A874" s="272" t="s">
        <v>2963</v>
      </c>
      <c r="B874" s="480" t="s">
        <v>567</v>
      </c>
      <c r="C874" s="165" t="s">
        <v>5</v>
      </c>
      <c r="D874" s="141" t="s">
        <v>4</v>
      </c>
      <c r="E874" s="237" t="s">
        <v>43</v>
      </c>
      <c r="F874" s="163" t="s">
        <v>324</v>
      </c>
      <c r="G874" s="146"/>
      <c r="H874" s="163">
        <v>70132</v>
      </c>
      <c r="I874" s="142" t="s">
        <v>568</v>
      </c>
      <c r="J874" s="144">
        <v>25000000</v>
      </c>
      <c r="K874" s="627">
        <v>10000000</v>
      </c>
      <c r="L874" s="394"/>
      <c r="M874" s="394" t="s">
        <v>5133</v>
      </c>
      <c r="N874" s="149">
        <v>25000000</v>
      </c>
      <c r="O874" s="241" t="s">
        <v>567</v>
      </c>
    </row>
    <row r="875" spans="1:16" ht="37.5" customHeight="1" x14ac:dyDescent="0.35">
      <c r="A875" s="272" t="s">
        <v>2964</v>
      </c>
      <c r="B875" s="480" t="s">
        <v>561</v>
      </c>
      <c r="C875" s="165" t="s">
        <v>5</v>
      </c>
      <c r="D875" s="141" t="s">
        <v>4</v>
      </c>
      <c r="E875" s="237" t="s">
        <v>43</v>
      </c>
      <c r="F875" s="163" t="s">
        <v>562</v>
      </c>
      <c r="G875" s="146"/>
      <c r="H875" s="163">
        <v>70132</v>
      </c>
      <c r="I875" s="142" t="s">
        <v>909</v>
      </c>
      <c r="J875" s="144">
        <v>45000000</v>
      </c>
      <c r="K875" s="627">
        <v>45000000</v>
      </c>
      <c r="L875" s="394"/>
      <c r="M875" s="394" t="s">
        <v>5133</v>
      </c>
      <c r="N875" s="149">
        <v>25000000</v>
      </c>
      <c r="O875" s="241" t="s">
        <v>561</v>
      </c>
    </row>
    <row r="876" spans="1:16" ht="26.25" customHeight="1" x14ac:dyDescent="0.35">
      <c r="A876" s="272" t="s">
        <v>2965</v>
      </c>
      <c r="B876" s="480" t="s">
        <v>576</v>
      </c>
      <c r="C876" s="165" t="s">
        <v>5</v>
      </c>
      <c r="D876" s="141" t="s">
        <v>4</v>
      </c>
      <c r="E876" s="237" t="s">
        <v>43</v>
      </c>
      <c r="F876" s="163" t="s">
        <v>562</v>
      </c>
      <c r="G876" s="146"/>
      <c r="H876" s="163">
        <v>70132</v>
      </c>
      <c r="I876" s="142" t="s">
        <v>909</v>
      </c>
      <c r="J876" s="144">
        <v>21000000</v>
      </c>
      <c r="K876" s="627">
        <v>11000000</v>
      </c>
      <c r="L876" s="394"/>
      <c r="M876" s="394" t="s">
        <v>5133</v>
      </c>
      <c r="N876" s="149">
        <v>21000000</v>
      </c>
      <c r="O876" s="241" t="s">
        <v>576</v>
      </c>
    </row>
    <row r="877" spans="1:16" ht="30" customHeight="1" x14ac:dyDescent="0.35">
      <c r="A877" s="272" t="s">
        <v>2966</v>
      </c>
      <c r="B877" s="480" t="s">
        <v>577</v>
      </c>
      <c r="C877" s="165" t="s">
        <v>5</v>
      </c>
      <c r="D877" s="141" t="s">
        <v>4</v>
      </c>
      <c r="E877" s="237" t="s">
        <v>43</v>
      </c>
      <c r="F877" s="163" t="s">
        <v>562</v>
      </c>
      <c r="G877" s="146"/>
      <c r="H877" s="163">
        <v>70132</v>
      </c>
      <c r="I877" s="142" t="s">
        <v>909</v>
      </c>
      <c r="J877" s="144">
        <v>15000000</v>
      </c>
      <c r="K877" s="627">
        <v>5449636</v>
      </c>
      <c r="L877" s="394"/>
      <c r="M877" s="394" t="s">
        <v>5133</v>
      </c>
      <c r="N877" s="149">
        <v>15000000</v>
      </c>
      <c r="O877" s="241" t="s">
        <v>577</v>
      </c>
    </row>
    <row r="878" spans="1:16" ht="29.25" customHeight="1" x14ac:dyDescent="0.35">
      <c r="A878" s="272" t="s">
        <v>2967</v>
      </c>
      <c r="B878" s="480" t="s">
        <v>122</v>
      </c>
      <c r="C878" s="165" t="s">
        <v>5</v>
      </c>
      <c r="D878" s="141" t="s">
        <v>4</v>
      </c>
      <c r="E878" s="237" t="s">
        <v>43</v>
      </c>
      <c r="F878" s="163" t="s">
        <v>108</v>
      </c>
      <c r="G878" s="146"/>
      <c r="H878" s="163">
        <v>70132</v>
      </c>
      <c r="I878" s="142" t="s">
        <v>907</v>
      </c>
      <c r="J878" s="144">
        <v>15000000</v>
      </c>
      <c r="K878" s="627">
        <v>5000000</v>
      </c>
      <c r="L878" s="394"/>
      <c r="M878" s="394" t="s">
        <v>5133</v>
      </c>
      <c r="N878" s="149">
        <v>1600000</v>
      </c>
      <c r="O878" s="241" t="s">
        <v>122</v>
      </c>
    </row>
    <row r="879" spans="1:16" ht="25.5" customHeight="1" x14ac:dyDescent="0.35">
      <c r="A879" s="272" t="s">
        <v>2968</v>
      </c>
      <c r="B879" s="480" t="s">
        <v>565</v>
      </c>
      <c r="C879" s="165" t="s">
        <v>5</v>
      </c>
      <c r="D879" s="141" t="s">
        <v>4</v>
      </c>
      <c r="E879" s="237" t="s">
        <v>43</v>
      </c>
      <c r="F879" s="163" t="s">
        <v>108</v>
      </c>
      <c r="G879" s="146"/>
      <c r="H879" s="163">
        <v>70132</v>
      </c>
      <c r="I879" s="142" t="s">
        <v>907</v>
      </c>
      <c r="J879" s="144">
        <v>2000000</v>
      </c>
      <c r="K879" s="627">
        <v>2000000</v>
      </c>
      <c r="L879" s="394"/>
      <c r="M879" s="394" t="s">
        <v>5133</v>
      </c>
      <c r="N879" s="149">
        <v>20000000</v>
      </c>
      <c r="O879" s="241" t="s">
        <v>565</v>
      </c>
    </row>
    <row r="880" spans="1:16" ht="27.75" customHeight="1" x14ac:dyDescent="0.35">
      <c r="A880" s="272" t="s">
        <v>2969</v>
      </c>
      <c r="B880" s="480" t="s">
        <v>563</v>
      </c>
      <c r="C880" s="165" t="s">
        <v>5</v>
      </c>
      <c r="D880" s="141" t="s">
        <v>4</v>
      </c>
      <c r="E880" s="237" t="s">
        <v>43</v>
      </c>
      <c r="F880" s="163" t="s">
        <v>564</v>
      </c>
      <c r="G880" s="146"/>
      <c r="H880" s="163">
        <v>70132</v>
      </c>
      <c r="I880" s="142" t="s">
        <v>900</v>
      </c>
      <c r="J880" s="144">
        <v>7000000</v>
      </c>
      <c r="K880" s="627">
        <v>7000000</v>
      </c>
      <c r="L880" s="394"/>
      <c r="M880" s="394" t="s">
        <v>5133</v>
      </c>
      <c r="N880" s="149">
        <v>7000000</v>
      </c>
      <c r="O880" s="241" t="s">
        <v>563</v>
      </c>
    </row>
    <row r="881" spans="1:16" ht="27" customHeight="1" x14ac:dyDescent="0.35">
      <c r="A881" s="272" t="s">
        <v>2970</v>
      </c>
      <c r="B881" s="480" t="s">
        <v>566</v>
      </c>
      <c r="C881" s="165" t="s">
        <v>5</v>
      </c>
      <c r="D881" s="141" t="s">
        <v>4</v>
      </c>
      <c r="E881" s="237" t="s">
        <v>43</v>
      </c>
      <c r="F881" s="163" t="s">
        <v>105</v>
      </c>
      <c r="G881" s="146"/>
      <c r="H881" s="163">
        <v>70132</v>
      </c>
      <c r="I881" s="142" t="s">
        <v>59</v>
      </c>
      <c r="J881" s="144">
        <v>7000000</v>
      </c>
      <c r="K881" s="627">
        <v>7000000</v>
      </c>
      <c r="L881" s="394"/>
      <c r="M881" s="394" t="s">
        <v>5133</v>
      </c>
      <c r="N881" s="149">
        <v>7000000</v>
      </c>
      <c r="O881" s="241" t="s">
        <v>566</v>
      </c>
    </row>
    <row r="882" spans="1:16" ht="29.25" customHeight="1" x14ac:dyDescent="0.35">
      <c r="A882" s="272" t="s">
        <v>2971</v>
      </c>
      <c r="B882" s="480" t="s">
        <v>569</v>
      </c>
      <c r="C882" s="165" t="s">
        <v>5</v>
      </c>
      <c r="D882" s="141" t="s">
        <v>4</v>
      </c>
      <c r="E882" s="237" t="s">
        <v>43</v>
      </c>
      <c r="F882" s="163" t="s">
        <v>105</v>
      </c>
      <c r="G882" s="146"/>
      <c r="H882" s="163">
        <v>70132</v>
      </c>
      <c r="I882" s="142" t="s">
        <v>59</v>
      </c>
      <c r="J882" s="144">
        <v>10000000</v>
      </c>
      <c r="K882" s="627">
        <v>10000000</v>
      </c>
      <c r="L882" s="394"/>
      <c r="M882" s="394" t="s">
        <v>5133</v>
      </c>
      <c r="N882" s="149">
        <v>10000000</v>
      </c>
      <c r="O882" s="241" t="s">
        <v>569</v>
      </c>
    </row>
    <row r="883" spans="1:16" ht="28.5" customHeight="1" x14ac:dyDescent="0.35">
      <c r="A883" s="272" t="s">
        <v>2972</v>
      </c>
      <c r="B883" s="480" t="s">
        <v>560</v>
      </c>
      <c r="C883" s="165" t="s">
        <v>5</v>
      </c>
      <c r="D883" s="141" t="s">
        <v>4</v>
      </c>
      <c r="E883" s="237" t="s">
        <v>43</v>
      </c>
      <c r="F883" s="163" t="s">
        <v>54</v>
      </c>
      <c r="G883" s="146"/>
      <c r="H883" s="163">
        <v>70132</v>
      </c>
      <c r="I883" s="142" t="s">
        <v>900</v>
      </c>
      <c r="J883" s="144">
        <v>25303457</v>
      </c>
      <c r="K883" s="627">
        <v>20303457</v>
      </c>
      <c r="L883" s="394"/>
      <c r="M883" s="394" t="s">
        <v>5133</v>
      </c>
      <c r="N883" s="149">
        <v>25303457</v>
      </c>
      <c r="O883" s="241" t="s">
        <v>560</v>
      </c>
    </row>
    <row r="884" spans="1:16" ht="27" customHeight="1" x14ac:dyDescent="0.35">
      <c r="A884" s="272" t="s">
        <v>2973</v>
      </c>
      <c r="B884" s="480" t="s">
        <v>571</v>
      </c>
      <c r="C884" s="165" t="s">
        <v>5</v>
      </c>
      <c r="D884" s="141" t="s">
        <v>4</v>
      </c>
      <c r="E884" s="237" t="s">
        <v>43</v>
      </c>
      <c r="F884" s="163" t="s">
        <v>54</v>
      </c>
      <c r="G884" s="146"/>
      <c r="H884" s="163">
        <v>70132</v>
      </c>
      <c r="I884" s="142" t="s">
        <v>900</v>
      </c>
      <c r="J884" s="144">
        <v>7000000</v>
      </c>
      <c r="K884" s="627">
        <v>7000000</v>
      </c>
      <c r="L884" s="394"/>
      <c r="M884" s="394" t="s">
        <v>5133</v>
      </c>
      <c r="N884" s="149">
        <v>7000000</v>
      </c>
      <c r="O884" s="241" t="s">
        <v>571</v>
      </c>
    </row>
    <row r="885" spans="1:16" ht="30" customHeight="1" x14ac:dyDescent="0.35">
      <c r="A885" s="272" t="s">
        <v>2974</v>
      </c>
      <c r="B885" s="480" t="s">
        <v>572</v>
      </c>
      <c r="C885" s="165" t="s">
        <v>5</v>
      </c>
      <c r="D885" s="141" t="s">
        <v>4</v>
      </c>
      <c r="E885" s="237" t="s">
        <v>43</v>
      </c>
      <c r="F885" s="145" t="s">
        <v>265</v>
      </c>
      <c r="G885" s="146"/>
      <c r="H885" s="163">
        <v>70132</v>
      </c>
      <c r="I885" s="142" t="s">
        <v>900</v>
      </c>
      <c r="J885" s="144">
        <v>15000000</v>
      </c>
      <c r="K885" s="627">
        <v>15000000</v>
      </c>
      <c r="L885" s="394"/>
      <c r="M885" s="394" t="s">
        <v>5133</v>
      </c>
      <c r="N885" s="149">
        <v>15000000</v>
      </c>
      <c r="O885" s="241" t="s">
        <v>572</v>
      </c>
    </row>
    <row r="886" spans="1:16" ht="27" customHeight="1" x14ac:dyDescent="0.35">
      <c r="A886" s="272" t="s">
        <v>2975</v>
      </c>
      <c r="B886" s="497" t="s">
        <v>96</v>
      </c>
      <c r="C886" s="165" t="s">
        <v>5</v>
      </c>
      <c r="D886" s="163" t="s">
        <v>4</v>
      </c>
      <c r="E886" s="237" t="s">
        <v>43</v>
      </c>
      <c r="F886" s="163" t="s">
        <v>54</v>
      </c>
      <c r="G886" s="164"/>
      <c r="H886" s="253">
        <v>70411</v>
      </c>
      <c r="I886" s="142" t="s">
        <v>900</v>
      </c>
      <c r="J886" s="144">
        <v>15000000</v>
      </c>
      <c r="K886" s="627">
        <v>5000000</v>
      </c>
      <c r="L886" s="394"/>
      <c r="M886" s="394" t="s">
        <v>5133</v>
      </c>
      <c r="N886" s="149">
        <v>25000000</v>
      </c>
      <c r="O886" s="162" t="s">
        <v>96</v>
      </c>
    </row>
    <row r="887" spans="1:16" ht="27" customHeight="1" x14ac:dyDescent="0.35">
      <c r="A887" s="272" t="s">
        <v>2976</v>
      </c>
      <c r="B887" s="497" t="s">
        <v>220</v>
      </c>
      <c r="C887" s="165" t="s">
        <v>5</v>
      </c>
      <c r="D887" s="163" t="s">
        <v>4</v>
      </c>
      <c r="E887" s="237" t="s">
        <v>43</v>
      </c>
      <c r="F887" s="163" t="s">
        <v>62</v>
      </c>
      <c r="G887" s="164"/>
      <c r="H887" s="253">
        <v>70411</v>
      </c>
      <c r="I887" s="142" t="s">
        <v>904</v>
      </c>
      <c r="J887" s="144">
        <v>10000000</v>
      </c>
      <c r="K887" s="627">
        <v>5000000</v>
      </c>
      <c r="L887" s="394"/>
      <c r="M887" s="394" t="s">
        <v>5133</v>
      </c>
      <c r="N887" s="149"/>
      <c r="O887" s="162" t="s">
        <v>220</v>
      </c>
    </row>
    <row r="888" spans="1:16" ht="30" customHeight="1" x14ac:dyDescent="0.35">
      <c r="A888" s="272" t="s">
        <v>2977</v>
      </c>
      <c r="B888" s="480" t="s">
        <v>558</v>
      </c>
      <c r="C888" s="165" t="s">
        <v>5</v>
      </c>
      <c r="D888" s="141" t="s">
        <v>4</v>
      </c>
      <c r="E888" s="237" t="s">
        <v>43</v>
      </c>
      <c r="F888" s="163" t="s">
        <v>62</v>
      </c>
      <c r="G888" s="146"/>
      <c r="H888" s="163">
        <v>70132</v>
      </c>
      <c r="I888" s="142" t="s">
        <v>904</v>
      </c>
      <c r="J888" s="144">
        <v>25000000</v>
      </c>
      <c r="K888" s="627">
        <v>10000000</v>
      </c>
      <c r="L888" s="394"/>
      <c r="M888" s="394" t="s">
        <v>5133</v>
      </c>
      <c r="N888" s="149">
        <v>25000000</v>
      </c>
      <c r="O888" s="241" t="s">
        <v>558</v>
      </c>
    </row>
    <row r="889" spans="1:16" ht="25.5" customHeight="1" x14ac:dyDescent="0.35">
      <c r="A889" s="272" t="s">
        <v>3185</v>
      </c>
      <c r="B889" s="480" t="s">
        <v>573</v>
      </c>
      <c r="C889" s="165" t="s">
        <v>5</v>
      </c>
      <c r="D889" s="141" t="s">
        <v>4</v>
      </c>
      <c r="E889" s="237" t="s">
        <v>43</v>
      </c>
      <c r="F889" s="163" t="s">
        <v>574</v>
      </c>
      <c r="G889" s="146"/>
      <c r="H889" s="163">
        <v>70132</v>
      </c>
      <c r="I889" s="142" t="s">
        <v>575</v>
      </c>
      <c r="J889" s="144">
        <v>6993205</v>
      </c>
      <c r="K889" s="627">
        <v>6993205</v>
      </c>
      <c r="L889" s="394"/>
      <c r="M889" s="394" t="s">
        <v>5133</v>
      </c>
      <c r="N889" s="149">
        <v>6993205</v>
      </c>
      <c r="O889" s="241" t="s">
        <v>573</v>
      </c>
    </row>
    <row r="890" spans="1:16" ht="25.5" customHeight="1" x14ac:dyDescent="0.35">
      <c r="A890" s="272" t="s">
        <v>3186</v>
      </c>
      <c r="B890" s="463" t="s">
        <v>3187</v>
      </c>
      <c r="C890" s="165" t="s">
        <v>5</v>
      </c>
      <c r="D890" s="141" t="s">
        <v>4</v>
      </c>
      <c r="E890" s="237" t="s">
        <v>43</v>
      </c>
      <c r="F890" s="163" t="s">
        <v>574</v>
      </c>
      <c r="G890" s="146"/>
      <c r="H890" s="163">
        <v>70122</v>
      </c>
      <c r="I890" s="142" t="s">
        <v>575</v>
      </c>
      <c r="J890" s="144">
        <v>8000000</v>
      </c>
      <c r="K890" s="627">
        <v>8000000</v>
      </c>
      <c r="L890" s="394"/>
      <c r="M890" s="394" t="s">
        <v>5133</v>
      </c>
      <c r="N890" s="149">
        <v>10000000</v>
      </c>
      <c r="O890" s="241" t="s">
        <v>3187</v>
      </c>
    </row>
    <row r="891" spans="1:16" ht="53.25" customHeight="1" x14ac:dyDescent="0.35">
      <c r="A891" s="272" t="s">
        <v>5119</v>
      </c>
      <c r="B891" s="463" t="s">
        <v>5134</v>
      </c>
      <c r="C891" s="165"/>
      <c r="D891" s="141"/>
      <c r="E891" s="237"/>
      <c r="F891" s="163"/>
      <c r="G891" s="146"/>
      <c r="H891" s="163"/>
      <c r="I891" s="142"/>
      <c r="J891" s="144"/>
      <c r="K891" s="627">
        <f>2000000000-500000000</f>
        <v>1500000000</v>
      </c>
      <c r="L891" s="627">
        <f>2000000000-500000000</f>
        <v>1500000000</v>
      </c>
      <c r="M891" s="394" t="s">
        <v>5123</v>
      </c>
      <c r="N891" s="149"/>
      <c r="O891" s="241"/>
    </row>
    <row r="892" spans="1:16" s="247" customFormat="1" ht="25.5" customHeight="1" x14ac:dyDescent="0.3">
      <c r="A892" s="245"/>
      <c r="B892" s="360" t="s">
        <v>1008</v>
      </c>
      <c r="C892" s="188"/>
      <c r="D892" s="171"/>
      <c r="E892" s="273"/>
      <c r="F892" s="257"/>
      <c r="G892" s="274"/>
      <c r="H892" s="257"/>
      <c r="I892" s="275"/>
      <c r="J892" s="406">
        <f>SUM(J872:J890)</f>
        <v>280296662</v>
      </c>
      <c r="K892" s="406">
        <f>SUM(K872:K891)</f>
        <v>1736124679</v>
      </c>
      <c r="L892" s="712"/>
      <c r="M892" s="712"/>
      <c r="N892" s="406">
        <f>SUM(N872:N890)</f>
        <v>266896662</v>
      </c>
      <c r="O892" s="178" t="s">
        <v>1008</v>
      </c>
      <c r="P892" s="246"/>
    </row>
    <row r="893" spans="1:16" s="247" customFormat="1" ht="25.5" customHeight="1" x14ac:dyDescent="0.3">
      <c r="A893" s="342"/>
      <c r="B893" s="361"/>
      <c r="C893" s="338"/>
      <c r="D893" s="159"/>
      <c r="E893" s="340"/>
      <c r="F893" s="339"/>
      <c r="G893" s="407"/>
      <c r="H893" s="339"/>
      <c r="I893" s="404"/>
      <c r="J893" s="405"/>
      <c r="K893" s="628"/>
      <c r="L893" s="706"/>
      <c r="M893" s="706"/>
      <c r="N893" s="405"/>
      <c r="O893" s="408"/>
      <c r="P893" s="246"/>
    </row>
    <row r="894" spans="1:16" ht="41.25" customHeight="1" x14ac:dyDescent="0.35">
      <c r="A894" s="342" t="s">
        <v>3215</v>
      </c>
      <c r="B894" s="492"/>
      <c r="C894" s="282"/>
      <c r="D894" s="154"/>
      <c r="E894" s="330"/>
      <c r="F894" s="283"/>
      <c r="G894" s="349"/>
      <c r="H894" s="283"/>
      <c r="I894" s="350"/>
      <c r="J894" s="351"/>
      <c r="K894" s="458"/>
      <c r="L894" s="704"/>
      <c r="M894" s="704"/>
      <c r="N894" s="285"/>
      <c r="O894" s="409"/>
    </row>
    <row r="895" spans="1:16" ht="74.25" customHeight="1" x14ac:dyDescent="0.35">
      <c r="A895" s="187" t="s">
        <v>1007</v>
      </c>
      <c r="B895" s="360" t="s">
        <v>50</v>
      </c>
      <c r="C895" s="175" t="s">
        <v>898</v>
      </c>
      <c r="D895" s="175" t="s">
        <v>52</v>
      </c>
      <c r="E895" s="187" t="s">
        <v>49</v>
      </c>
      <c r="F895" s="175" t="s">
        <v>1</v>
      </c>
      <c r="G895" s="187"/>
      <c r="H895" s="175" t="s">
        <v>51</v>
      </c>
      <c r="I895" s="187" t="s">
        <v>2</v>
      </c>
      <c r="J895" s="189" t="s">
        <v>4862</v>
      </c>
      <c r="K895" s="189" t="s">
        <v>5140</v>
      </c>
      <c r="L895" s="623" t="s">
        <v>5132</v>
      </c>
      <c r="M895" s="623" t="s">
        <v>5132</v>
      </c>
      <c r="N895" s="189" t="s">
        <v>932</v>
      </c>
      <c r="O895" s="187" t="s">
        <v>50</v>
      </c>
    </row>
    <row r="896" spans="1:16" ht="35.25" customHeight="1" x14ac:dyDescent="0.35">
      <c r="A896" s="272" t="s">
        <v>3189</v>
      </c>
      <c r="B896" s="512" t="s">
        <v>578</v>
      </c>
      <c r="C896" s="165" t="s">
        <v>5</v>
      </c>
      <c r="D896" s="163" t="s">
        <v>4</v>
      </c>
      <c r="E896" s="237" t="s">
        <v>43</v>
      </c>
      <c r="F896" s="163" t="s">
        <v>313</v>
      </c>
      <c r="G896" s="164"/>
      <c r="H896" s="253">
        <v>70122</v>
      </c>
      <c r="I896" s="364" t="s">
        <v>575</v>
      </c>
      <c r="J896" s="166">
        <v>33000000</v>
      </c>
      <c r="K896" s="627">
        <v>14000000</v>
      </c>
      <c r="L896" s="394" t="s">
        <v>5133</v>
      </c>
      <c r="M896" s="394" t="s">
        <v>5133</v>
      </c>
      <c r="N896" s="277">
        <v>33000000</v>
      </c>
      <c r="O896" s="410" t="s">
        <v>578</v>
      </c>
    </row>
    <row r="897" spans="1:15" ht="55.5" customHeight="1" x14ac:dyDescent="0.35">
      <c r="A897" s="272" t="s">
        <v>3190</v>
      </c>
      <c r="B897" s="512" t="s">
        <v>579</v>
      </c>
      <c r="C897" s="165" t="s">
        <v>5</v>
      </c>
      <c r="D897" s="163" t="s">
        <v>4</v>
      </c>
      <c r="E897" s="237" t="s">
        <v>43</v>
      </c>
      <c r="F897" s="163" t="s">
        <v>313</v>
      </c>
      <c r="G897" s="164"/>
      <c r="H897" s="253">
        <v>70122</v>
      </c>
      <c r="I897" s="364" t="s">
        <v>575</v>
      </c>
      <c r="J897" s="166">
        <v>100000000</v>
      </c>
      <c r="K897" s="627">
        <v>100000000</v>
      </c>
      <c r="L897" s="627">
        <v>100000000</v>
      </c>
      <c r="M897" s="394" t="s">
        <v>5123</v>
      </c>
      <c r="N897" s="277">
        <v>100000000</v>
      </c>
      <c r="O897" s="410" t="s">
        <v>579</v>
      </c>
    </row>
    <row r="898" spans="1:15" ht="35.25" customHeight="1" x14ac:dyDescent="0.35">
      <c r="A898" s="272" t="s">
        <v>3191</v>
      </c>
      <c r="B898" s="512" t="s">
        <v>580</v>
      </c>
      <c r="C898" s="165" t="s">
        <v>5</v>
      </c>
      <c r="D898" s="163" t="s">
        <v>4</v>
      </c>
      <c r="E898" s="237" t="s">
        <v>43</v>
      </c>
      <c r="F898" s="163" t="s">
        <v>313</v>
      </c>
      <c r="G898" s="164"/>
      <c r="H898" s="253">
        <v>70122</v>
      </c>
      <c r="I898" s="364" t="s">
        <v>575</v>
      </c>
      <c r="J898" s="166">
        <v>100000000</v>
      </c>
      <c r="K898" s="627">
        <v>50000000</v>
      </c>
      <c r="L898" s="394"/>
      <c r="M898" s="394" t="s">
        <v>5133</v>
      </c>
      <c r="N898" s="277">
        <v>100000000</v>
      </c>
      <c r="O898" s="410" t="s">
        <v>580</v>
      </c>
    </row>
    <row r="899" spans="1:15" ht="35.25" customHeight="1" x14ac:dyDescent="0.35">
      <c r="A899" s="272" t="s">
        <v>3192</v>
      </c>
      <c r="B899" s="512" t="s">
        <v>581</v>
      </c>
      <c r="C899" s="165" t="s">
        <v>5</v>
      </c>
      <c r="D899" s="163">
        <v>2101</v>
      </c>
      <c r="E899" s="237" t="s">
        <v>43</v>
      </c>
      <c r="F899" s="145" t="s">
        <v>3188</v>
      </c>
      <c r="G899" s="164"/>
      <c r="H899" s="253">
        <v>70150</v>
      </c>
      <c r="I899" s="364" t="s">
        <v>575</v>
      </c>
      <c r="J899" s="166">
        <v>100000000</v>
      </c>
      <c r="K899" s="627">
        <v>50000000</v>
      </c>
      <c r="L899" s="627"/>
      <c r="M899" s="394" t="s">
        <v>5123</v>
      </c>
      <c r="N899" s="277">
        <v>100000000</v>
      </c>
      <c r="O899" s="410" t="s">
        <v>581</v>
      </c>
    </row>
    <row r="900" spans="1:15" ht="51" customHeight="1" x14ac:dyDescent="0.35">
      <c r="A900" s="272" t="s">
        <v>3193</v>
      </c>
      <c r="B900" s="512" t="s">
        <v>582</v>
      </c>
      <c r="C900" s="165" t="s">
        <v>5</v>
      </c>
      <c r="D900" s="163" t="s">
        <v>4</v>
      </c>
      <c r="E900" s="237" t="s">
        <v>43</v>
      </c>
      <c r="F900" s="163" t="s">
        <v>313</v>
      </c>
      <c r="G900" s="164"/>
      <c r="H900" s="253">
        <v>70122</v>
      </c>
      <c r="I900" s="364" t="s">
        <v>575</v>
      </c>
      <c r="J900" s="166">
        <v>40000000</v>
      </c>
      <c r="K900" s="627">
        <v>30000000</v>
      </c>
      <c r="L900" s="394"/>
      <c r="M900" s="394" t="s">
        <v>5133</v>
      </c>
      <c r="N900" s="277">
        <v>40000000</v>
      </c>
      <c r="O900" s="410" t="s">
        <v>582</v>
      </c>
    </row>
    <row r="901" spans="1:15" ht="37.5" customHeight="1" x14ac:dyDescent="0.35">
      <c r="A901" s="272" t="s">
        <v>3194</v>
      </c>
      <c r="B901" s="512" t="s">
        <v>583</v>
      </c>
      <c r="C901" s="165" t="s">
        <v>5</v>
      </c>
      <c r="D901" s="163" t="s">
        <v>4</v>
      </c>
      <c r="E901" s="237" t="s">
        <v>43</v>
      </c>
      <c r="F901" s="163" t="s">
        <v>313</v>
      </c>
      <c r="G901" s="164"/>
      <c r="H901" s="253">
        <v>70122</v>
      </c>
      <c r="I901" s="364" t="s">
        <v>575</v>
      </c>
      <c r="J901" s="166">
        <v>20000000</v>
      </c>
      <c r="K901" s="627">
        <v>10000000</v>
      </c>
      <c r="L901" s="394"/>
      <c r="M901" s="394" t="s">
        <v>5133</v>
      </c>
      <c r="N901" s="277">
        <v>20000000</v>
      </c>
      <c r="O901" s="410" t="s">
        <v>583</v>
      </c>
    </row>
    <row r="902" spans="1:15" ht="32.25" customHeight="1" x14ac:dyDescent="0.35">
      <c r="A902" s="272" t="s">
        <v>3195</v>
      </c>
      <c r="B902" s="512" t="s">
        <v>584</v>
      </c>
      <c r="C902" s="165" t="s">
        <v>5</v>
      </c>
      <c r="D902" s="163" t="s">
        <v>4</v>
      </c>
      <c r="E902" s="237" t="s">
        <v>43</v>
      </c>
      <c r="F902" s="163" t="s">
        <v>313</v>
      </c>
      <c r="G902" s="164"/>
      <c r="H902" s="253">
        <v>70122</v>
      </c>
      <c r="I902" s="364" t="s">
        <v>575</v>
      </c>
      <c r="J902" s="166">
        <v>15000000</v>
      </c>
      <c r="K902" s="627">
        <v>10000000</v>
      </c>
      <c r="L902" s="394"/>
      <c r="M902" s="394" t="s">
        <v>5133</v>
      </c>
      <c r="N902" s="277">
        <v>15000000</v>
      </c>
      <c r="O902" s="410" t="s">
        <v>584</v>
      </c>
    </row>
    <row r="903" spans="1:15" ht="33" customHeight="1" x14ac:dyDescent="0.35">
      <c r="A903" s="272" t="s">
        <v>3196</v>
      </c>
      <c r="B903" s="512" t="s">
        <v>585</v>
      </c>
      <c r="C903" s="165" t="s">
        <v>5</v>
      </c>
      <c r="D903" s="163" t="s">
        <v>4</v>
      </c>
      <c r="E903" s="237" t="s">
        <v>43</v>
      </c>
      <c r="F903" s="163" t="s">
        <v>313</v>
      </c>
      <c r="G903" s="164"/>
      <c r="H903" s="253">
        <v>70122</v>
      </c>
      <c r="I903" s="364" t="s">
        <v>575</v>
      </c>
      <c r="J903" s="166">
        <v>25000000</v>
      </c>
      <c r="K903" s="627">
        <v>15000000</v>
      </c>
      <c r="L903" s="394"/>
      <c r="M903" s="394" t="s">
        <v>5133</v>
      </c>
      <c r="N903" s="277">
        <v>25000000</v>
      </c>
      <c r="O903" s="410" t="s">
        <v>585</v>
      </c>
    </row>
    <row r="904" spans="1:15" ht="38.25" customHeight="1" x14ac:dyDescent="0.35">
      <c r="A904" s="272" t="s">
        <v>3197</v>
      </c>
      <c r="B904" s="512" t="s">
        <v>586</v>
      </c>
      <c r="C904" s="165" t="s">
        <v>5</v>
      </c>
      <c r="D904" s="163" t="s">
        <v>4</v>
      </c>
      <c r="E904" s="237" t="s">
        <v>43</v>
      </c>
      <c r="F904" s="163" t="s">
        <v>313</v>
      </c>
      <c r="G904" s="164"/>
      <c r="H904" s="253">
        <v>70122</v>
      </c>
      <c r="I904" s="364" t="s">
        <v>575</v>
      </c>
      <c r="J904" s="166">
        <v>32000000</v>
      </c>
      <c r="K904" s="627">
        <v>25000000</v>
      </c>
      <c r="L904" s="394"/>
      <c r="M904" s="394" t="s">
        <v>5133</v>
      </c>
      <c r="N904" s="277">
        <v>32000000</v>
      </c>
      <c r="O904" s="410" t="s">
        <v>586</v>
      </c>
    </row>
    <row r="905" spans="1:15" ht="39.75" customHeight="1" x14ac:dyDescent="0.35">
      <c r="A905" s="272" t="s">
        <v>3198</v>
      </c>
      <c r="B905" s="512" t="s">
        <v>587</v>
      </c>
      <c r="C905" s="165" t="s">
        <v>5</v>
      </c>
      <c r="D905" s="163" t="s">
        <v>4</v>
      </c>
      <c r="E905" s="237" t="s">
        <v>43</v>
      </c>
      <c r="F905" s="163" t="s">
        <v>313</v>
      </c>
      <c r="G905" s="164"/>
      <c r="H905" s="253">
        <v>70122</v>
      </c>
      <c r="I905" s="364" t="s">
        <v>575</v>
      </c>
      <c r="J905" s="166">
        <v>50000000</v>
      </c>
      <c r="K905" s="627">
        <v>30000000</v>
      </c>
      <c r="L905" s="394"/>
      <c r="M905" s="394" t="s">
        <v>5133</v>
      </c>
      <c r="N905" s="149">
        <v>50000000</v>
      </c>
      <c r="O905" s="410" t="s">
        <v>587</v>
      </c>
    </row>
    <row r="906" spans="1:15" ht="39" customHeight="1" x14ac:dyDescent="0.35">
      <c r="A906" s="272" t="s">
        <v>3199</v>
      </c>
      <c r="B906" s="512" t="s">
        <v>588</v>
      </c>
      <c r="C906" s="165" t="s">
        <v>5</v>
      </c>
      <c r="D906" s="163" t="s">
        <v>4</v>
      </c>
      <c r="E906" s="237" t="s">
        <v>43</v>
      </c>
      <c r="F906" s="163" t="s">
        <v>313</v>
      </c>
      <c r="G906" s="164"/>
      <c r="H906" s="253">
        <v>70122</v>
      </c>
      <c r="I906" s="364" t="s">
        <v>575</v>
      </c>
      <c r="J906" s="166">
        <v>500000000</v>
      </c>
      <c r="K906" s="627">
        <v>250000000</v>
      </c>
      <c r="L906" s="394"/>
      <c r="M906" s="394" t="s">
        <v>5133</v>
      </c>
      <c r="N906" s="149">
        <v>500000000</v>
      </c>
      <c r="O906" s="410" t="s">
        <v>588</v>
      </c>
    </row>
    <row r="907" spans="1:15" ht="36.75" customHeight="1" x14ac:dyDescent="0.35">
      <c r="A907" s="272" t="s">
        <v>3200</v>
      </c>
      <c r="B907" s="512" t="s">
        <v>589</v>
      </c>
      <c r="C907" s="165" t="s">
        <v>5</v>
      </c>
      <c r="D907" s="163" t="s">
        <v>4</v>
      </c>
      <c r="E907" s="237" t="s">
        <v>43</v>
      </c>
      <c r="F907" s="163" t="s">
        <v>313</v>
      </c>
      <c r="G907" s="164"/>
      <c r="H907" s="253">
        <v>70122</v>
      </c>
      <c r="I907" s="364" t="s">
        <v>575</v>
      </c>
      <c r="J907" s="166">
        <v>40000000</v>
      </c>
      <c r="K907" s="627">
        <v>20000000</v>
      </c>
      <c r="L907" s="394"/>
      <c r="M907" s="394" t="s">
        <v>5133</v>
      </c>
      <c r="N907" s="149">
        <v>40000000</v>
      </c>
      <c r="O907" s="410" t="s">
        <v>589</v>
      </c>
    </row>
    <row r="908" spans="1:15" ht="38.25" customHeight="1" x14ac:dyDescent="0.35">
      <c r="A908" s="272" t="s">
        <v>3201</v>
      </c>
      <c r="B908" s="512" t="s">
        <v>590</v>
      </c>
      <c r="C908" s="165" t="s">
        <v>5</v>
      </c>
      <c r="D908" s="163" t="s">
        <v>4</v>
      </c>
      <c r="E908" s="237" t="s">
        <v>43</v>
      </c>
      <c r="F908" s="163" t="s">
        <v>313</v>
      </c>
      <c r="G908" s="164"/>
      <c r="H908" s="253">
        <v>70122</v>
      </c>
      <c r="I908" s="364" t="s">
        <v>575</v>
      </c>
      <c r="J908" s="166">
        <v>70000000</v>
      </c>
      <c r="K908" s="627">
        <v>30000000</v>
      </c>
      <c r="L908" s="394"/>
      <c r="M908" s="394" t="s">
        <v>5133</v>
      </c>
      <c r="N908" s="149">
        <v>70000000</v>
      </c>
      <c r="O908" s="410" t="s">
        <v>590</v>
      </c>
    </row>
    <row r="909" spans="1:15" ht="39.75" customHeight="1" x14ac:dyDescent="0.35">
      <c r="A909" s="272" t="s">
        <v>3202</v>
      </c>
      <c r="B909" s="512" t="s">
        <v>591</v>
      </c>
      <c r="C909" s="165" t="s">
        <v>5</v>
      </c>
      <c r="D909" s="163" t="s">
        <v>4</v>
      </c>
      <c r="E909" s="237" t="s">
        <v>43</v>
      </c>
      <c r="F909" s="163" t="s">
        <v>313</v>
      </c>
      <c r="G909" s="164"/>
      <c r="H909" s="253">
        <v>70122</v>
      </c>
      <c r="I909" s="364" t="s">
        <v>575</v>
      </c>
      <c r="J909" s="166">
        <v>40000000</v>
      </c>
      <c r="K909" s="627">
        <v>40000000</v>
      </c>
      <c r="L909" s="394"/>
      <c r="M909" s="394" t="s">
        <v>5133</v>
      </c>
      <c r="N909" s="149">
        <v>40000000</v>
      </c>
      <c r="O909" s="410" t="s">
        <v>591</v>
      </c>
    </row>
    <row r="910" spans="1:15" ht="34.5" customHeight="1" x14ac:dyDescent="0.35">
      <c r="A910" s="272" t="s">
        <v>3203</v>
      </c>
      <c r="B910" s="512" t="s">
        <v>592</v>
      </c>
      <c r="C910" s="165" t="s">
        <v>5</v>
      </c>
      <c r="D910" s="163" t="s">
        <v>4</v>
      </c>
      <c r="E910" s="237" t="s">
        <v>43</v>
      </c>
      <c r="F910" s="163" t="s">
        <v>313</v>
      </c>
      <c r="G910" s="164"/>
      <c r="H910" s="253">
        <v>70122</v>
      </c>
      <c r="I910" s="364" t="s">
        <v>575</v>
      </c>
      <c r="J910" s="166">
        <v>600000000</v>
      </c>
      <c r="K910" s="627">
        <v>600000000</v>
      </c>
      <c r="L910" s="394"/>
      <c r="M910" s="394" t="s">
        <v>5133</v>
      </c>
      <c r="N910" s="149">
        <v>600000000</v>
      </c>
      <c r="O910" s="410" t="s">
        <v>592</v>
      </c>
    </row>
    <row r="911" spans="1:15" ht="45.75" customHeight="1" x14ac:dyDescent="0.35">
      <c r="A911" s="272" t="s">
        <v>3204</v>
      </c>
      <c r="B911" s="512" t="s">
        <v>593</v>
      </c>
      <c r="C911" s="165" t="s">
        <v>5</v>
      </c>
      <c r="D911" s="163" t="s">
        <v>4</v>
      </c>
      <c r="E911" s="237" t="s">
        <v>43</v>
      </c>
      <c r="F911" s="163" t="s">
        <v>313</v>
      </c>
      <c r="G911" s="164"/>
      <c r="H911" s="253">
        <v>70122</v>
      </c>
      <c r="I911" s="364" t="s">
        <v>575</v>
      </c>
      <c r="J911" s="166">
        <v>15000000</v>
      </c>
      <c r="K911" s="627">
        <v>15000000</v>
      </c>
      <c r="L911" s="394"/>
      <c r="M911" s="394" t="s">
        <v>5133</v>
      </c>
      <c r="N911" s="149">
        <v>15000000</v>
      </c>
      <c r="O911" s="410" t="s">
        <v>593</v>
      </c>
    </row>
    <row r="912" spans="1:15" ht="33" customHeight="1" x14ac:dyDescent="0.35">
      <c r="A912" s="272" t="s">
        <v>3205</v>
      </c>
      <c r="B912" s="512" t="s">
        <v>594</v>
      </c>
      <c r="C912" s="165" t="s">
        <v>5</v>
      </c>
      <c r="D912" s="163" t="s">
        <v>4</v>
      </c>
      <c r="E912" s="237" t="s">
        <v>43</v>
      </c>
      <c r="F912" s="163" t="s">
        <v>313</v>
      </c>
      <c r="G912" s="164"/>
      <c r="H912" s="253">
        <v>70122</v>
      </c>
      <c r="I912" s="364" t="s">
        <v>575</v>
      </c>
      <c r="J912" s="166">
        <v>50000000</v>
      </c>
      <c r="K912" s="627">
        <v>50000000</v>
      </c>
      <c r="L912" s="394"/>
      <c r="M912" s="394" t="s">
        <v>5133</v>
      </c>
      <c r="N912" s="149">
        <v>50000000</v>
      </c>
      <c r="O912" s="410" t="s">
        <v>594</v>
      </c>
    </row>
    <row r="913" spans="1:16" ht="33.75" customHeight="1" x14ac:dyDescent="0.35">
      <c r="A913" s="272" t="s">
        <v>3206</v>
      </c>
      <c r="B913" s="512" t="s">
        <v>595</v>
      </c>
      <c r="C913" s="165" t="s">
        <v>5</v>
      </c>
      <c r="D913" s="163" t="s">
        <v>4</v>
      </c>
      <c r="E913" s="237" t="s">
        <v>43</v>
      </c>
      <c r="F913" s="163" t="s">
        <v>313</v>
      </c>
      <c r="G913" s="164"/>
      <c r="H913" s="253">
        <v>70122</v>
      </c>
      <c r="I913" s="364" t="s">
        <v>575</v>
      </c>
      <c r="J913" s="166">
        <v>50000000</v>
      </c>
      <c r="K913" s="627">
        <v>25000000</v>
      </c>
      <c r="L913" s="394"/>
      <c r="M913" s="394" t="s">
        <v>5133</v>
      </c>
      <c r="N913" s="149">
        <v>50000000</v>
      </c>
      <c r="O913" s="410" t="s">
        <v>595</v>
      </c>
    </row>
    <row r="914" spans="1:16" ht="28.5" customHeight="1" x14ac:dyDescent="0.35">
      <c r="A914" s="272" t="s">
        <v>3207</v>
      </c>
      <c r="B914" s="512" t="s">
        <v>596</v>
      </c>
      <c r="C914" s="165" t="s">
        <v>5</v>
      </c>
      <c r="D914" s="163" t="s">
        <v>4</v>
      </c>
      <c r="E914" s="237" t="s">
        <v>43</v>
      </c>
      <c r="F914" s="163" t="s">
        <v>313</v>
      </c>
      <c r="G914" s="164"/>
      <c r="H914" s="253">
        <v>70122</v>
      </c>
      <c r="I914" s="364" t="s">
        <v>575</v>
      </c>
      <c r="J914" s="166">
        <v>400000000</v>
      </c>
      <c r="K914" s="627">
        <v>250000000</v>
      </c>
      <c r="L914" s="394"/>
      <c r="M914" s="394" t="s">
        <v>5133</v>
      </c>
      <c r="N914" s="149">
        <v>400000000</v>
      </c>
      <c r="O914" s="410" t="s">
        <v>596</v>
      </c>
    </row>
    <row r="915" spans="1:16" ht="39.75" customHeight="1" x14ac:dyDescent="0.35">
      <c r="A915" s="272" t="s">
        <v>3208</v>
      </c>
      <c r="B915" s="512" t="s">
        <v>597</v>
      </c>
      <c r="C915" s="165" t="s">
        <v>5</v>
      </c>
      <c r="D915" s="163" t="s">
        <v>4</v>
      </c>
      <c r="E915" s="237" t="s">
        <v>43</v>
      </c>
      <c r="F915" s="163" t="s">
        <v>313</v>
      </c>
      <c r="G915" s="164"/>
      <c r="H915" s="253">
        <v>70122</v>
      </c>
      <c r="I915" s="364" t="s">
        <v>575</v>
      </c>
      <c r="J915" s="166">
        <v>100000000</v>
      </c>
      <c r="K915" s="627">
        <v>30000000</v>
      </c>
      <c r="L915" s="394"/>
      <c r="M915" s="394" t="s">
        <v>5133</v>
      </c>
      <c r="N915" s="149">
        <v>100000000</v>
      </c>
      <c r="O915" s="410" t="s">
        <v>597</v>
      </c>
    </row>
    <row r="916" spans="1:16" ht="31.5" customHeight="1" x14ac:dyDescent="0.35">
      <c r="A916" s="272" t="s">
        <v>3209</v>
      </c>
      <c r="B916" s="512" t="s">
        <v>598</v>
      </c>
      <c r="C916" s="165" t="s">
        <v>5</v>
      </c>
      <c r="D916" s="163" t="s">
        <v>4</v>
      </c>
      <c r="E916" s="237" t="s">
        <v>43</v>
      </c>
      <c r="F916" s="163" t="s">
        <v>313</v>
      </c>
      <c r="G916" s="164"/>
      <c r="H916" s="253">
        <v>70122</v>
      </c>
      <c r="I916" s="364" t="s">
        <v>575</v>
      </c>
      <c r="J916" s="166">
        <v>40000000</v>
      </c>
      <c r="K916" s="627">
        <v>40000000</v>
      </c>
      <c r="L916" s="394"/>
      <c r="M916" s="394" t="s">
        <v>5133</v>
      </c>
      <c r="N916" s="149">
        <v>40000000</v>
      </c>
      <c r="O916" s="410" t="s">
        <v>598</v>
      </c>
    </row>
    <row r="917" spans="1:16" ht="29.25" customHeight="1" x14ac:dyDescent="0.35">
      <c r="A917" s="272" t="s">
        <v>3210</v>
      </c>
      <c r="B917" s="512" t="s">
        <v>599</v>
      </c>
      <c r="C917" s="165" t="s">
        <v>5</v>
      </c>
      <c r="D917" s="163" t="s">
        <v>4</v>
      </c>
      <c r="E917" s="237" t="s">
        <v>43</v>
      </c>
      <c r="F917" s="163" t="s">
        <v>313</v>
      </c>
      <c r="G917" s="164"/>
      <c r="H917" s="253">
        <v>70122</v>
      </c>
      <c r="I917" s="364" t="s">
        <v>575</v>
      </c>
      <c r="J917" s="166">
        <v>50000000</v>
      </c>
      <c r="K917" s="627">
        <v>40000000</v>
      </c>
      <c r="L917" s="394"/>
      <c r="M917" s="394" t="s">
        <v>5133</v>
      </c>
      <c r="N917" s="149">
        <v>50000000</v>
      </c>
      <c r="O917" s="410" t="s">
        <v>599</v>
      </c>
    </row>
    <row r="918" spans="1:16" ht="78.75" customHeight="1" x14ac:dyDescent="0.35">
      <c r="A918" s="272" t="s">
        <v>3211</v>
      </c>
      <c r="B918" s="512" t="s">
        <v>4866</v>
      </c>
      <c r="C918" s="165" t="s">
        <v>5</v>
      </c>
      <c r="D918" s="163" t="s">
        <v>4</v>
      </c>
      <c r="E918" s="237" t="s">
        <v>43</v>
      </c>
      <c r="F918" s="163" t="s">
        <v>313</v>
      </c>
      <c r="G918" s="164"/>
      <c r="H918" s="253">
        <v>70122</v>
      </c>
      <c r="I918" s="364" t="s">
        <v>575</v>
      </c>
      <c r="J918" s="166">
        <v>350000000</v>
      </c>
      <c r="K918" s="627">
        <v>350000000</v>
      </c>
      <c r="L918" s="627">
        <v>350000000</v>
      </c>
      <c r="M918" s="394" t="s">
        <v>5123</v>
      </c>
      <c r="N918" s="149">
        <v>350000000</v>
      </c>
      <c r="O918" s="410" t="s">
        <v>600</v>
      </c>
    </row>
    <row r="919" spans="1:16" ht="52.5" customHeight="1" x14ac:dyDescent="0.35">
      <c r="A919" s="272" t="s">
        <v>3212</v>
      </c>
      <c r="B919" s="512" t="s">
        <v>601</v>
      </c>
      <c r="C919" s="165" t="s">
        <v>5</v>
      </c>
      <c r="D919" s="163" t="s">
        <v>4</v>
      </c>
      <c r="E919" s="237" t="s">
        <v>43</v>
      </c>
      <c r="F919" s="163" t="s">
        <v>313</v>
      </c>
      <c r="G919" s="164"/>
      <c r="H919" s="253">
        <v>70122</v>
      </c>
      <c r="I919" s="364" t="s">
        <v>575</v>
      </c>
      <c r="J919" s="166">
        <v>100000000</v>
      </c>
      <c r="K919" s="627">
        <v>100000000</v>
      </c>
      <c r="L919" s="627">
        <v>100000000</v>
      </c>
      <c r="M919" s="394" t="s">
        <v>5123</v>
      </c>
      <c r="N919" s="149">
        <v>50000000</v>
      </c>
      <c r="O919" s="410" t="s">
        <v>601</v>
      </c>
    </row>
    <row r="920" spans="1:16" ht="32.25" customHeight="1" x14ac:dyDescent="0.35">
      <c r="A920" s="272" t="s">
        <v>3213</v>
      </c>
      <c r="B920" s="512" t="s">
        <v>602</v>
      </c>
      <c r="C920" s="165" t="s">
        <v>5</v>
      </c>
      <c r="D920" s="163" t="s">
        <v>4</v>
      </c>
      <c r="E920" s="237" t="s">
        <v>43</v>
      </c>
      <c r="F920" s="163" t="s">
        <v>313</v>
      </c>
      <c r="G920" s="164"/>
      <c r="H920" s="253">
        <v>70122</v>
      </c>
      <c r="I920" s="364" t="s">
        <v>575</v>
      </c>
      <c r="J920" s="166">
        <v>30000000</v>
      </c>
      <c r="K920" s="627">
        <v>30000000</v>
      </c>
      <c r="L920" s="394"/>
      <c r="M920" s="394" t="s">
        <v>5133</v>
      </c>
      <c r="N920" s="149">
        <v>30000000</v>
      </c>
      <c r="O920" s="410" t="s">
        <v>602</v>
      </c>
    </row>
    <row r="921" spans="1:16" ht="37.5" customHeight="1" x14ac:dyDescent="0.35">
      <c r="A921" s="272" t="s">
        <v>3214</v>
      </c>
      <c r="B921" s="512" t="s">
        <v>603</v>
      </c>
      <c r="C921" s="165" t="s">
        <v>5</v>
      </c>
      <c r="D921" s="163" t="s">
        <v>4</v>
      </c>
      <c r="E921" s="237" t="s">
        <v>43</v>
      </c>
      <c r="F921" s="163" t="s">
        <v>313</v>
      </c>
      <c r="G921" s="164"/>
      <c r="H921" s="253">
        <v>70122</v>
      </c>
      <c r="I921" s="364" t="s">
        <v>575</v>
      </c>
      <c r="J921" s="166">
        <v>100000000</v>
      </c>
      <c r="K921" s="627">
        <v>65000000</v>
      </c>
      <c r="L921" s="394"/>
      <c r="M921" s="394" t="s">
        <v>5133</v>
      </c>
      <c r="N921" s="149">
        <v>100000000</v>
      </c>
      <c r="O921" s="410" t="s">
        <v>603</v>
      </c>
    </row>
    <row r="922" spans="1:16" s="247" customFormat="1" ht="37.5" customHeight="1" x14ac:dyDescent="0.3">
      <c r="A922" s="245"/>
      <c r="B922" s="360" t="s">
        <v>1008</v>
      </c>
      <c r="C922" s="188"/>
      <c r="D922" s="257"/>
      <c r="E922" s="273"/>
      <c r="F922" s="257"/>
      <c r="G922" s="273"/>
      <c r="H922" s="257"/>
      <c r="I922" s="273"/>
      <c r="J922" s="259">
        <f>SUM(J896:J921)</f>
        <v>3050000000</v>
      </c>
      <c r="K922" s="259">
        <f>SUM(K896:K921)</f>
        <v>2269000000</v>
      </c>
      <c r="L922" s="707"/>
      <c r="M922" s="707"/>
      <c r="N922" s="259">
        <f>SUM(N896:N921)</f>
        <v>3000000000</v>
      </c>
      <c r="O922" s="245" t="s">
        <v>1008</v>
      </c>
      <c r="P922" s="246"/>
    </row>
    <row r="923" spans="1:16" ht="42.75" customHeight="1" x14ac:dyDescent="0.35">
      <c r="A923" s="286"/>
      <c r="B923" s="492"/>
      <c r="C923" s="282"/>
      <c r="D923" s="283"/>
      <c r="E923" s="330"/>
      <c r="F923" s="283"/>
      <c r="G923" s="330"/>
      <c r="H923" s="283"/>
      <c r="I923" s="330"/>
      <c r="J923" s="285"/>
      <c r="K923" s="458"/>
      <c r="L923" s="704"/>
      <c r="M923" s="704"/>
      <c r="N923" s="285"/>
      <c r="O923" s="286"/>
    </row>
    <row r="924" spans="1:16" ht="29.25" customHeight="1" x14ac:dyDescent="0.35">
      <c r="A924" s="401" t="s">
        <v>1134</v>
      </c>
      <c r="B924" s="716"/>
      <c r="C924" s="402"/>
      <c r="D924" s="403"/>
      <c r="E924" s="404"/>
      <c r="F924" s="403"/>
      <c r="G924" s="404"/>
      <c r="H924" s="403"/>
      <c r="I924" s="404"/>
      <c r="J924" s="405"/>
      <c r="K924" s="458"/>
      <c r="L924" s="704"/>
      <c r="M924" s="704"/>
      <c r="N924" s="405"/>
      <c r="O924" s="600"/>
    </row>
    <row r="925" spans="1:16" ht="80.25" customHeight="1" x14ac:dyDescent="0.35">
      <c r="A925" s="360" t="s">
        <v>1007</v>
      </c>
      <c r="B925" s="513" t="s">
        <v>50</v>
      </c>
      <c r="C925" s="175" t="s">
        <v>898</v>
      </c>
      <c r="D925" s="257" t="s">
        <v>52</v>
      </c>
      <c r="E925" s="273" t="s">
        <v>49</v>
      </c>
      <c r="F925" s="257" t="s">
        <v>1</v>
      </c>
      <c r="G925" s="176"/>
      <c r="H925" s="171" t="s">
        <v>51</v>
      </c>
      <c r="I925" s="176" t="s">
        <v>2</v>
      </c>
      <c r="J925" s="177" t="s">
        <v>4862</v>
      </c>
      <c r="K925" s="189" t="s">
        <v>5140</v>
      </c>
      <c r="L925" s="623" t="s">
        <v>5132</v>
      </c>
      <c r="M925" s="623" t="s">
        <v>5132</v>
      </c>
      <c r="N925" s="177" t="s">
        <v>932</v>
      </c>
      <c r="O925" s="598" t="s">
        <v>50</v>
      </c>
    </row>
    <row r="926" spans="1:16" ht="36.75" customHeight="1" x14ac:dyDescent="0.35">
      <c r="A926" s="272" t="s">
        <v>3636</v>
      </c>
      <c r="B926" s="480" t="s">
        <v>604</v>
      </c>
      <c r="C926" s="165" t="s">
        <v>5</v>
      </c>
      <c r="D926" s="141" t="s">
        <v>4</v>
      </c>
      <c r="E926" s="237" t="s">
        <v>6</v>
      </c>
      <c r="F926" s="163" t="s">
        <v>108</v>
      </c>
      <c r="G926" s="146"/>
      <c r="H926" s="141" t="s">
        <v>2453</v>
      </c>
      <c r="I926" s="142" t="s">
        <v>907</v>
      </c>
      <c r="J926" s="144">
        <v>681988</v>
      </c>
      <c r="K926" s="627">
        <v>286644.18</v>
      </c>
      <c r="L926" s="394"/>
      <c r="M926" s="394" t="s">
        <v>5133</v>
      </c>
      <c r="N926" s="149">
        <v>128857.73813781326</v>
      </c>
      <c r="O926" s="241" t="s">
        <v>604</v>
      </c>
    </row>
    <row r="927" spans="1:16" ht="36.75" customHeight="1" x14ac:dyDescent="0.35">
      <c r="A927" s="272" t="s">
        <v>3637</v>
      </c>
      <c r="B927" s="480" t="s">
        <v>119</v>
      </c>
      <c r="C927" s="165" t="s">
        <v>5</v>
      </c>
      <c r="D927" s="141" t="s">
        <v>4</v>
      </c>
      <c r="E927" s="237" t="s">
        <v>6</v>
      </c>
      <c r="F927" s="163" t="s">
        <v>54</v>
      </c>
      <c r="G927" s="146"/>
      <c r="H927" s="141">
        <v>70112</v>
      </c>
      <c r="I927" s="142" t="s">
        <v>900</v>
      </c>
      <c r="J927" s="144">
        <v>5000000</v>
      </c>
      <c r="K927" s="627">
        <v>2101533.94</v>
      </c>
      <c r="L927" s="394"/>
      <c r="M927" s="394" t="s">
        <v>5133</v>
      </c>
      <c r="N927" s="149">
        <v>22000000</v>
      </c>
      <c r="O927" s="241" t="s">
        <v>119</v>
      </c>
    </row>
    <row r="928" spans="1:16" ht="36.75" customHeight="1" x14ac:dyDescent="0.35">
      <c r="A928" s="272" t="s">
        <v>3638</v>
      </c>
      <c r="B928" s="480" t="s">
        <v>118</v>
      </c>
      <c r="C928" s="165" t="s">
        <v>5</v>
      </c>
      <c r="D928" s="141" t="s">
        <v>4</v>
      </c>
      <c r="E928" s="237" t="s">
        <v>6</v>
      </c>
      <c r="F928" s="163" t="s">
        <v>62</v>
      </c>
      <c r="G928" s="146"/>
      <c r="H928" s="141">
        <v>70112</v>
      </c>
      <c r="I928" s="142" t="s">
        <v>904</v>
      </c>
      <c r="J928" s="144">
        <v>3000000</v>
      </c>
      <c r="K928" s="627">
        <v>8260920</v>
      </c>
      <c r="L928" s="394"/>
      <c r="M928" s="394" t="s">
        <v>5133</v>
      </c>
      <c r="N928" s="149">
        <v>2577164.6046090452</v>
      </c>
      <c r="O928" s="241" t="s">
        <v>118</v>
      </c>
    </row>
    <row r="929" spans="1:16" ht="45.75" customHeight="1" x14ac:dyDescent="0.35">
      <c r="A929" s="272" t="s">
        <v>3639</v>
      </c>
      <c r="B929" s="480" t="s">
        <v>605</v>
      </c>
      <c r="C929" s="165" t="s">
        <v>5</v>
      </c>
      <c r="D929" s="141" t="s">
        <v>4</v>
      </c>
      <c r="E929" s="237" t="s">
        <v>6</v>
      </c>
      <c r="F929" s="163" t="s">
        <v>62</v>
      </c>
      <c r="G929" s="146"/>
      <c r="H929" s="141">
        <v>70112</v>
      </c>
      <c r="I929" s="142" t="s">
        <v>904</v>
      </c>
      <c r="J929" s="144">
        <v>6000000</v>
      </c>
      <c r="K929" s="627">
        <v>2021840.73</v>
      </c>
      <c r="L929" s="394"/>
      <c r="M929" s="394" t="s">
        <v>5133</v>
      </c>
      <c r="N929" s="149">
        <v>6442911.5115226125</v>
      </c>
      <c r="O929" s="241" t="s">
        <v>605</v>
      </c>
    </row>
    <row r="930" spans="1:16" ht="36.75" customHeight="1" x14ac:dyDescent="0.35">
      <c r="A930" s="272" t="s">
        <v>3640</v>
      </c>
      <c r="B930" s="480" t="s">
        <v>606</v>
      </c>
      <c r="C930" s="165" t="s">
        <v>5</v>
      </c>
      <c r="D930" s="141" t="s">
        <v>4</v>
      </c>
      <c r="E930" s="237" t="s">
        <v>6</v>
      </c>
      <c r="F930" s="163" t="s">
        <v>265</v>
      </c>
      <c r="G930" s="146"/>
      <c r="H930" s="141">
        <v>70112</v>
      </c>
      <c r="I930" s="145" t="s">
        <v>46</v>
      </c>
      <c r="J930" s="144">
        <v>43000000</v>
      </c>
      <c r="K930" s="627">
        <v>31073191</v>
      </c>
      <c r="L930" s="394"/>
      <c r="M930" s="394" t="s">
        <v>5133</v>
      </c>
      <c r="N930" s="149">
        <v>58000000</v>
      </c>
      <c r="O930" s="411" t="s">
        <v>606</v>
      </c>
    </row>
    <row r="931" spans="1:16" ht="36.75" customHeight="1" x14ac:dyDescent="0.35">
      <c r="A931" s="272" t="s">
        <v>3641</v>
      </c>
      <c r="B931" s="480" t="s">
        <v>55</v>
      </c>
      <c r="C931" s="165" t="s">
        <v>5</v>
      </c>
      <c r="D931" s="141" t="s">
        <v>4</v>
      </c>
      <c r="E931" s="237" t="s">
        <v>6</v>
      </c>
      <c r="F931" s="163" t="s">
        <v>56</v>
      </c>
      <c r="G931" s="146"/>
      <c r="H931" s="141">
        <v>70112</v>
      </c>
      <c r="I931" s="142" t="s">
        <v>901</v>
      </c>
      <c r="J931" s="144">
        <v>500000</v>
      </c>
      <c r="K931" s="627">
        <v>210153.39</v>
      </c>
      <c r="L931" s="394"/>
      <c r="M931" s="394" t="s">
        <v>5133</v>
      </c>
      <c r="N931" s="149">
        <v>386573.2144134398</v>
      </c>
      <c r="O931" s="241" t="s">
        <v>55</v>
      </c>
    </row>
    <row r="932" spans="1:16" ht="38.25" customHeight="1" x14ac:dyDescent="0.35">
      <c r="A932" s="272" t="s">
        <v>3642</v>
      </c>
      <c r="B932" s="480" t="s">
        <v>60</v>
      </c>
      <c r="C932" s="165" t="s">
        <v>5</v>
      </c>
      <c r="D932" s="141" t="s">
        <v>4</v>
      </c>
      <c r="E932" s="237" t="s">
        <v>6</v>
      </c>
      <c r="F932" s="163" t="s">
        <v>983</v>
      </c>
      <c r="G932" s="146"/>
      <c r="H932" s="141">
        <v>70112</v>
      </c>
      <c r="I932" s="142" t="s">
        <v>902</v>
      </c>
      <c r="J932" s="144">
        <v>10000000</v>
      </c>
      <c r="K932" s="627">
        <v>4203067.88</v>
      </c>
      <c r="L932" s="394"/>
      <c r="M932" s="394" t="s">
        <v>5133</v>
      </c>
      <c r="N932" s="149">
        <v>12885824.663354022</v>
      </c>
      <c r="O932" s="241" t="s">
        <v>60</v>
      </c>
    </row>
    <row r="933" spans="1:16" ht="33" customHeight="1" x14ac:dyDescent="0.35">
      <c r="A933" s="272" t="s">
        <v>3643</v>
      </c>
      <c r="B933" s="480" t="s">
        <v>607</v>
      </c>
      <c r="C933" s="165" t="s">
        <v>5</v>
      </c>
      <c r="D933" s="141" t="s">
        <v>4</v>
      </c>
      <c r="E933" s="237" t="s">
        <v>6</v>
      </c>
      <c r="F933" s="163" t="s">
        <v>265</v>
      </c>
      <c r="G933" s="146"/>
      <c r="H933" s="141">
        <v>70112</v>
      </c>
      <c r="I933" s="145" t="s">
        <v>46</v>
      </c>
      <c r="J933" s="144">
        <v>75000000</v>
      </c>
      <c r="K933" s="627">
        <v>21523009.100000001</v>
      </c>
      <c r="L933" s="394"/>
      <c r="M933" s="394" t="s">
        <v>5133</v>
      </c>
      <c r="N933" s="149">
        <v>100000000</v>
      </c>
      <c r="O933" s="241" t="s">
        <v>607</v>
      </c>
    </row>
    <row r="934" spans="1:16" ht="45.75" customHeight="1" x14ac:dyDescent="0.35">
      <c r="A934" s="272" t="s">
        <v>3644</v>
      </c>
      <c r="B934" s="480" t="s">
        <v>608</v>
      </c>
      <c r="C934" s="165" t="s">
        <v>5</v>
      </c>
      <c r="D934" s="141" t="s">
        <v>4</v>
      </c>
      <c r="E934" s="237" t="s">
        <v>6</v>
      </c>
      <c r="F934" s="163" t="s">
        <v>147</v>
      </c>
      <c r="G934" s="146"/>
      <c r="H934" s="141">
        <v>70112</v>
      </c>
      <c r="I934" s="142" t="s">
        <v>148</v>
      </c>
      <c r="J934" s="144">
        <v>3000000</v>
      </c>
      <c r="K934" s="627">
        <v>1260920.3600000001</v>
      </c>
      <c r="L934" s="394"/>
      <c r="M934" s="394" t="s">
        <v>5133</v>
      </c>
      <c r="N934" s="149">
        <v>3865746.9069135673</v>
      </c>
      <c r="O934" s="241" t="s">
        <v>608</v>
      </c>
    </row>
    <row r="935" spans="1:16" ht="35.25" customHeight="1" x14ac:dyDescent="0.35">
      <c r="A935" s="272" t="s">
        <v>3645</v>
      </c>
      <c r="B935" s="480" t="s">
        <v>609</v>
      </c>
      <c r="C935" s="165" t="s">
        <v>5</v>
      </c>
      <c r="D935" s="141" t="s">
        <v>4</v>
      </c>
      <c r="E935" s="237" t="s">
        <v>6</v>
      </c>
      <c r="F935" s="163" t="s">
        <v>54</v>
      </c>
      <c r="G935" s="146"/>
      <c r="H935" s="141">
        <v>70112</v>
      </c>
      <c r="I935" s="142" t="s">
        <v>900</v>
      </c>
      <c r="J935" s="144">
        <v>10000000</v>
      </c>
      <c r="K935" s="627">
        <v>4203067.88</v>
      </c>
      <c r="L935" s="394"/>
      <c r="M935" s="394" t="s">
        <v>5133</v>
      </c>
      <c r="N935" s="149">
        <v>25000000</v>
      </c>
      <c r="O935" s="241" t="s">
        <v>609</v>
      </c>
    </row>
    <row r="936" spans="1:16" ht="36" customHeight="1" x14ac:dyDescent="0.35">
      <c r="A936" s="272" t="s">
        <v>3646</v>
      </c>
      <c r="B936" s="480" t="s">
        <v>610</v>
      </c>
      <c r="C936" s="165" t="s">
        <v>5</v>
      </c>
      <c r="D936" s="141" t="s">
        <v>4</v>
      </c>
      <c r="E936" s="237" t="s">
        <v>6</v>
      </c>
      <c r="F936" s="163" t="s">
        <v>54</v>
      </c>
      <c r="G936" s="146"/>
      <c r="H936" s="141">
        <v>70112</v>
      </c>
      <c r="I936" s="142" t="s">
        <v>900</v>
      </c>
      <c r="J936" s="144">
        <v>5000000</v>
      </c>
      <c r="K936" s="627">
        <v>2101533.94</v>
      </c>
      <c r="L936" s="394"/>
      <c r="M936" s="394" t="s">
        <v>5133</v>
      </c>
      <c r="N936" s="149">
        <v>11597242.361049499</v>
      </c>
      <c r="O936" s="241" t="s">
        <v>610</v>
      </c>
    </row>
    <row r="937" spans="1:16" ht="38.25" customHeight="1" x14ac:dyDescent="0.35">
      <c r="A937" s="272" t="s">
        <v>3647</v>
      </c>
      <c r="B937" s="480" t="s">
        <v>611</v>
      </c>
      <c r="C937" s="165" t="s">
        <v>5</v>
      </c>
      <c r="D937" s="141" t="s">
        <v>4</v>
      </c>
      <c r="E937" s="237" t="s">
        <v>6</v>
      </c>
      <c r="F937" s="163" t="s">
        <v>612</v>
      </c>
      <c r="G937" s="146"/>
      <c r="H937" s="141">
        <v>70112</v>
      </c>
      <c r="I937" s="146" t="s">
        <v>909</v>
      </c>
      <c r="J937" s="147">
        <v>5000000</v>
      </c>
      <c r="K937" s="627">
        <v>2101533.94</v>
      </c>
      <c r="L937" s="394"/>
      <c r="M937" s="394" t="s">
        <v>5133</v>
      </c>
      <c r="N937" s="149">
        <v>5000000</v>
      </c>
      <c r="O937" s="241" t="s">
        <v>611</v>
      </c>
    </row>
    <row r="938" spans="1:16" ht="32.25" customHeight="1" x14ac:dyDescent="0.35">
      <c r="A938" s="272" t="s">
        <v>3648</v>
      </c>
      <c r="B938" s="480" t="s">
        <v>613</v>
      </c>
      <c r="C938" s="165" t="s">
        <v>5</v>
      </c>
      <c r="D938" s="141" t="s">
        <v>4</v>
      </c>
      <c r="E938" s="237" t="s">
        <v>6</v>
      </c>
      <c r="F938" s="163" t="s">
        <v>983</v>
      </c>
      <c r="G938" s="146"/>
      <c r="H938" s="141">
        <v>70112</v>
      </c>
      <c r="I938" s="142" t="s">
        <v>902</v>
      </c>
      <c r="J938" s="144">
        <v>50000000</v>
      </c>
      <c r="K938" s="627">
        <v>21015339.399999999</v>
      </c>
      <c r="L938" s="394"/>
      <c r="M938" s="394" t="s">
        <v>5133</v>
      </c>
      <c r="N938" s="149">
        <v>27000000</v>
      </c>
      <c r="O938" s="241" t="s">
        <v>613</v>
      </c>
    </row>
    <row r="939" spans="1:16" s="247" customFormat="1" ht="37.5" customHeight="1" x14ac:dyDescent="0.3">
      <c r="A939" s="245"/>
      <c r="B939" s="360" t="s">
        <v>1008</v>
      </c>
      <c r="C939" s="188"/>
      <c r="D939" s="257"/>
      <c r="E939" s="273"/>
      <c r="F939" s="257"/>
      <c r="G939" s="273"/>
      <c r="H939" s="257"/>
      <c r="I939" s="273"/>
      <c r="J939" s="259">
        <f>SUM(J926:J938)</f>
        <v>216181988</v>
      </c>
      <c r="K939" s="259">
        <f>SUM(K926:K938)</f>
        <v>100362755.73999998</v>
      </c>
      <c r="L939" s="707"/>
      <c r="M939" s="707"/>
      <c r="N939" s="259">
        <f>SUM(N926:N938)</f>
        <v>274884321</v>
      </c>
      <c r="O939" s="248" t="s">
        <v>1008</v>
      </c>
      <c r="P939" s="246"/>
    </row>
    <row r="940" spans="1:16" ht="37.5" customHeight="1" x14ac:dyDescent="0.35">
      <c r="A940" s="286"/>
      <c r="B940" s="492"/>
      <c r="C940" s="282"/>
      <c r="D940" s="283"/>
      <c r="E940" s="330"/>
      <c r="F940" s="283"/>
      <c r="G940" s="330"/>
      <c r="H940" s="283"/>
      <c r="I940" s="330"/>
      <c r="J940" s="285"/>
      <c r="K940" s="458"/>
      <c r="L940" s="704"/>
      <c r="M940" s="704"/>
      <c r="N940" s="285"/>
      <c r="O940" s="286"/>
    </row>
    <row r="941" spans="1:16" ht="29.25" customHeight="1" x14ac:dyDescent="0.35">
      <c r="A941" s="514" t="s">
        <v>2455</v>
      </c>
      <c r="B941" s="716"/>
      <c r="C941" s="402"/>
      <c r="D941" s="403"/>
      <c r="E941" s="404"/>
      <c r="F941" s="403"/>
      <c r="G941" s="404"/>
      <c r="H941" s="403"/>
      <c r="I941" s="404"/>
      <c r="J941" s="405"/>
      <c r="K941" s="458"/>
      <c r="L941" s="704"/>
      <c r="M941" s="704"/>
      <c r="N941" s="405"/>
      <c r="O941" s="600"/>
    </row>
    <row r="942" spans="1:16" ht="29.25" hidden="1" customHeight="1" x14ac:dyDescent="0.35">
      <c r="A942" s="515" t="s">
        <v>614</v>
      </c>
      <c r="B942" s="583"/>
      <c r="C942" s="429"/>
      <c r="D942" s="430"/>
      <c r="E942" s="494"/>
      <c r="F942" s="430"/>
      <c r="G942" s="494"/>
      <c r="H942" s="430"/>
      <c r="I942" s="494"/>
      <c r="J942" s="495"/>
      <c r="K942" s="458"/>
      <c r="L942" s="704"/>
      <c r="M942" s="704"/>
      <c r="N942" s="495"/>
      <c r="O942" s="357"/>
    </row>
    <row r="943" spans="1:16" s="235" customFormat="1" ht="85.5" customHeight="1" x14ac:dyDescent="0.35">
      <c r="A943" s="187" t="s">
        <v>1007</v>
      </c>
      <c r="B943" s="513" t="s">
        <v>50</v>
      </c>
      <c r="C943" s="175" t="s">
        <v>898</v>
      </c>
      <c r="D943" s="188" t="s">
        <v>52</v>
      </c>
      <c r="E943" s="232" t="s">
        <v>49</v>
      </c>
      <c r="F943" s="188" t="s">
        <v>1</v>
      </c>
      <c r="G943" s="187"/>
      <c r="H943" s="175" t="s">
        <v>51</v>
      </c>
      <c r="I943" s="187" t="s">
        <v>2</v>
      </c>
      <c r="J943" s="189" t="s">
        <v>4862</v>
      </c>
      <c r="K943" s="189" t="s">
        <v>5140</v>
      </c>
      <c r="L943" s="623" t="s">
        <v>5132</v>
      </c>
      <c r="M943" s="623" t="s">
        <v>5132</v>
      </c>
      <c r="N943" s="189" t="s">
        <v>1006</v>
      </c>
      <c r="O943" s="412" t="s">
        <v>50</v>
      </c>
      <c r="P943" s="234"/>
    </row>
    <row r="944" spans="1:16" ht="69.75" customHeight="1" x14ac:dyDescent="0.35">
      <c r="A944" s="272" t="s">
        <v>3963</v>
      </c>
      <c r="B944" s="463" t="s">
        <v>2195</v>
      </c>
      <c r="C944" s="457">
        <v>426</v>
      </c>
      <c r="D944" s="141" t="s">
        <v>4</v>
      </c>
      <c r="E944" s="180" t="s">
        <v>2451</v>
      </c>
      <c r="F944" s="180">
        <v>31050411</v>
      </c>
      <c r="G944" s="180"/>
      <c r="H944" s="180" t="s">
        <v>3241</v>
      </c>
      <c r="I944" s="364" t="s">
        <v>193</v>
      </c>
      <c r="J944" s="484">
        <v>750000000</v>
      </c>
      <c r="K944" s="484">
        <v>500000000</v>
      </c>
      <c r="L944" s="484">
        <v>500000000</v>
      </c>
      <c r="M944" s="394" t="s">
        <v>5123</v>
      </c>
      <c r="N944" s="682">
        <v>315000</v>
      </c>
      <c r="O944" s="150" t="s">
        <v>2195</v>
      </c>
    </row>
    <row r="945" spans="1:15" ht="39.75" customHeight="1" x14ac:dyDescent="0.35">
      <c r="A945" s="272" t="s">
        <v>3964</v>
      </c>
      <c r="B945" s="463" t="s">
        <v>2196</v>
      </c>
      <c r="C945" s="457" t="s">
        <v>3242</v>
      </c>
      <c r="D945" s="141" t="s">
        <v>4</v>
      </c>
      <c r="E945" s="180" t="s">
        <v>2451</v>
      </c>
      <c r="F945" s="180">
        <v>31050411</v>
      </c>
      <c r="G945" s="180"/>
      <c r="H945" s="180" t="s">
        <v>3241</v>
      </c>
      <c r="I945" s="364" t="s">
        <v>193</v>
      </c>
      <c r="J945" s="484">
        <v>20000000</v>
      </c>
      <c r="K945" s="484"/>
      <c r="L945" s="394"/>
      <c r="M945" s="394" t="s">
        <v>5133</v>
      </c>
      <c r="N945" s="682">
        <v>259349058.234</v>
      </c>
      <c r="O945" s="150" t="s">
        <v>2196</v>
      </c>
    </row>
    <row r="946" spans="1:15" ht="32.25" customHeight="1" x14ac:dyDescent="0.35">
      <c r="A946" s="272" t="s">
        <v>3965</v>
      </c>
      <c r="B946" s="463" t="s">
        <v>2197</v>
      </c>
      <c r="C946" s="457" t="s">
        <v>616</v>
      </c>
      <c r="D946" s="141" t="s">
        <v>4</v>
      </c>
      <c r="E946" s="180" t="s">
        <v>2451</v>
      </c>
      <c r="F946" s="180">
        <v>31050411</v>
      </c>
      <c r="G946" s="180"/>
      <c r="H946" s="180" t="s">
        <v>3241</v>
      </c>
      <c r="I946" s="364" t="s">
        <v>193</v>
      </c>
      <c r="J946" s="484">
        <v>67200000</v>
      </c>
      <c r="K946" s="484"/>
      <c r="L946" s="394"/>
      <c r="M946" s="394" t="s">
        <v>5133</v>
      </c>
      <c r="N946" s="682">
        <v>191209931.21160001</v>
      </c>
      <c r="O946" s="150" t="s">
        <v>2197</v>
      </c>
    </row>
    <row r="947" spans="1:15" ht="47.25" customHeight="1" x14ac:dyDescent="0.35">
      <c r="A947" s="272" t="s">
        <v>3966</v>
      </c>
      <c r="B947" s="463" t="s">
        <v>2198</v>
      </c>
      <c r="C947" s="457">
        <v>426</v>
      </c>
      <c r="D947" s="141" t="s">
        <v>4</v>
      </c>
      <c r="E947" s="180" t="s">
        <v>2451</v>
      </c>
      <c r="F947" s="180">
        <v>31050411</v>
      </c>
      <c r="G947" s="180"/>
      <c r="H947" s="180" t="s">
        <v>3241</v>
      </c>
      <c r="I947" s="364" t="s">
        <v>193</v>
      </c>
      <c r="J947" s="484">
        <v>50000000</v>
      </c>
      <c r="K947" s="484"/>
      <c r="L947" s="394"/>
      <c r="M947" s="394" t="s">
        <v>5133</v>
      </c>
      <c r="N947" s="682">
        <v>53521463.4507</v>
      </c>
      <c r="O947" s="150" t="s">
        <v>2198</v>
      </c>
    </row>
    <row r="948" spans="1:15" ht="65.25" customHeight="1" x14ac:dyDescent="0.35">
      <c r="A948" s="272" t="s">
        <v>3967</v>
      </c>
      <c r="B948" s="463" t="s">
        <v>2199</v>
      </c>
      <c r="C948" s="457" t="s">
        <v>797</v>
      </c>
      <c r="D948" s="141" t="s">
        <v>4</v>
      </c>
      <c r="E948" s="180" t="s">
        <v>2451</v>
      </c>
      <c r="F948" s="180">
        <v>31050411</v>
      </c>
      <c r="G948" s="180"/>
      <c r="H948" s="180" t="s">
        <v>3241</v>
      </c>
      <c r="I948" s="364" t="s">
        <v>193</v>
      </c>
      <c r="J948" s="484">
        <v>8917965.8399989996</v>
      </c>
      <c r="K948" s="484"/>
      <c r="L948" s="394"/>
      <c r="M948" s="394" t="s">
        <v>5133</v>
      </c>
      <c r="N948" s="682">
        <v>97223212.573199987</v>
      </c>
      <c r="O948" s="150" t="s">
        <v>2199</v>
      </c>
    </row>
    <row r="949" spans="1:15" ht="108" customHeight="1" x14ac:dyDescent="0.35">
      <c r="A949" s="272" t="s">
        <v>3968</v>
      </c>
      <c r="B949" s="463" t="s">
        <v>2200</v>
      </c>
      <c r="C949" s="457" t="s">
        <v>800</v>
      </c>
      <c r="D949" s="141" t="s">
        <v>4</v>
      </c>
      <c r="E949" s="180" t="s">
        <v>2451</v>
      </c>
      <c r="F949" s="180">
        <v>31050411</v>
      </c>
      <c r="G949" s="180"/>
      <c r="H949" s="180" t="s">
        <v>3241</v>
      </c>
      <c r="I949" s="364" t="s">
        <v>193</v>
      </c>
      <c r="J949" s="484">
        <f>250000000+1500000000</f>
        <v>1750000000</v>
      </c>
      <c r="K949" s="484">
        <v>400000000</v>
      </c>
      <c r="L949" s="394"/>
      <c r="M949" s="394" t="s">
        <v>5133</v>
      </c>
      <c r="N949" s="682">
        <v>100800000</v>
      </c>
      <c r="O949" s="150" t="s">
        <v>2200</v>
      </c>
    </row>
    <row r="950" spans="1:15" ht="39.75" customHeight="1" x14ac:dyDescent="0.35">
      <c r="A950" s="272" t="s">
        <v>3969</v>
      </c>
      <c r="B950" s="516" t="s">
        <v>2201</v>
      </c>
      <c r="C950" s="457">
        <v>426</v>
      </c>
      <c r="D950" s="141" t="s">
        <v>4</v>
      </c>
      <c r="E950" s="180" t="s">
        <v>2451</v>
      </c>
      <c r="F950" s="180">
        <v>31050411</v>
      </c>
      <c r="G950" s="180"/>
      <c r="H950" s="180" t="s">
        <v>3241</v>
      </c>
      <c r="I950" s="364" t="s">
        <v>193</v>
      </c>
      <c r="J950" s="484">
        <v>100000000</v>
      </c>
      <c r="K950" s="484"/>
      <c r="L950" s="394"/>
      <c r="M950" s="394" t="s">
        <v>5133</v>
      </c>
      <c r="N950" s="682">
        <v>8005837.2407999998</v>
      </c>
      <c r="O950" s="459" t="s">
        <v>2201</v>
      </c>
    </row>
    <row r="951" spans="1:15" ht="58.5" customHeight="1" x14ac:dyDescent="0.35">
      <c r="A951" s="272" t="s">
        <v>3970</v>
      </c>
      <c r="B951" s="463" t="s">
        <v>2202</v>
      </c>
      <c r="C951" s="457">
        <v>325</v>
      </c>
      <c r="D951" s="141" t="s">
        <v>4</v>
      </c>
      <c r="E951" s="180" t="s">
        <v>2451</v>
      </c>
      <c r="F951" s="180">
        <v>31050411</v>
      </c>
      <c r="G951" s="180"/>
      <c r="H951" s="180" t="s">
        <v>3241</v>
      </c>
      <c r="I951" s="364" t="s">
        <v>193</v>
      </c>
      <c r="J951" s="484">
        <v>250000000</v>
      </c>
      <c r="K951" s="484"/>
      <c r="L951" s="394"/>
      <c r="M951" s="394" t="s">
        <v>5133</v>
      </c>
      <c r="N951" s="682">
        <v>31500000</v>
      </c>
      <c r="O951" s="150" t="s">
        <v>2202</v>
      </c>
    </row>
    <row r="952" spans="1:15" ht="66" customHeight="1" x14ac:dyDescent="0.35">
      <c r="A952" s="272" t="s">
        <v>3971</v>
      </c>
      <c r="B952" s="463" t="s">
        <v>2203</v>
      </c>
      <c r="C952" s="457">
        <v>216</v>
      </c>
      <c r="D952" s="141" t="s">
        <v>4</v>
      </c>
      <c r="E952" s="180" t="s">
        <v>2451</v>
      </c>
      <c r="F952" s="180">
        <v>31050411</v>
      </c>
      <c r="G952" s="180"/>
      <c r="H952" s="180" t="s">
        <v>3241</v>
      </c>
      <c r="I952" s="364" t="s">
        <v>193</v>
      </c>
      <c r="J952" s="484">
        <v>150000000</v>
      </c>
      <c r="K952" s="484"/>
      <c r="L952" s="394"/>
      <c r="M952" s="394" t="s">
        <v>5133</v>
      </c>
      <c r="N952" s="682">
        <v>17752609.967399999</v>
      </c>
      <c r="O952" s="150" t="s">
        <v>2203</v>
      </c>
    </row>
    <row r="953" spans="1:15" ht="34.5" customHeight="1" x14ac:dyDescent="0.35">
      <c r="A953" s="272" t="s">
        <v>3972</v>
      </c>
      <c r="B953" s="463" t="s">
        <v>2204</v>
      </c>
      <c r="C953" s="457">
        <v>426</v>
      </c>
      <c r="D953" s="141" t="s">
        <v>4</v>
      </c>
      <c r="E953" s="180" t="s">
        <v>2451</v>
      </c>
      <c r="F953" s="180">
        <v>31050411</v>
      </c>
      <c r="G953" s="180"/>
      <c r="H953" s="180" t="s">
        <v>3241</v>
      </c>
      <c r="I953" s="364" t="s">
        <v>193</v>
      </c>
      <c r="J953" s="484">
        <f>250000000+500000000</f>
        <v>750000000</v>
      </c>
      <c r="K953" s="484">
        <v>150000000</v>
      </c>
      <c r="L953" s="394"/>
      <c r="M953" s="394" t="s">
        <v>5133</v>
      </c>
      <c r="N953" s="682">
        <v>13874071.8312</v>
      </c>
      <c r="O953" s="150" t="s">
        <v>2204</v>
      </c>
    </row>
    <row r="954" spans="1:15" ht="57" customHeight="1" x14ac:dyDescent="0.35">
      <c r="A954" s="272" t="s">
        <v>3649</v>
      </c>
      <c r="B954" s="463" t="s">
        <v>2205</v>
      </c>
      <c r="C954" s="457">
        <v>211</v>
      </c>
      <c r="D954" s="141" t="s">
        <v>4</v>
      </c>
      <c r="E954" s="180" t="s">
        <v>2451</v>
      </c>
      <c r="F954" s="180">
        <v>31050411</v>
      </c>
      <c r="G954" s="180"/>
      <c r="H954" s="180" t="s">
        <v>3241</v>
      </c>
      <c r="I954" s="364" t="s">
        <v>193</v>
      </c>
      <c r="J954" s="484">
        <f>250000000+200000000</f>
        <v>450000000</v>
      </c>
      <c r="K954" s="484"/>
      <c r="L954" s="394"/>
      <c r="M954" s="394" t="s">
        <v>5133</v>
      </c>
      <c r="N954" s="682">
        <v>9701376.0291000009</v>
      </c>
      <c r="O954" s="150" t="s">
        <v>2205</v>
      </c>
    </row>
    <row r="955" spans="1:15" ht="32.25" customHeight="1" x14ac:dyDescent="0.35">
      <c r="A955" s="272" t="s">
        <v>3650</v>
      </c>
      <c r="B955" s="463" t="s">
        <v>2206</v>
      </c>
      <c r="C955" s="457">
        <v>426</v>
      </c>
      <c r="D955" s="141" t="s">
        <v>4</v>
      </c>
      <c r="E955" s="180" t="s">
        <v>2451</v>
      </c>
      <c r="F955" s="180">
        <v>31050411</v>
      </c>
      <c r="G955" s="180"/>
      <c r="H955" s="180" t="s">
        <v>3241</v>
      </c>
      <c r="I955" s="364" t="s">
        <v>193</v>
      </c>
      <c r="J955" s="484">
        <f>250000000+1000000000</f>
        <v>1250000000</v>
      </c>
      <c r="K955" s="484">
        <v>1200000000</v>
      </c>
      <c r="L955" s="484">
        <v>1200000000</v>
      </c>
      <c r="M955" s="394" t="s">
        <v>5123</v>
      </c>
      <c r="N955" s="682">
        <v>1993603.1724</v>
      </c>
      <c r="O955" s="150" t="s">
        <v>2206</v>
      </c>
    </row>
    <row r="956" spans="1:15" ht="50.25" customHeight="1" x14ac:dyDescent="0.35">
      <c r="A956" s="272" t="s">
        <v>3651</v>
      </c>
      <c r="B956" s="463" t="s">
        <v>2207</v>
      </c>
      <c r="C956" s="457">
        <v>319</v>
      </c>
      <c r="D956" s="141" t="s">
        <v>4</v>
      </c>
      <c r="E956" s="180" t="s">
        <v>2451</v>
      </c>
      <c r="F956" s="180">
        <v>31050411</v>
      </c>
      <c r="G956" s="180"/>
      <c r="H956" s="180" t="s">
        <v>3241</v>
      </c>
      <c r="I956" s="364" t="s">
        <v>193</v>
      </c>
      <c r="J956" s="484">
        <f>150000000+650000000</f>
        <v>800000000</v>
      </c>
      <c r="K956" s="484">
        <v>1000000000</v>
      </c>
      <c r="L956" s="394"/>
      <c r="M956" s="394" t="s">
        <v>5133</v>
      </c>
      <c r="N956" s="682">
        <v>1307492.0900999999</v>
      </c>
      <c r="O956" s="150" t="s">
        <v>2207</v>
      </c>
    </row>
    <row r="957" spans="1:15" ht="60" customHeight="1" x14ac:dyDescent="0.35">
      <c r="A957" s="272" t="s">
        <v>3652</v>
      </c>
      <c r="B957" s="463" t="s">
        <v>2208</v>
      </c>
      <c r="C957" s="457">
        <v>216</v>
      </c>
      <c r="D957" s="141" t="s">
        <v>4</v>
      </c>
      <c r="E957" s="180" t="s">
        <v>2451</v>
      </c>
      <c r="F957" s="180">
        <v>31050411</v>
      </c>
      <c r="G957" s="180"/>
      <c r="H957" s="180" t="s">
        <v>3241</v>
      </c>
      <c r="I957" s="364" t="s">
        <v>193</v>
      </c>
      <c r="J957" s="484">
        <v>50000000</v>
      </c>
      <c r="K957" s="484"/>
      <c r="L957" s="394"/>
      <c r="M957" s="394" t="s">
        <v>5133</v>
      </c>
      <c r="N957" s="682">
        <v>8058180.7467</v>
      </c>
      <c r="O957" s="150" t="s">
        <v>2208</v>
      </c>
    </row>
    <row r="958" spans="1:15" ht="70.5" customHeight="1" x14ac:dyDescent="0.35">
      <c r="A958" s="272" t="s">
        <v>3653</v>
      </c>
      <c r="B958" s="463" t="s">
        <v>2209</v>
      </c>
      <c r="C958" s="457" t="s">
        <v>3244</v>
      </c>
      <c r="D958" s="141" t="s">
        <v>4</v>
      </c>
      <c r="E958" s="180" t="s">
        <v>2451</v>
      </c>
      <c r="F958" s="180">
        <v>31050411</v>
      </c>
      <c r="G958" s="180"/>
      <c r="H958" s="180" t="s">
        <v>3241</v>
      </c>
      <c r="I958" s="364" t="s">
        <v>193</v>
      </c>
      <c r="J958" s="484">
        <f>150000000+650000000</f>
        <v>800000000</v>
      </c>
      <c r="K958" s="484">
        <v>1000000000</v>
      </c>
      <c r="L958" s="484">
        <v>1000000000</v>
      </c>
      <c r="M958" s="394" t="s">
        <v>5123</v>
      </c>
      <c r="N958" s="682">
        <v>31500000</v>
      </c>
      <c r="O958" s="150" t="s">
        <v>2209</v>
      </c>
    </row>
    <row r="959" spans="1:15" ht="33.75" customHeight="1" x14ac:dyDescent="0.35">
      <c r="A959" s="272" t="s">
        <v>3654</v>
      </c>
      <c r="B959" s="463" t="s">
        <v>2210</v>
      </c>
      <c r="C959" s="457" t="s">
        <v>357</v>
      </c>
      <c r="D959" s="141" t="s">
        <v>4</v>
      </c>
      <c r="E959" s="180" t="s">
        <v>2451</v>
      </c>
      <c r="F959" s="180">
        <v>31050411</v>
      </c>
      <c r="G959" s="180"/>
      <c r="H959" s="180" t="s">
        <v>3241</v>
      </c>
      <c r="I959" s="364" t="s">
        <v>193</v>
      </c>
      <c r="J959" s="484">
        <v>50000000</v>
      </c>
      <c r="K959" s="484"/>
      <c r="L959" s="394"/>
      <c r="M959" s="394" t="s">
        <v>5133</v>
      </c>
      <c r="N959" s="682">
        <v>4812556.4172</v>
      </c>
      <c r="O959" s="150" t="s">
        <v>2210</v>
      </c>
    </row>
    <row r="960" spans="1:15" ht="70.5" customHeight="1" x14ac:dyDescent="0.35">
      <c r="A960" s="272" t="s">
        <v>3655</v>
      </c>
      <c r="B960" s="463" t="s">
        <v>2211</v>
      </c>
      <c r="C960" s="457" t="s">
        <v>3245</v>
      </c>
      <c r="D960" s="141" t="s">
        <v>4</v>
      </c>
      <c r="E960" s="180" t="s">
        <v>2451</v>
      </c>
      <c r="F960" s="180">
        <v>31050411</v>
      </c>
      <c r="G960" s="180"/>
      <c r="H960" s="180" t="s">
        <v>3241</v>
      </c>
      <c r="I960" s="364" t="s">
        <v>193</v>
      </c>
      <c r="J960" s="484">
        <v>100000000</v>
      </c>
      <c r="K960" s="484"/>
      <c r="L960" s="394"/>
      <c r="M960" s="394" t="s">
        <v>5133</v>
      </c>
      <c r="N960" s="682">
        <v>250000000</v>
      </c>
      <c r="O960" s="150" t="s">
        <v>2211</v>
      </c>
    </row>
    <row r="961" spans="1:15" ht="55.5" customHeight="1" x14ac:dyDescent="0.35">
      <c r="A961" s="272" t="s">
        <v>3656</v>
      </c>
      <c r="B961" s="463" t="s">
        <v>2212</v>
      </c>
      <c r="C961" s="457" t="s">
        <v>390</v>
      </c>
      <c r="D961" s="141" t="s">
        <v>4</v>
      </c>
      <c r="E961" s="180" t="s">
        <v>2451</v>
      </c>
      <c r="F961" s="180">
        <v>31050411</v>
      </c>
      <c r="G961" s="180"/>
      <c r="H961" s="180" t="s">
        <v>3241</v>
      </c>
      <c r="I961" s="364" t="s">
        <v>193</v>
      </c>
      <c r="J961" s="484">
        <v>50000000</v>
      </c>
      <c r="K961" s="484"/>
      <c r="L961" s="394"/>
      <c r="M961" s="394" t="s">
        <v>5133</v>
      </c>
      <c r="N961" s="682">
        <v>301886144.70840001</v>
      </c>
      <c r="O961" s="150" t="s">
        <v>2212</v>
      </c>
    </row>
    <row r="962" spans="1:15" ht="63.75" customHeight="1" x14ac:dyDescent="0.35">
      <c r="A962" s="272" t="s">
        <v>3657</v>
      </c>
      <c r="B962" s="516" t="s">
        <v>2213</v>
      </c>
      <c r="C962" s="457" t="s">
        <v>379</v>
      </c>
      <c r="D962" s="141" t="s">
        <v>4</v>
      </c>
      <c r="E962" s="180" t="s">
        <v>2451</v>
      </c>
      <c r="F962" s="180">
        <v>31050411</v>
      </c>
      <c r="G962" s="180"/>
      <c r="H962" s="180" t="s">
        <v>3241</v>
      </c>
      <c r="I962" s="364" t="s">
        <v>193</v>
      </c>
      <c r="J962" s="484">
        <v>12393328.65</v>
      </c>
      <c r="K962" s="484"/>
      <c r="L962" s="394"/>
      <c r="M962" s="394" t="s">
        <v>5133</v>
      </c>
      <c r="N962" s="682">
        <v>59761512.071099997</v>
      </c>
      <c r="O962" s="459" t="s">
        <v>2213</v>
      </c>
    </row>
    <row r="963" spans="1:15" ht="62.25" customHeight="1" x14ac:dyDescent="0.35">
      <c r="A963" s="272" t="s">
        <v>3658</v>
      </c>
      <c r="B963" s="463" t="s">
        <v>2214</v>
      </c>
      <c r="C963" s="457">
        <v>216</v>
      </c>
      <c r="D963" s="141" t="s">
        <v>4</v>
      </c>
      <c r="E963" s="180" t="s">
        <v>2451</v>
      </c>
      <c r="F963" s="180">
        <v>31050411</v>
      </c>
      <c r="G963" s="180"/>
      <c r="H963" s="180" t="s">
        <v>3241</v>
      </c>
      <c r="I963" s="364" t="s">
        <v>193</v>
      </c>
      <c r="J963" s="484">
        <v>13759282.49000001</v>
      </c>
      <c r="K963" s="484"/>
      <c r="L963" s="394"/>
      <c r="M963" s="394" t="s">
        <v>5133</v>
      </c>
      <c r="N963" s="682">
        <v>7360483.1642999994</v>
      </c>
      <c r="O963" s="150" t="s">
        <v>2214</v>
      </c>
    </row>
    <row r="964" spans="1:15" ht="42" customHeight="1" x14ac:dyDescent="0.35">
      <c r="A964" s="272" t="s">
        <v>3659</v>
      </c>
      <c r="B964" s="463" t="s">
        <v>2215</v>
      </c>
      <c r="C964" s="457" t="s">
        <v>3246</v>
      </c>
      <c r="D964" s="141" t="s">
        <v>4</v>
      </c>
      <c r="E964" s="180" t="s">
        <v>2451</v>
      </c>
      <c r="F964" s="180">
        <v>31050411</v>
      </c>
      <c r="G964" s="180"/>
      <c r="H964" s="180" t="s">
        <v>3241</v>
      </c>
      <c r="I964" s="364" t="s">
        <v>193</v>
      </c>
      <c r="J964" s="484">
        <v>12100000</v>
      </c>
      <c r="K964" s="484"/>
      <c r="L964" s="394"/>
      <c r="M964" s="394" t="s">
        <v>5133</v>
      </c>
      <c r="N964" s="682">
        <v>14665419.455399999</v>
      </c>
      <c r="O964" s="150" t="s">
        <v>2215</v>
      </c>
    </row>
    <row r="965" spans="1:15" ht="36.75" customHeight="1" x14ac:dyDescent="0.35">
      <c r="A965" s="272" t="s">
        <v>3660</v>
      </c>
      <c r="B965" s="463" t="s">
        <v>2216</v>
      </c>
      <c r="C965" s="457" t="s">
        <v>3246</v>
      </c>
      <c r="D965" s="141" t="s">
        <v>4</v>
      </c>
      <c r="E965" s="180" t="s">
        <v>2451</v>
      </c>
      <c r="F965" s="180">
        <v>31050411</v>
      </c>
      <c r="G965" s="180"/>
      <c r="H965" s="180" t="s">
        <v>3241</v>
      </c>
      <c r="I965" s="364" t="s">
        <v>193</v>
      </c>
      <c r="J965" s="484">
        <v>5353143.5</v>
      </c>
      <c r="K965" s="484"/>
      <c r="L965" s="394"/>
      <c r="M965" s="394" t="s">
        <v>5133</v>
      </c>
      <c r="N965" s="682">
        <v>17139279.137400001</v>
      </c>
      <c r="O965" s="150" t="s">
        <v>2216</v>
      </c>
    </row>
    <row r="966" spans="1:15" ht="75.75" customHeight="1" x14ac:dyDescent="0.35">
      <c r="A966" s="272" t="s">
        <v>3661</v>
      </c>
      <c r="B966" s="463" t="s">
        <v>2217</v>
      </c>
      <c r="C966" s="457" t="s">
        <v>456</v>
      </c>
      <c r="D966" s="141" t="s">
        <v>4</v>
      </c>
      <c r="E966" s="180" t="s">
        <v>2451</v>
      </c>
      <c r="F966" s="180">
        <v>31050411</v>
      </c>
      <c r="G966" s="180"/>
      <c r="H966" s="180" t="s">
        <v>3241</v>
      </c>
      <c r="I966" s="364" t="s">
        <v>193</v>
      </c>
      <c r="J966" s="484">
        <v>100000000</v>
      </c>
      <c r="K966" s="484"/>
      <c r="L966" s="394"/>
      <c r="M966" s="394" t="s">
        <v>5133</v>
      </c>
      <c r="N966" s="682">
        <v>3199625.2260000003</v>
      </c>
      <c r="O966" s="150" t="s">
        <v>2217</v>
      </c>
    </row>
    <row r="967" spans="1:15" ht="54.75" customHeight="1" x14ac:dyDescent="0.35">
      <c r="A967" s="272" t="s">
        <v>3662</v>
      </c>
      <c r="B967" s="463" t="s">
        <v>2218</v>
      </c>
      <c r="C967" s="457">
        <v>325</v>
      </c>
      <c r="D967" s="141" t="s">
        <v>4</v>
      </c>
      <c r="E967" s="180" t="s">
        <v>2451</v>
      </c>
      <c r="F967" s="180">
        <v>31050411</v>
      </c>
      <c r="G967" s="180"/>
      <c r="H967" s="180" t="s">
        <v>3241</v>
      </c>
      <c r="I967" s="364" t="s">
        <v>193</v>
      </c>
      <c r="J967" s="484">
        <v>6887896.0400000215</v>
      </c>
      <c r="K967" s="484"/>
      <c r="L967" s="394"/>
      <c r="M967" s="394" t="s">
        <v>5133</v>
      </c>
      <c r="N967" s="682">
        <v>63504000</v>
      </c>
      <c r="O967" s="150" t="s">
        <v>2218</v>
      </c>
    </row>
    <row r="968" spans="1:15" ht="57" customHeight="1" x14ac:dyDescent="0.35">
      <c r="A968" s="272" t="s">
        <v>3663</v>
      </c>
      <c r="B968" s="463" t="s">
        <v>2219</v>
      </c>
      <c r="C968" s="457" t="s">
        <v>619</v>
      </c>
      <c r="D968" s="141" t="s">
        <v>4</v>
      </c>
      <c r="E968" s="180" t="s">
        <v>2451</v>
      </c>
      <c r="F968" s="180">
        <v>31050411</v>
      </c>
      <c r="G968" s="180"/>
      <c r="H968" s="180" t="s">
        <v>3241</v>
      </c>
      <c r="I968" s="364" t="s">
        <v>193</v>
      </c>
      <c r="J968" s="484">
        <v>25609693.550000072</v>
      </c>
      <c r="K968" s="484"/>
      <c r="L968" s="394"/>
      <c r="M968" s="394" t="s">
        <v>5133</v>
      </c>
      <c r="N968" s="682">
        <v>7560000</v>
      </c>
      <c r="O968" s="148" t="s">
        <v>2219</v>
      </c>
    </row>
    <row r="969" spans="1:15" ht="75.75" customHeight="1" x14ac:dyDescent="0.35">
      <c r="A969" s="272" t="s">
        <v>3664</v>
      </c>
      <c r="B969" s="463" t="s">
        <v>2220</v>
      </c>
      <c r="C969" s="457" t="s">
        <v>3247</v>
      </c>
      <c r="D969" s="141" t="s">
        <v>4</v>
      </c>
      <c r="E969" s="180" t="s">
        <v>2451</v>
      </c>
      <c r="F969" s="180">
        <v>31050411</v>
      </c>
      <c r="G969" s="180"/>
      <c r="H969" s="180" t="s">
        <v>3241</v>
      </c>
      <c r="I969" s="364" t="s">
        <v>193</v>
      </c>
      <c r="J969" s="484">
        <f>150000000+150000000</f>
        <v>300000000</v>
      </c>
      <c r="K969" s="484"/>
      <c r="L969" s="394"/>
      <c r="M969" s="394" t="s">
        <v>5133</v>
      </c>
      <c r="N969" s="682">
        <v>221886000</v>
      </c>
      <c r="O969" s="150" t="s">
        <v>2220</v>
      </c>
    </row>
    <row r="970" spans="1:15" ht="41.25" customHeight="1" x14ac:dyDescent="0.35">
      <c r="A970" s="272" t="s">
        <v>3665</v>
      </c>
      <c r="B970" s="463" t="s">
        <v>2221</v>
      </c>
      <c r="C970" s="457">
        <v>106</v>
      </c>
      <c r="D970" s="141" t="s">
        <v>4</v>
      </c>
      <c r="E970" s="180" t="s">
        <v>2451</v>
      </c>
      <c r="F970" s="180">
        <v>31050411</v>
      </c>
      <c r="G970" s="180"/>
      <c r="H970" s="180" t="s">
        <v>3241</v>
      </c>
      <c r="I970" s="364" t="s">
        <v>168</v>
      </c>
      <c r="J970" s="484">
        <v>13089960.449999999</v>
      </c>
      <c r="K970" s="484"/>
      <c r="L970" s="394"/>
      <c r="M970" s="394" t="s">
        <v>5133</v>
      </c>
      <c r="N970" s="682">
        <v>51947075.5392</v>
      </c>
      <c r="O970" s="148" t="s">
        <v>2221</v>
      </c>
    </row>
    <row r="971" spans="1:15" ht="59.25" customHeight="1" x14ac:dyDescent="0.35">
      <c r="A971" s="272" t="s">
        <v>3666</v>
      </c>
      <c r="B971" s="463" t="s">
        <v>2222</v>
      </c>
      <c r="C971" s="457" t="s">
        <v>379</v>
      </c>
      <c r="D971" s="141" t="s">
        <v>4</v>
      </c>
      <c r="E971" s="180" t="s">
        <v>2451</v>
      </c>
      <c r="F971" s="180">
        <v>31050411</v>
      </c>
      <c r="G971" s="180"/>
      <c r="H971" s="180" t="s">
        <v>3241</v>
      </c>
      <c r="I971" s="364" t="s">
        <v>193</v>
      </c>
      <c r="J971" s="484">
        <v>100000000</v>
      </c>
      <c r="K971" s="484"/>
      <c r="L971" s="394"/>
      <c r="M971" s="394" t="s">
        <v>5133</v>
      </c>
      <c r="N971" s="682">
        <v>33115346.737199999</v>
      </c>
      <c r="O971" s="150" t="s">
        <v>2222</v>
      </c>
    </row>
    <row r="972" spans="1:15" ht="48.75" customHeight="1" x14ac:dyDescent="0.35">
      <c r="A972" s="272" t="s">
        <v>3667</v>
      </c>
      <c r="B972" s="463" t="s">
        <v>2223</v>
      </c>
      <c r="C972" s="457">
        <v>108</v>
      </c>
      <c r="D972" s="141" t="s">
        <v>4</v>
      </c>
      <c r="E972" s="180" t="s">
        <v>2451</v>
      </c>
      <c r="F972" s="180">
        <v>31050411</v>
      </c>
      <c r="G972" s="180"/>
      <c r="H972" s="180" t="s">
        <v>3241</v>
      </c>
      <c r="I972" s="142" t="s">
        <v>168</v>
      </c>
      <c r="J972" s="393">
        <f>69890969.35+350000000</f>
        <v>419890969.35000002</v>
      </c>
      <c r="K972" s="484"/>
      <c r="L972" s="394"/>
      <c r="M972" s="394" t="s">
        <v>5133</v>
      </c>
      <c r="N972" s="682">
        <v>480000000</v>
      </c>
      <c r="O972" s="150" t="s">
        <v>2223</v>
      </c>
    </row>
    <row r="973" spans="1:15" ht="80.25" customHeight="1" x14ac:dyDescent="0.35">
      <c r="A973" s="272" t="s">
        <v>3668</v>
      </c>
      <c r="B973" s="463" t="s">
        <v>2224</v>
      </c>
      <c r="C973" s="457" t="s">
        <v>622</v>
      </c>
      <c r="D973" s="141" t="s">
        <v>4</v>
      </c>
      <c r="E973" s="180" t="s">
        <v>2451</v>
      </c>
      <c r="F973" s="180">
        <v>31050411</v>
      </c>
      <c r="G973" s="180"/>
      <c r="H973" s="180" t="s">
        <v>3241</v>
      </c>
      <c r="I973" s="364" t="s">
        <v>193</v>
      </c>
      <c r="J973" s="393">
        <v>100000000</v>
      </c>
      <c r="K973" s="484"/>
      <c r="L973" s="394"/>
      <c r="M973" s="394" t="s">
        <v>5133</v>
      </c>
      <c r="N973" s="682">
        <v>1890000</v>
      </c>
      <c r="O973" s="150" t="s">
        <v>2224</v>
      </c>
    </row>
    <row r="974" spans="1:15" ht="39.75" customHeight="1" x14ac:dyDescent="0.35">
      <c r="A974" s="272" t="s">
        <v>3669</v>
      </c>
      <c r="B974" s="463" t="s">
        <v>620</v>
      </c>
      <c r="C974" s="457" t="s">
        <v>1714</v>
      </c>
      <c r="D974" s="141" t="s">
        <v>4</v>
      </c>
      <c r="E974" s="180" t="s">
        <v>2451</v>
      </c>
      <c r="F974" s="180">
        <v>31050411</v>
      </c>
      <c r="G974" s="180"/>
      <c r="H974" s="180" t="s">
        <v>3241</v>
      </c>
      <c r="I974" s="364" t="s">
        <v>193</v>
      </c>
      <c r="J974" s="393">
        <v>250000000</v>
      </c>
      <c r="K974" s="484"/>
      <c r="L974" s="394"/>
      <c r="M974" s="394" t="s">
        <v>5133</v>
      </c>
      <c r="N974" s="682">
        <v>630000</v>
      </c>
      <c r="O974" s="150" t="s">
        <v>620</v>
      </c>
    </row>
    <row r="975" spans="1:15" ht="39.75" customHeight="1" x14ac:dyDescent="0.35">
      <c r="A975" s="272" t="s">
        <v>3670</v>
      </c>
      <c r="B975" s="463" t="s">
        <v>2225</v>
      </c>
      <c r="C975" s="457" t="s">
        <v>191</v>
      </c>
      <c r="D975" s="141" t="s">
        <v>4</v>
      </c>
      <c r="E975" s="180" t="s">
        <v>2451</v>
      </c>
      <c r="F975" s="180">
        <v>31050411</v>
      </c>
      <c r="G975" s="180"/>
      <c r="H975" s="180" t="s">
        <v>3241</v>
      </c>
      <c r="I975" s="364" t="s">
        <v>193</v>
      </c>
      <c r="J975" s="393">
        <f>150000000+350000000</f>
        <v>500000000</v>
      </c>
      <c r="K975" s="484"/>
      <c r="L975" s="394"/>
      <c r="M975" s="394" t="s">
        <v>5133</v>
      </c>
      <c r="N975" s="682">
        <v>50000000</v>
      </c>
      <c r="O975" s="150" t="s">
        <v>2225</v>
      </c>
    </row>
    <row r="976" spans="1:15" ht="80.25" customHeight="1" x14ac:dyDescent="0.35">
      <c r="A976" s="272" t="s">
        <v>3671</v>
      </c>
      <c r="B976" s="463" t="s">
        <v>2437</v>
      </c>
      <c r="C976" s="457" t="s">
        <v>191</v>
      </c>
      <c r="D976" s="141" t="s">
        <v>4</v>
      </c>
      <c r="E976" s="180" t="s">
        <v>2451</v>
      </c>
      <c r="F976" s="180">
        <v>31050411</v>
      </c>
      <c r="G976" s="180"/>
      <c r="H976" s="180" t="s">
        <v>3241</v>
      </c>
      <c r="I976" s="364" t="s">
        <v>193</v>
      </c>
      <c r="J976" s="393">
        <v>150000000</v>
      </c>
      <c r="K976" s="484">
        <v>581623875</v>
      </c>
      <c r="L976" s="394"/>
      <c r="M976" s="394" t="s">
        <v>5133</v>
      </c>
      <c r="N976" s="682">
        <v>5670000</v>
      </c>
      <c r="O976" s="150" t="s">
        <v>2437</v>
      </c>
    </row>
    <row r="977" spans="1:15" ht="54.75" customHeight="1" x14ac:dyDescent="0.35">
      <c r="A977" s="272" t="s">
        <v>3672</v>
      </c>
      <c r="B977" s="463" t="s">
        <v>2226</v>
      </c>
      <c r="C977" s="457" t="s">
        <v>3250</v>
      </c>
      <c r="D977" s="141" t="s">
        <v>4</v>
      </c>
      <c r="E977" s="180" t="s">
        <v>2451</v>
      </c>
      <c r="F977" s="180">
        <v>31050411</v>
      </c>
      <c r="G977" s="180"/>
      <c r="H977" s="180" t="s">
        <v>3241</v>
      </c>
      <c r="I977" s="364" t="s">
        <v>193</v>
      </c>
      <c r="J977" s="393">
        <v>50000000</v>
      </c>
      <c r="K977" s="484"/>
      <c r="L977" s="394"/>
      <c r="M977" s="394" t="s">
        <v>5133</v>
      </c>
      <c r="N977" s="682">
        <v>3303585458.2399998</v>
      </c>
      <c r="O977" s="148" t="s">
        <v>2226</v>
      </c>
    </row>
    <row r="978" spans="1:15" ht="57.75" customHeight="1" x14ac:dyDescent="0.35">
      <c r="A978" s="272" t="s">
        <v>3673</v>
      </c>
      <c r="B978" s="463" t="s">
        <v>2227</v>
      </c>
      <c r="C978" s="457" t="s">
        <v>3251</v>
      </c>
      <c r="D978" s="141" t="s">
        <v>4</v>
      </c>
      <c r="E978" s="180" t="s">
        <v>2451</v>
      </c>
      <c r="F978" s="180">
        <v>31050411</v>
      </c>
      <c r="G978" s="180"/>
      <c r="H978" s="180" t="s">
        <v>3241</v>
      </c>
      <c r="I978" s="364" t="s">
        <v>168</v>
      </c>
      <c r="J978" s="393">
        <v>42000000</v>
      </c>
      <c r="K978" s="484"/>
      <c r="L978" s="394"/>
      <c r="M978" s="394" t="s">
        <v>5133</v>
      </c>
      <c r="N978" s="682">
        <v>3000000000</v>
      </c>
      <c r="O978" s="150" t="s">
        <v>2227</v>
      </c>
    </row>
    <row r="979" spans="1:15" ht="57.75" customHeight="1" x14ac:dyDescent="0.35">
      <c r="A979" s="272" t="s">
        <v>3674</v>
      </c>
      <c r="B979" s="463" t="s">
        <v>2228</v>
      </c>
      <c r="C979" s="457" t="s">
        <v>379</v>
      </c>
      <c r="D979" s="141" t="s">
        <v>4</v>
      </c>
      <c r="E979" s="180" t="s">
        <v>2451</v>
      </c>
      <c r="F979" s="180">
        <v>31050411</v>
      </c>
      <c r="G979" s="180"/>
      <c r="H979" s="180" t="s">
        <v>3241</v>
      </c>
      <c r="I979" s="364" t="s">
        <v>168</v>
      </c>
      <c r="J979" s="393">
        <v>78000000</v>
      </c>
      <c r="K979" s="484"/>
      <c r="L979" s="394"/>
      <c r="M979" s="394" t="s">
        <v>5133</v>
      </c>
      <c r="N979" s="682">
        <v>45360000</v>
      </c>
      <c r="O979" s="150" t="s">
        <v>2228</v>
      </c>
    </row>
    <row r="980" spans="1:15" ht="56.25" customHeight="1" x14ac:dyDescent="0.35">
      <c r="A980" s="272" t="s">
        <v>3675</v>
      </c>
      <c r="B980" s="463" t="s">
        <v>2229</v>
      </c>
      <c r="C980" s="457">
        <v>104</v>
      </c>
      <c r="D980" s="141" t="s">
        <v>4</v>
      </c>
      <c r="E980" s="180" t="s">
        <v>2451</v>
      </c>
      <c r="F980" s="180">
        <v>31050411</v>
      </c>
      <c r="G980" s="180"/>
      <c r="H980" s="180" t="s">
        <v>3241</v>
      </c>
      <c r="I980" s="364" t="s">
        <v>193</v>
      </c>
      <c r="J980" s="393">
        <v>45000000</v>
      </c>
      <c r="K980" s="484"/>
      <c r="L980" s="394"/>
      <c r="M980" s="394" t="s">
        <v>5133</v>
      </c>
      <c r="N980" s="682">
        <v>1260000000</v>
      </c>
      <c r="O980" s="150" t="s">
        <v>2229</v>
      </c>
    </row>
    <row r="981" spans="1:15" ht="57" customHeight="1" x14ac:dyDescent="0.35">
      <c r="A981" s="272" t="s">
        <v>3676</v>
      </c>
      <c r="B981" s="463" t="s">
        <v>2230</v>
      </c>
      <c r="C981" s="457">
        <v>426</v>
      </c>
      <c r="D981" s="141" t="s">
        <v>4</v>
      </c>
      <c r="E981" s="180" t="s">
        <v>2451</v>
      </c>
      <c r="F981" s="180">
        <v>31050411</v>
      </c>
      <c r="G981" s="180"/>
      <c r="H981" s="180" t="s">
        <v>3241</v>
      </c>
      <c r="I981" s="364" t="s">
        <v>168</v>
      </c>
      <c r="J981" s="393">
        <f>150000000+100000000</f>
        <v>250000000</v>
      </c>
      <c r="K981" s="484"/>
      <c r="L981" s="394"/>
      <c r="M981" s="394" t="s">
        <v>5133</v>
      </c>
      <c r="N981" s="682">
        <v>79631521.937100008</v>
      </c>
      <c r="O981" s="150" t="s">
        <v>2230</v>
      </c>
    </row>
    <row r="982" spans="1:15" ht="103.5" customHeight="1" x14ac:dyDescent="0.35">
      <c r="A982" s="272" t="s">
        <v>3677</v>
      </c>
      <c r="B982" s="463" t="s">
        <v>2231</v>
      </c>
      <c r="C982" s="457" t="s">
        <v>407</v>
      </c>
      <c r="D982" s="141" t="s">
        <v>4</v>
      </c>
      <c r="E982" s="180" t="s">
        <v>2451</v>
      </c>
      <c r="F982" s="180">
        <v>31050411</v>
      </c>
      <c r="G982" s="180"/>
      <c r="H982" s="180" t="s">
        <v>3241</v>
      </c>
      <c r="I982" s="364" t="s">
        <v>193</v>
      </c>
      <c r="J982" s="393">
        <v>150000000</v>
      </c>
      <c r="K982" s="484"/>
      <c r="L982" s="394"/>
      <c r="M982" s="394" t="s">
        <v>5133</v>
      </c>
      <c r="N982" s="682">
        <v>5796000</v>
      </c>
      <c r="O982" s="150" t="s">
        <v>2231</v>
      </c>
    </row>
    <row r="983" spans="1:15" ht="56.25" customHeight="1" x14ac:dyDescent="0.35">
      <c r="A983" s="272" t="s">
        <v>3678</v>
      </c>
      <c r="B983" s="463" t="s">
        <v>2232</v>
      </c>
      <c r="C983" s="457" t="s">
        <v>3248</v>
      </c>
      <c r="D983" s="141" t="s">
        <v>4</v>
      </c>
      <c r="E983" s="180" t="s">
        <v>2451</v>
      </c>
      <c r="F983" s="180">
        <v>31050411</v>
      </c>
      <c r="G983" s="180"/>
      <c r="H983" s="180" t="s">
        <v>3241</v>
      </c>
      <c r="I983" s="364" t="s">
        <v>193</v>
      </c>
      <c r="J983" s="393">
        <v>9793635</v>
      </c>
      <c r="K983" s="484"/>
      <c r="L983" s="394"/>
      <c r="M983" s="394" t="s">
        <v>5133</v>
      </c>
      <c r="N983" s="682">
        <v>5544000</v>
      </c>
      <c r="O983" s="150" t="s">
        <v>2232</v>
      </c>
    </row>
    <row r="984" spans="1:15" ht="57.75" customHeight="1" x14ac:dyDescent="0.35">
      <c r="A984" s="272" t="s">
        <v>3679</v>
      </c>
      <c r="B984" s="463" t="s">
        <v>2233</v>
      </c>
      <c r="C984" s="457" t="s">
        <v>480</v>
      </c>
      <c r="D984" s="141" t="s">
        <v>4</v>
      </c>
      <c r="E984" s="180" t="s">
        <v>2451</v>
      </c>
      <c r="F984" s="180">
        <v>31050411</v>
      </c>
      <c r="G984" s="180"/>
      <c r="H984" s="180" t="s">
        <v>3241</v>
      </c>
      <c r="I984" s="364" t="s">
        <v>193</v>
      </c>
      <c r="J984" s="393">
        <v>150000000</v>
      </c>
      <c r="K984" s="484"/>
      <c r="L984" s="394"/>
      <c r="M984" s="394" t="s">
        <v>5133</v>
      </c>
      <c r="N984" s="682">
        <v>231689262.56809998</v>
      </c>
      <c r="O984" s="148" t="s">
        <v>2233</v>
      </c>
    </row>
    <row r="985" spans="1:15" ht="42.75" customHeight="1" x14ac:dyDescent="0.35">
      <c r="A985" s="272" t="s">
        <v>3680</v>
      </c>
      <c r="B985" s="463" t="s">
        <v>2234</v>
      </c>
      <c r="C985" s="457">
        <v>108</v>
      </c>
      <c r="D985" s="141" t="s">
        <v>4</v>
      </c>
      <c r="E985" s="180" t="s">
        <v>2451</v>
      </c>
      <c r="F985" s="180">
        <v>31050411</v>
      </c>
      <c r="G985" s="180"/>
      <c r="H985" s="180" t="s">
        <v>3241</v>
      </c>
      <c r="I985" s="364" t="s">
        <v>168</v>
      </c>
      <c r="J985" s="393">
        <v>19811620.5</v>
      </c>
      <c r="K985" s="484"/>
      <c r="L985" s="394"/>
      <c r="M985" s="394" t="s">
        <v>5133</v>
      </c>
      <c r="N985" s="682">
        <v>6595616.1158999996</v>
      </c>
      <c r="O985" s="150" t="s">
        <v>2234</v>
      </c>
    </row>
    <row r="986" spans="1:15" ht="37.5" customHeight="1" x14ac:dyDescent="0.35">
      <c r="A986" s="272" t="s">
        <v>3681</v>
      </c>
      <c r="B986" s="463" t="s">
        <v>621</v>
      </c>
      <c r="C986" s="457" t="s">
        <v>391</v>
      </c>
      <c r="D986" s="141" t="s">
        <v>4</v>
      </c>
      <c r="E986" s="180" t="s">
        <v>2451</v>
      </c>
      <c r="F986" s="180">
        <v>31050411</v>
      </c>
      <c r="G986" s="180"/>
      <c r="H986" s="180" t="s">
        <v>3241</v>
      </c>
      <c r="I986" s="364" t="s">
        <v>193</v>
      </c>
      <c r="J986" s="393">
        <v>6400000</v>
      </c>
      <c r="K986" s="484"/>
      <c r="L986" s="394"/>
      <c r="M986" s="394" t="s">
        <v>5133</v>
      </c>
      <c r="N986" s="682">
        <v>6594572.3823000006</v>
      </c>
      <c r="O986" s="150" t="s">
        <v>621</v>
      </c>
    </row>
    <row r="987" spans="1:15" ht="48.75" customHeight="1" x14ac:dyDescent="0.35">
      <c r="A987" s="272" t="s">
        <v>3682</v>
      </c>
      <c r="B987" s="463" t="s">
        <v>2235</v>
      </c>
      <c r="C987" s="457" t="s">
        <v>390</v>
      </c>
      <c r="D987" s="141" t="s">
        <v>4</v>
      </c>
      <c r="E987" s="180" t="s">
        <v>2451</v>
      </c>
      <c r="F987" s="180">
        <v>31050411</v>
      </c>
      <c r="G987" s="180"/>
      <c r="H987" s="180" t="s">
        <v>3241</v>
      </c>
      <c r="I987" s="364" t="s">
        <v>193</v>
      </c>
      <c r="J987" s="393">
        <v>10200000</v>
      </c>
      <c r="K987" s="484"/>
      <c r="L987" s="394"/>
      <c r="M987" s="394" t="s">
        <v>5133</v>
      </c>
      <c r="N987" s="682">
        <v>1011556.2051</v>
      </c>
      <c r="O987" s="150" t="s">
        <v>2235</v>
      </c>
    </row>
    <row r="988" spans="1:15" ht="104.25" customHeight="1" x14ac:dyDescent="0.35">
      <c r="A988" s="272" t="s">
        <v>3683</v>
      </c>
      <c r="B988" s="463" t="s">
        <v>2236</v>
      </c>
      <c r="C988" s="457" t="s">
        <v>746</v>
      </c>
      <c r="D988" s="141" t="s">
        <v>4</v>
      </c>
      <c r="E988" s="180" t="s">
        <v>2451</v>
      </c>
      <c r="F988" s="180">
        <v>31050411</v>
      </c>
      <c r="G988" s="180"/>
      <c r="H988" s="180" t="s">
        <v>3241</v>
      </c>
      <c r="I988" s="364" t="s">
        <v>193</v>
      </c>
      <c r="J988" s="393">
        <v>8000000</v>
      </c>
      <c r="K988" s="484"/>
      <c r="L988" s="394"/>
      <c r="M988" s="394" t="s">
        <v>5133</v>
      </c>
      <c r="N988" s="682">
        <v>15374949.4647</v>
      </c>
      <c r="O988" s="150" t="s">
        <v>2236</v>
      </c>
    </row>
    <row r="989" spans="1:15" ht="53.25" customHeight="1" x14ac:dyDescent="0.35">
      <c r="A989" s="272" t="s">
        <v>3684</v>
      </c>
      <c r="B989" s="463" t="s">
        <v>2237</v>
      </c>
      <c r="C989" s="457">
        <v>426</v>
      </c>
      <c r="D989" s="141" t="s">
        <v>4</v>
      </c>
      <c r="E989" s="180" t="s">
        <v>2451</v>
      </c>
      <c r="F989" s="180">
        <v>31050411</v>
      </c>
      <c r="G989" s="180"/>
      <c r="H989" s="180" t="s">
        <v>3241</v>
      </c>
      <c r="I989" s="364" t="s">
        <v>193</v>
      </c>
      <c r="J989" s="393">
        <f>200000000+400000000</f>
        <v>600000000</v>
      </c>
      <c r="K989" s="484">
        <v>400000000</v>
      </c>
      <c r="L989" s="394"/>
      <c r="M989" s="394" t="s">
        <v>5133</v>
      </c>
      <c r="N989" s="682">
        <v>64917226.054799996</v>
      </c>
      <c r="O989" s="150" t="s">
        <v>2237</v>
      </c>
    </row>
    <row r="990" spans="1:15" ht="75.75" customHeight="1" x14ac:dyDescent="0.35">
      <c r="A990" s="272" t="s">
        <v>3685</v>
      </c>
      <c r="B990" s="463" t="s">
        <v>2238</v>
      </c>
      <c r="C990" s="457">
        <v>426</v>
      </c>
      <c r="D990" s="141" t="s">
        <v>4</v>
      </c>
      <c r="E990" s="180" t="s">
        <v>2451</v>
      </c>
      <c r="F990" s="180">
        <v>31050411</v>
      </c>
      <c r="G990" s="180"/>
      <c r="H990" s="180" t="s">
        <v>3241</v>
      </c>
      <c r="I990" s="364" t="s">
        <v>168</v>
      </c>
      <c r="J990" s="393">
        <f>400000000+800000000</f>
        <v>1200000000</v>
      </c>
      <c r="K990" s="484">
        <v>800000000</v>
      </c>
      <c r="L990" s="394"/>
      <c r="M990" s="394" t="s">
        <v>5133</v>
      </c>
      <c r="N990" s="682">
        <v>7939275.75</v>
      </c>
      <c r="O990" s="150" t="s">
        <v>2238</v>
      </c>
    </row>
    <row r="991" spans="1:15" ht="66" customHeight="1" x14ac:dyDescent="0.35">
      <c r="A991" s="272" t="s">
        <v>3686</v>
      </c>
      <c r="B991" s="463" t="s">
        <v>2239</v>
      </c>
      <c r="C991" s="457" t="s">
        <v>3243</v>
      </c>
      <c r="D991" s="141" t="s">
        <v>4</v>
      </c>
      <c r="E991" s="180" t="s">
        <v>2451</v>
      </c>
      <c r="F991" s="180">
        <v>31050411</v>
      </c>
      <c r="G991" s="180"/>
      <c r="H991" s="180" t="s">
        <v>3241</v>
      </c>
      <c r="I991" s="364" t="s">
        <v>168</v>
      </c>
      <c r="J991" s="393">
        <f>200000000+400000000</f>
        <v>600000000</v>
      </c>
      <c r="K991" s="484">
        <v>400000000</v>
      </c>
      <c r="L991" s="394"/>
      <c r="M991" s="394" t="s">
        <v>5133</v>
      </c>
      <c r="N991" s="682">
        <v>2962699.9352999995</v>
      </c>
      <c r="O991" s="150" t="s">
        <v>2239</v>
      </c>
    </row>
    <row r="992" spans="1:15" ht="57" customHeight="1" x14ac:dyDescent="0.35">
      <c r="A992" s="272" t="s">
        <v>3687</v>
      </c>
      <c r="B992" s="463" t="s">
        <v>2240</v>
      </c>
      <c r="C992" s="457" t="s">
        <v>3254</v>
      </c>
      <c r="D992" s="141" t="s">
        <v>4</v>
      </c>
      <c r="E992" s="180" t="s">
        <v>2451</v>
      </c>
      <c r="F992" s="180">
        <v>31050411</v>
      </c>
      <c r="G992" s="180"/>
      <c r="H992" s="180" t="s">
        <v>3241</v>
      </c>
      <c r="I992" s="364" t="s">
        <v>193</v>
      </c>
      <c r="J992" s="393">
        <v>57000000</v>
      </c>
      <c r="K992" s="484"/>
      <c r="L992" s="394"/>
      <c r="M992" s="394" t="s">
        <v>5133</v>
      </c>
      <c r="N992" s="682">
        <v>2249100</v>
      </c>
      <c r="O992" s="150" t="s">
        <v>2240</v>
      </c>
    </row>
    <row r="993" spans="1:15" ht="51" customHeight="1" x14ac:dyDescent="0.35">
      <c r="A993" s="272" t="s">
        <v>3688</v>
      </c>
      <c r="B993" s="463" t="s">
        <v>2241</v>
      </c>
      <c r="C993" s="457" t="s">
        <v>456</v>
      </c>
      <c r="D993" s="141" t="s">
        <v>4</v>
      </c>
      <c r="E993" s="180" t="s">
        <v>2451</v>
      </c>
      <c r="F993" s="180">
        <v>31050411</v>
      </c>
      <c r="G993" s="180"/>
      <c r="H993" s="180" t="s">
        <v>3241</v>
      </c>
      <c r="I993" s="364" t="s">
        <v>193</v>
      </c>
      <c r="J993" s="393">
        <v>11063778.210000008</v>
      </c>
      <c r="K993" s="484"/>
      <c r="L993" s="394"/>
      <c r="M993" s="394" t="s">
        <v>5133</v>
      </c>
      <c r="N993" s="682">
        <v>1172607.4961999999</v>
      </c>
      <c r="O993" s="150" t="s">
        <v>2241</v>
      </c>
    </row>
    <row r="994" spans="1:15" ht="58.5" customHeight="1" x14ac:dyDescent="0.35">
      <c r="A994" s="272" t="s">
        <v>3689</v>
      </c>
      <c r="B994" s="463" t="s">
        <v>2242</v>
      </c>
      <c r="C994" s="457" t="s">
        <v>1666</v>
      </c>
      <c r="D994" s="141" t="s">
        <v>4</v>
      </c>
      <c r="E994" s="180" t="s">
        <v>2451</v>
      </c>
      <c r="F994" s="180">
        <v>31050411</v>
      </c>
      <c r="G994" s="180"/>
      <c r="H994" s="180" t="s">
        <v>3241</v>
      </c>
      <c r="I994" s="364" t="s">
        <v>193</v>
      </c>
      <c r="J994" s="393">
        <v>150000000</v>
      </c>
      <c r="K994" s="484"/>
      <c r="L994" s="394"/>
      <c r="M994" s="394" t="s">
        <v>5133</v>
      </c>
      <c r="N994" s="682">
        <v>5806872.0234000003</v>
      </c>
      <c r="O994" s="150" t="s">
        <v>2242</v>
      </c>
    </row>
    <row r="995" spans="1:15" ht="62.25" customHeight="1" x14ac:dyDescent="0.35">
      <c r="A995" s="272" t="s">
        <v>3690</v>
      </c>
      <c r="B995" s="463" t="s">
        <v>2243</v>
      </c>
      <c r="C995" s="457" t="s">
        <v>3255</v>
      </c>
      <c r="D995" s="141" t="s">
        <v>4</v>
      </c>
      <c r="E995" s="180" t="s">
        <v>2451</v>
      </c>
      <c r="F995" s="180">
        <v>31050411</v>
      </c>
      <c r="G995" s="180"/>
      <c r="H995" s="180" t="s">
        <v>3241</v>
      </c>
      <c r="I995" s="364" t="s">
        <v>193</v>
      </c>
      <c r="J995" s="393">
        <v>200000000</v>
      </c>
      <c r="K995" s="484">
        <v>50000000</v>
      </c>
      <c r="L995" s="394"/>
      <c r="M995" s="394" t="s">
        <v>5133</v>
      </c>
      <c r="N995" s="682">
        <v>45500000</v>
      </c>
      <c r="O995" s="150" t="s">
        <v>2243</v>
      </c>
    </row>
    <row r="996" spans="1:15" ht="68.25" customHeight="1" x14ac:dyDescent="0.35">
      <c r="A996" s="272" t="s">
        <v>3691</v>
      </c>
      <c r="B996" s="463" t="s">
        <v>2244</v>
      </c>
      <c r="C996" s="457">
        <v>426</v>
      </c>
      <c r="D996" s="141" t="s">
        <v>4</v>
      </c>
      <c r="E996" s="180" t="s">
        <v>2451</v>
      </c>
      <c r="F996" s="180">
        <v>31050411</v>
      </c>
      <c r="G996" s="180"/>
      <c r="H996" s="180" t="s">
        <v>3241</v>
      </c>
      <c r="I996" s="364" t="s">
        <v>168</v>
      </c>
      <c r="J996" s="393">
        <v>28514963.539999999</v>
      </c>
      <c r="K996" s="484"/>
      <c r="L996" s="394"/>
      <c r="M996" s="394" t="s">
        <v>5133</v>
      </c>
      <c r="N996" s="682">
        <v>140608699.4718</v>
      </c>
      <c r="O996" s="150" t="s">
        <v>2244</v>
      </c>
    </row>
    <row r="997" spans="1:15" ht="63.75" customHeight="1" x14ac:dyDescent="0.35">
      <c r="A997" s="272" t="s">
        <v>3692</v>
      </c>
      <c r="B997" s="463" t="s">
        <v>2245</v>
      </c>
      <c r="C997" s="457" t="s">
        <v>3256</v>
      </c>
      <c r="D997" s="141" t="s">
        <v>4</v>
      </c>
      <c r="E997" s="180" t="s">
        <v>2451</v>
      </c>
      <c r="F997" s="180">
        <v>31050411</v>
      </c>
      <c r="G997" s="180"/>
      <c r="H997" s="180" t="s">
        <v>3241</v>
      </c>
      <c r="I997" s="364" t="s">
        <v>193</v>
      </c>
      <c r="J997" s="393">
        <f>250000000+250000000</f>
        <v>500000000</v>
      </c>
      <c r="K997" s="484">
        <v>100000000</v>
      </c>
      <c r="L997" s="394"/>
      <c r="M997" s="394" t="s">
        <v>5133</v>
      </c>
      <c r="N997" s="682">
        <v>75438841.709700003</v>
      </c>
      <c r="O997" s="150" t="s">
        <v>2245</v>
      </c>
    </row>
    <row r="998" spans="1:15" ht="41.25" customHeight="1" x14ac:dyDescent="0.35">
      <c r="A998" s="272" t="s">
        <v>3693</v>
      </c>
      <c r="B998" s="463" t="s">
        <v>629</v>
      </c>
      <c r="C998" s="457" t="s">
        <v>196</v>
      </c>
      <c r="D998" s="141" t="s">
        <v>4</v>
      </c>
      <c r="E998" s="180" t="s">
        <v>2451</v>
      </c>
      <c r="F998" s="180">
        <v>31050411</v>
      </c>
      <c r="G998" s="180"/>
      <c r="H998" s="180" t="s">
        <v>3241</v>
      </c>
      <c r="I998" s="364" t="s">
        <v>193</v>
      </c>
      <c r="J998" s="393">
        <f>200000000+200000000</f>
        <v>400000000</v>
      </c>
      <c r="K998" s="484">
        <v>100000000</v>
      </c>
      <c r="L998" s="394"/>
      <c r="M998" s="394" t="s">
        <v>5133</v>
      </c>
      <c r="N998" s="682">
        <v>200210000</v>
      </c>
      <c r="O998" s="150" t="s">
        <v>629</v>
      </c>
    </row>
    <row r="999" spans="1:15" ht="54" customHeight="1" x14ac:dyDescent="0.35">
      <c r="A999" s="272" t="s">
        <v>3694</v>
      </c>
      <c r="B999" s="463" t="s">
        <v>2246</v>
      </c>
      <c r="C999" s="457" t="s">
        <v>3257</v>
      </c>
      <c r="D999" s="141" t="s">
        <v>4</v>
      </c>
      <c r="E999" s="180" t="s">
        <v>2451</v>
      </c>
      <c r="F999" s="180">
        <v>31050411</v>
      </c>
      <c r="G999" s="180"/>
      <c r="H999" s="180" t="s">
        <v>3241</v>
      </c>
      <c r="I999" s="364" t="s">
        <v>193</v>
      </c>
      <c r="J999" s="393">
        <v>9785970.2899999917</v>
      </c>
      <c r="K999" s="484"/>
      <c r="L999" s="394"/>
      <c r="M999" s="394" t="s">
        <v>5133</v>
      </c>
      <c r="N999" s="682">
        <v>52243915.5</v>
      </c>
      <c r="O999" s="150" t="s">
        <v>2246</v>
      </c>
    </row>
    <row r="1000" spans="1:15" ht="58.5" customHeight="1" x14ac:dyDescent="0.35">
      <c r="A1000" s="272" t="s">
        <v>3695</v>
      </c>
      <c r="B1000" s="463" t="s">
        <v>2247</v>
      </c>
      <c r="C1000" s="457" t="s">
        <v>3258</v>
      </c>
      <c r="D1000" s="141" t="s">
        <v>4</v>
      </c>
      <c r="E1000" s="180" t="s">
        <v>2451</v>
      </c>
      <c r="F1000" s="180">
        <v>31050411</v>
      </c>
      <c r="G1000" s="180"/>
      <c r="H1000" s="180" t="s">
        <v>3241</v>
      </c>
      <c r="I1000" s="364" t="s">
        <v>193</v>
      </c>
      <c r="J1000" s="393">
        <f>200000000+200000000</f>
        <v>400000000</v>
      </c>
      <c r="K1000" s="484">
        <v>250000000</v>
      </c>
      <c r="L1000" s="394"/>
      <c r="M1000" s="394" t="s">
        <v>5133</v>
      </c>
      <c r="N1000" s="682">
        <v>52920000</v>
      </c>
      <c r="O1000" s="150" t="s">
        <v>2247</v>
      </c>
    </row>
    <row r="1001" spans="1:15" ht="57" customHeight="1" x14ac:dyDescent="0.35">
      <c r="A1001" s="272" t="s">
        <v>3696</v>
      </c>
      <c r="B1001" s="463" t="s">
        <v>626</v>
      </c>
      <c r="C1001" s="457">
        <v>107</v>
      </c>
      <c r="D1001" s="141" t="s">
        <v>4</v>
      </c>
      <c r="E1001" s="180" t="s">
        <v>2451</v>
      </c>
      <c r="F1001" s="180">
        <v>31050411</v>
      </c>
      <c r="G1001" s="180"/>
      <c r="H1001" s="180" t="s">
        <v>3241</v>
      </c>
      <c r="I1001" s="364" t="s">
        <v>168</v>
      </c>
      <c r="J1001" s="393">
        <v>19472177.689999998</v>
      </c>
      <c r="K1001" s="484"/>
      <c r="L1001" s="394"/>
      <c r="M1001" s="394" t="s">
        <v>5133</v>
      </c>
      <c r="N1001" s="682">
        <v>52336878.016499996</v>
      </c>
      <c r="O1001" s="150" t="s">
        <v>626</v>
      </c>
    </row>
    <row r="1002" spans="1:15" ht="57" customHeight="1" x14ac:dyDescent="0.35">
      <c r="A1002" s="272" t="s">
        <v>3697</v>
      </c>
      <c r="B1002" s="463" t="s">
        <v>2248</v>
      </c>
      <c r="C1002" s="457" t="s">
        <v>3259</v>
      </c>
      <c r="D1002" s="141" t="s">
        <v>4</v>
      </c>
      <c r="E1002" s="180" t="s">
        <v>2451</v>
      </c>
      <c r="F1002" s="180">
        <v>31050411</v>
      </c>
      <c r="G1002" s="180"/>
      <c r="H1002" s="180" t="s">
        <v>3241</v>
      </c>
      <c r="I1002" s="364" t="s">
        <v>193</v>
      </c>
      <c r="J1002" s="393">
        <v>9030887.4900000002</v>
      </c>
      <c r="K1002" s="484"/>
      <c r="L1002" s="394"/>
      <c r="M1002" s="394" t="s">
        <v>5133</v>
      </c>
      <c r="N1002" s="682">
        <v>94319369.594099998</v>
      </c>
      <c r="O1002" s="150" t="s">
        <v>2248</v>
      </c>
    </row>
    <row r="1003" spans="1:15" ht="63" customHeight="1" x14ac:dyDescent="0.35">
      <c r="A1003" s="272" t="s">
        <v>3698</v>
      </c>
      <c r="B1003" s="463" t="s">
        <v>2249</v>
      </c>
      <c r="C1003" s="457" t="s">
        <v>378</v>
      </c>
      <c r="D1003" s="141" t="s">
        <v>4</v>
      </c>
      <c r="E1003" s="180" t="s">
        <v>2451</v>
      </c>
      <c r="F1003" s="180">
        <v>31050411</v>
      </c>
      <c r="G1003" s="180"/>
      <c r="H1003" s="180" t="s">
        <v>3241</v>
      </c>
      <c r="I1003" s="364" t="s">
        <v>193</v>
      </c>
      <c r="J1003" s="393">
        <v>3250000</v>
      </c>
      <c r="K1003" s="484"/>
      <c r="L1003" s="394"/>
      <c r="M1003" s="394" t="s">
        <v>5133</v>
      </c>
      <c r="N1003" s="682">
        <v>11323079.775</v>
      </c>
      <c r="O1003" s="150" t="s">
        <v>2249</v>
      </c>
    </row>
    <row r="1004" spans="1:15" ht="56.25" customHeight="1" x14ac:dyDescent="0.35">
      <c r="A1004" s="272" t="s">
        <v>3699</v>
      </c>
      <c r="B1004" s="463" t="s">
        <v>2250</v>
      </c>
      <c r="C1004" s="457" t="s">
        <v>3259</v>
      </c>
      <c r="D1004" s="141" t="s">
        <v>4</v>
      </c>
      <c r="E1004" s="180" t="s">
        <v>2451</v>
      </c>
      <c r="F1004" s="180">
        <v>31050411</v>
      </c>
      <c r="G1004" s="180"/>
      <c r="H1004" s="180" t="s">
        <v>3241</v>
      </c>
      <c r="I1004" s="364" t="s">
        <v>193</v>
      </c>
      <c r="J1004" s="393">
        <v>10000000</v>
      </c>
      <c r="K1004" s="484"/>
      <c r="L1004" s="394"/>
      <c r="M1004" s="394" t="s">
        <v>5133</v>
      </c>
      <c r="N1004" s="682">
        <v>3423105.7371</v>
      </c>
      <c r="O1004" s="150" t="s">
        <v>2250</v>
      </c>
    </row>
    <row r="1005" spans="1:15" ht="66" customHeight="1" x14ac:dyDescent="0.35">
      <c r="A1005" s="272" t="s">
        <v>3700</v>
      </c>
      <c r="B1005" s="463" t="s">
        <v>2251</v>
      </c>
      <c r="C1005" s="457">
        <v>216</v>
      </c>
      <c r="D1005" s="141" t="s">
        <v>4</v>
      </c>
      <c r="E1005" s="180" t="s">
        <v>2451</v>
      </c>
      <c r="F1005" s="180">
        <v>31050411</v>
      </c>
      <c r="G1005" s="180"/>
      <c r="H1005" s="180" t="s">
        <v>3241</v>
      </c>
      <c r="I1005" s="364" t="s">
        <v>193</v>
      </c>
      <c r="J1005" s="393">
        <v>276824266.43000001</v>
      </c>
      <c r="K1005" s="484"/>
      <c r="L1005" s="394"/>
      <c r="M1005" s="394" t="s">
        <v>5133</v>
      </c>
      <c r="N1005" s="682">
        <v>389211312.41399997</v>
      </c>
      <c r="O1005" s="150" t="s">
        <v>2251</v>
      </c>
    </row>
    <row r="1006" spans="1:15" ht="85.5" customHeight="1" x14ac:dyDescent="0.35">
      <c r="A1006" s="272" t="s">
        <v>3701</v>
      </c>
      <c r="B1006" s="463" t="s">
        <v>2252</v>
      </c>
      <c r="C1006" s="457">
        <v>108</v>
      </c>
      <c r="D1006" s="141" t="s">
        <v>4</v>
      </c>
      <c r="E1006" s="180" t="s">
        <v>2451</v>
      </c>
      <c r="F1006" s="180">
        <v>31050411</v>
      </c>
      <c r="G1006" s="180"/>
      <c r="H1006" s="180" t="s">
        <v>3241</v>
      </c>
      <c r="I1006" s="364" t="s">
        <v>193</v>
      </c>
      <c r="J1006" s="393">
        <v>6860700.2800000012</v>
      </c>
      <c r="K1006" s="484"/>
      <c r="L1006" s="394"/>
      <c r="M1006" s="394" t="s">
        <v>5133</v>
      </c>
      <c r="N1006" s="682">
        <v>4322241.1764000002</v>
      </c>
      <c r="O1006" s="150" t="s">
        <v>2252</v>
      </c>
    </row>
    <row r="1007" spans="1:15" ht="43.5" customHeight="1" x14ac:dyDescent="0.35">
      <c r="A1007" s="272" t="s">
        <v>3702</v>
      </c>
      <c r="B1007" s="463" t="s">
        <v>2253</v>
      </c>
      <c r="C1007" s="457" t="s">
        <v>357</v>
      </c>
      <c r="D1007" s="141" t="s">
        <v>4</v>
      </c>
      <c r="E1007" s="180" t="s">
        <v>2451</v>
      </c>
      <c r="F1007" s="180">
        <v>31050411</v>
      </c>
      <c r="G1007" s="180"/>
      <c r="H1007" s="180" t="s">
        <v>3241</v>
      </c>
      <c r="I1007" s="364" t="s">
        <v>193</v>
      </c>
      <c r="J1007" s="393">
        <v>30828265.099999994</v>
      </c>
      <c r="K1007" s="484"/>
      <c r="L1007" s="394"/>
      <c r="M1007" s="394" t="s">
        <v>5133</v>
      </c>
      <c r="N1007" s="682">
        <v>45360000</v>
      </c>
      <c r="O1007" s="150" t="s">
        <v>2253</v>
      </c>
    </row>
    <row r="1008" spans="1:15" ht="66" customHeight="1" x14ac:dyDescent="0.35">
      <c r="A1008" s="272" t="s">
        <v>3703</v>
      </c>
      <c r="B1008" s="463" t="s">
        <v>2254</v>
      </c>
      <c r="C1008" s="457" t="s">
        <v>1662</v>
      </c>
      <c r="D1008" s="141" t="s">
        <v>4</v>
      </c>
      <c r="E1008" s="180" t="s">
        <v>2451</v>
      </c>
      <c r="F1008" s="180">
        <v>31050411</v>
      </c>
      <c r="G1008" s="180"/>
      <c r="H1008" s="180" t="s">
        <v>3241</v>
      </c>
      <c r="I1008" s="364" t="s">
        <v>193</v>
      </c>
      <c r="J1008" s="393">
        <v>9364601.1399999857</v>
      </c>
      <c r="K1008" s="484"/>
      <c r="L1008" s="394"/>
      <c r="M1008" s="394" t="s">
        <v>5133</v>
      </c>
      <c r="N1008" s="682">
        <v>15804875.52</v>
      </c>
      <c r="O1008" s="150" t="s">
        <v>2254</v>
      </c>
    </row>
    <row r="1009" spans="1:15" ht="54" customHeight="1" x14ac:dyDescent="0.35">
      <c r="A1009" s="272" t="s">
        <v>3704</v>
      </c>
      <c r="B1009" s="463" t="s">
        <v>2255</v>
      </c>
      <c r="C1009" s="457">
        <v>426</v>
      </c>
      <c r="D1009" s="141" t="s">
        <v>4</v>
      </c>
      <c r="E1009" s="180" t="s">
        <v>2451</v>
      </c>
      <c r="F1009" s="180">
        <v>31050411</v>
      </c>
      <c r="G1009" s="180"/>
      <c r="H1009" s="180" t="s">
        <v>3241</v>
      </c>
      <c r="I1009" s="364" t="s">
        <v>193</v>
      </c>
      <c r="J1009" s="393">
        <v>200000000</v>
      </c>
      <c r="K1009" s="484"/>
      <c r="L1009" s="394"/>
      <c r="M1009" s="394" t="s">
        <v>5133</v>
      </c>
      <c r="N1009" s="682">
        <v>4136630.1227999995</v>
      </c>
      <c r="O1009" s="150" t="s">
        <v>2255</v>
      </c>
    </row>
    <row r="1010" spans="1:15" ht="63.75" customHeight="1" x14ac:dyDescent="0.35">
      <c r="A1010" s="272" t="s">
        <v>3705</v>
      </c>
      <c r="B1010" s="463" t="s">
        <v>2256</v>
      </c>
      <c r="C1010" s="457" t="s">
        <v>1717</v>
      </c>
      <c r="D1010" s="141" t="s">
        <v>4</v>
      </c>
      <c r="E1010" s="180" t="s">
        <v>2451</v>
      </c>
      <c r="F1010" s="180">
        <v>31050411</v>
      </c>
      <c r="G1010" s="180"/>
      <c r="H1010" s="180" t="s">
        <v>3241</v>
      </c>
      <c r="I1010" s="364" t="s">
        <v>168</v>
      </c>
      <c r="J1010" s="393">
        <v>200000000</v>
      </c>
      <c r="K1010" s="484"/>
      <c r="L1010" s="394"/>
      <c r="M1010" s="394" t="s">
        <v>5133</v>
      </c>
      <c r="N1010" s="683">
        <v>625386797.99249995</v>
      </c>
      <c r="O1010" s="150" t="s">
        <v>2256</v>
      </c>
    </row>
    <row r="1011" spans="1:15" ht="37.5" customHeight="1" x14ac:dyDescent="0.35">
      <c r="A1011" s="272" t="s">
        <v>3706</v>
      </c>
      <c r="B1011" s="463" t="s">
        <v>2257</v>
      </c>
      <c r="C1011" s="457" t="s">
        <v>3246</v>
      </c>
      <c r="D1011" s="141" t="s">
        <v>4</v>
      </c>
      <c r="E1011" s="180" t="s">
        <v>2451</v>
      </c>
      <c r="F1011" s="180">
        <v>31050411</v>
      </c>
      <c r="G1011" s="180"/>
      <c r="H1011" s="180" t="s">
        <v>3241</v>
      </c>
      <c r="I1011" s="364" t="s">
        <v>193</v>
      </c>
      <c r="J1011" s="393">
        <v>22460000</v>
      </c>
      <c r="K1011" s="484"/>
      <c r="L1011" s="394"/>
      <c r="M1011" s="394" t="s">
        <v>5133</v>
      </c>
      <c r="N1011" s="682">
        <v>49330589.074200004</v>
      </c>
      <c r="O1011" s="150" t="s">
        <v>2257</v>
      </c>
    </row>
    <row r="1012" spans="1:15" ht="63.75" customHeight="1" x14ac:dyDescent="0.35">
      <c r="A1012" s="272" t="s">
        <v>3707</v>
      </c>
      <c r="B1012" s="463" t="s">
        <v>2258</v>
      </c>
      <c r="C1012" s="457">
        <v>107</v>
      </c>
      <c r="D1012" s="141" t="s">
        <v>4</v>
      </c>
      <c r="E1012" s="180" t="s">
        <v>2451</v>
      </c>
      <c r="F1012" s="180">
        <v>31050411</v>
      </c>
      <c r="G1012" s="180"/>
      <c r="H1012" s="180" t="s">
        <v>3241</v>
      </c>
      <c r="I1012" s="364" t="s">
        <v>193</v>
      </c>
      <c r="J1012" s="393">
        <f>100000000+200000000</f>
        <v>300000000</v>
      </c>
      <c r="K1012" s="484"/>
      <c r="L1012" s="394"/>
      <c r="M1012" s="394" t="s">
        <v>5133</v>
      </c>
      <c r="N1012" s="682">
        <v>35639685.112499997</v>
      </c>
      <c r="O1012" s="150" t="s">
        <v>2258</v>
      </c>
    </row>
    <row r="1013" spans="1:15" ht="38.25" customHeight="1" x14ac:dyDescent="0.35">
      <c r="A1013" s="272" t="s">
        <v>3708</v>
      </c>
      <c r="B1013" s="463" t="s">
        <v>630</v>
      </c>
      <c r="C1013" s="457" t="s">
        <v>616</v>
      </c>
      <c r="D1013" s="141" t="s">
        <v>4</v>
      </c>
      <c r="E1013" s="180" t="s">
        <v>2451</v>
      </c>
      <c r="F1013" s="180">
        <v>31050411</v>
      </c>
      <c r="G1013" s="180"/>
      <c r="H1013" s="180" t="s">
        <v>3241</v>
      </c>
      <c r="I1013" s="364" t="s">
        <v>168</v>
      </c>
      <c r="J1013" s="393">
        <v>100000000</v>
      </c>
      <c r="K1013" s="484"/>
      <c r="L1013" s="394"/>
      <c r="M1013" s="394" t="s">
        <v>5133</v>
      </c>
      <c r="N1013" s="682">
        <v>975450462.25480008</v>
      </c>
      <c r="O1013" s="150" t="s">
        <v>630</v>
      </c>
    </row>
    <row r="1014" spans="1:15" ht="56.25" customHeight="1" x14ac:dyDescent="0.35">
      <c r="A1014" s="272" t="s">
        <v>3709</v>
      </c>
      <c r="B1014" s="463" t="s">
        <v>2259</v>
      </c>
      <c r="C1014" s="457" t="s">
        <v>816</v>
      </c>
      <c r="D1014" s="141" t="s">
        <v>4</v>
      </c>
      <c r="E1014" s="180" t="s">
        <v>2451</v>
      </c>
      <c r="F1014" s="180">
        <v>31050411</v>
      </c>
      <c r="G1014" s="180"/>
      <c r="H1014" s="180" t="s">
        <v>3241</v>
      </c>
      <c r="I1014" s="364" t="s">
        <v>193</v>
      </c>
      <c r="J1014" s="393">
        <f>300000000+100000000</f>
        <v>400000000</v>
      </c>
      <c r="K1014" s="484">
        <v>100000000</v>
      </c>
      <c r="L1014" s="394"/>
      <c r="M1014" s="394" t="s">
        <v>5133</v>
      </c>
      <c r="N1014" s="682">
        <v>302361820.75889999</v>
      </c>
      <c r="O1014" s="150" t="s">
        <v>2259</v>
      </c>
    </row>
    <row r="1015" spans="1:15" ht="42.75" customHeight="1" x14ac:dyDescent="0.35">
      <c r="A1015" s="272" t="s">
        <v>3710</v>
      </c>
      <c r="B1015" s="463" t="s">
        <v>2260</v>
      </c>
      <c r="C1015" s="457" t="s">
        <v>196</v>
      </c>
      <c r="D1015" s="141" t="s">
        <v>4</v>
      </c>
      <c r="E1015" s="180" t="s">
        <v>2451</v>
      </c>
      <c r="F1015" s="180">
        <v>31050411</v>
      </c>
      <c r="G1015" s="180"/>
      <c r="H1015" s="180" t="s">
        <v>3241</v>
      </c>
      <c r="I1015" s="364" t="s">
        <v>193</v>
      </c>
      <c r="J1015" s="393">
        <v>40000000</v>
      </c>
      <c r="K1015" s="484"/>
      <c r="L1015" s="394"/>
      <c r="M1015" s="394" t="s">
        <v>5133</v>
      </c>
      <c r="N1015" s="682">
        <v>37800000</v>
      </c>
      <c r="O1015" s="150" t="s">
        <v>2260</v>
      </c>
    </row>
    <row r="1016" spans="1:15" ht="57" customHeight="1" x14ac:dyDescent="0.35">
      <c r="A1016" s="272" t="s">
        <v>3711</v>
      </c>
      <c r="B1016" s="463" t="s">
        <v>2261</v>
      </c>
      <c r="C1016" s="457" t="s">
        <v>379</v>
      </c>
      <c r="D1016" s="141" t="s">
        <v>4</v>
      </c>
      <c r="E1016" s="180" t="s">
        <v>2451</v>
      </c>
      <c r="F1016" s="180">
        <v>31050411</v>
      </c>
      <c r="G1016" s="180"/>
      <c r="H1016" s="180" t="s">
        <v>3241</v>
      </c>
      <c r="I1016" s="364" t="s">
        <v>168</v>
      </c>
      <c r="J1016" s="393">
        <v>9055835.2800000012</v>
      </c>
      <c r="K1016" s="484"/>
      <c r="L1016" s="394"/>
      <c r="M1016" s="394" t="s">
        <v>5133</v>
      </c>
      <c r="N1016" s="682">
        <v>151200000</v>
      </c>
      <c r="O1016" s="150" t="s">
        <v>2261</v>
      </c>
    </row>
    <row r="1017" spans="1:15" ht="81" customHeight="1" x14ac:dyDescent="0.35">
      <c r="A1017" s="272" t="s">
        <v>3712</v>
      </c>
      <c r="B1017" s="463" t="s">
        <v>2262</v>
      </c>
      <c r="C1017" s="457" t="s">
        <v>379</v>
      </c>
      <c r="D1017" s="141" t="s">
        <v>4</v>
      </c>
      <c r="E1017" s="180" t="s">
        <v>2451</v>
      </c>
      <c r="F1017" s="180">
        <v>31050411</v>
      </c>
      <c r="G1017" s="180"/>
      <c r="H1017" s="180" t="s">
        <v>3241</v>
      </c>
      <c r="I1017" s="364" t="s">
        <v>168</v>
      </c>
      <c r="J1017" s="393">
        <v>5303148.8999999911</v>
      </c>
      <c r="K1017" s="484"/>
      <c r="L1017" s="394"/>
      <c r="M1017" s="394" t="s">
        <v>5133</v>
      </c>
      <c r="N1017" s="682">
        <v>553600000</v>
      </c>
      <c r="O1017" s="150" t="s">
        <v>2262</v>
      </c>
    </row>
    <row r="1018" spans="1:15" ht="45.75" customHeight="1" x14ac:dyDescent="0.35">
      <c r="A1018" s="272" t="s">
        <v>3713</v>
      </c>
      <c r="B1018" s="463" t="s">
        <v>2263</v>
      </c>
      <c r="C1018" s="457" t="s">
        <v>196</v>
      </c>
      <c r="D1018" s="141" t="s">
        <v>4</v>
      </c>
      <c r="E1018" s="180" t="s">
        <v>2451</v>
      </c>
      <c r="F1018" s="180">
        <v>31050411</v>
      </c>
      <c r="G1018" s="180"/>
      <c r="H1018" s="180" t="s">
        <v>3241</v>
      </c>
      <c r="I1018" s="364" t="s">
        <v>193</v>
      </c>
      <c r="J1018" s="393">
        <v>37048653.5</v>
      </c>
      <c r="K1018" s="484"/>
      <c r="L1018" s="394"/>
      <c r="M1018" s="394" t="s">
        <v>5133</v>
      </c>
      <c r="N1018" s="682">
        <v>56700000</v>
      </c>
      <c r="O1018" s="150" t="s">
        <v>2263</v>
      </c>
    </row>
    <row r="1019" spans="1:15" ht="45.75" customHeight="1" x14ac:dyDescent="0.35">
      <c r="A1019" s="272" t="s">
        <v>3714</v>
      </c>
      <c r="B1019" s="463" t="s">
        <v>2264</v>
      </c>
      <c r="C1019" s="457">
        <v>108</v>
      </c>
      <c r="D1019" s="141" t="s">
        <v>4</v>
      </c>
      <c r="E1019" s="180" t="s">
        <v>2451</v>
      </c>
      <c r="F1019" s="180">
        <v>31050411</v>
      </c>
      <c r="G1019" s="180"/>
      <c r="H1019" s="180" t="s">
        <v>3241</v>
      </c>
      <c r="I1019" s="364" t="s">
        <v>168</v>
      </c>
      <c r="J1019" s="393">
        <v>82000000</v>
      </c>
      <c r="K1019" s="484"/>
      <c r="L1019" s="394"/>
      <c r="M1019" s="394" t="s">
        <v>5133</v>
      </c>
      <c r="N1019" s="682">
        <v>311152947.6825</v>
      </c>
      <c r="O1019" s="150" t="s">
        <v>2264</v>
      </c>
    </row>
    <row r="1020" spans="1:15" ht="63.75" customHeight="1" x14ac:dyDescent="0.35">
      <c r="A1020" s="272" t="s">
        <v>3715</v>
      </c>
      <c r="B1020" s="463" t="s">
        <v>2265</v>
      </c>
      <c r="C1020" s="457" t="s">
        <v>619</v>
      </c>
      <c r="D1020" s="141" t="s">
        <v>4</v>
      </c>
      <c r="E1020" s="180" t="s">
        <v>2451</v>
      </c>
      <c r="F1020" s="180">
        <v>31050411</v>
      </c>
      <c r="G1020" s="180"/>
      <c r="H1020" s="180" t="s">
        <v>3241</v>
      </c>
      <c r="I1020" s="364" t="s">
        <v>193</v>
      </c>
      <c r="J1020" s="393">
        <v>61152008.430000067</v>
      </c>
      <c r="K1020" s="484"/>
      <c r="L1020" s="394"/>
      <c r="M1020" s="394" t="s">
        <v>5133</v>
      </c>
      <c r="N1020" s="682">
        <v>43470000</v>
      </c>
      <c r="O1020" s="150" t="s">
        <v>2265</v>
      </c>
    </row>
    <row r="1021" spans="1:15" ht="81.75" customHeight="1" x14ac:dyDescent="0.35">
      <c r="A1021" s="272" t="s">
        <v>3716</v>
      </c>
      <c r="B1021" s="463" t="s">
        <v>2266</v>
      </c>
      <c r="C1021" s="457">
        <v>216</v>
      </c>
      <c r="D1021" s="141" t="s">
        <v>4</v>
      </c>
      <c r="E1021" s="180" t="s">
        <v>2451</v>
      </c>
      <c r="F1021" s="180">
        <v>31050411</v>
      </c>
      <c r="G1021" s="180"/>
      <c r="H1021" s="180" t="s">
        <v>3241</v>
      </c>
      <c r="I1021" s="364" t="s">
        <v>168</v>
      </c>
      <c r="J1021" s="393">
        <v>250000000</v>
      </c>
      <c r="K1021" s="484"/>
      <c r="L1021" s="394"/>
      <c r="M1021" s="394" t="s">
        <v>5133</v>
      </c>
      <c r="N1021" s="682">
        <v>66256953.417899996</v>
      </c>
      <c r="O1021" s="150" t="s">
        <v>2266</v>
      </c>
    </row>
    <row r="1022" spans="1:15" ht="50.25" customHeight="1" x14ac:dyDescent="0.35">
      <c r="A1022" s="272" t="s">
        <v>3717</v>
      </c>
      <c r="B1022" s="463" t="s">
        <v>628</v>
      </c>
      <c r="C1022" s="457" t="s">
        <v>379</v>
      </c>
      <c r="D1022" s="141" t="s">
        <v>4</v>
      </c>
      <c r="E1022" s="180" t="s">
        <v>2451</v>
      </c>
      <c r="F1022" s="180">
        <v>31050411</v>
      </c>
      <c r="G1022" s="180"/>
      <c r="H1022" s="180" t="s">
        <v>3241</v>
      </c>
      <c r="I1022" s="364" t="s">
        <v>193</v>
      </c>
      <c r="J1022" s="393">
        <v>10943465.930000007</v>
      </c>
      <c r="K1022" s="484"/>
      <c r="L1022" s="394"/>
      <c r="M1022" s="394" t="s">
        <v>5133</v>
      </c>
      <c r="N1022" s="682">
        <v>314542135.06379998</v>
      </c>
      <c r="O1022" s="150" t="s">
        <v>628</v>
      </c>
    </row>
    <row r="1023" spans="1:15" ht="39" customHeight="1" x14ac:dyDescent="0.35">
      <c r="A1023" s="272" t="s">
        <v>3718</v>
      </c>
      <c r="B1023" s="463" t="s">
        <v>2267</v>
      </c>
      <c r="C1023" s="457">
        <v>215</v>
      </c>
      <c r="D1023" s="141" t="s">
        <v>4</v>
      </c>
      <c r="E1023" s="180" t="s">
        <v>2451</v>
      </c>
      <c r="F1023" s="180">
        <v>31050411</v>
      </c>
      <c r="G1023" s="180"/>
      <c r="H1023" s="180" t="s">
        <v>3241</v>
      </c>
      <c r="I1023" s="364" t="s">
        <v>193</v>
      </c>
      <c r="J1023" s="393">
        <v>11790269.050000012</v>
      </c>
      <c r="K1023" s="484"/>
      <c r="L1023" s="394"/>
      <c r="M1023" s="394" t="s">
        <v>5133</v>
      </c>
      <c r="N1023" s="682">
        <v>37114572.259800002</v>
      </c>
      <c r="O1023" s="150" t="s">
        <v>2267</v>
      </c>
    </row>
    <row r="1024" spans="1:15" ht="62.25" customHeight="1" x14ac:dyDescent="0.35">
      <c r="A1024" s="272" t="s">
        <v>3719</v>
      </c>
      <c r="B1024" s="463" t="s">
        <v>2268</v>
      </c>
      <c r="C1024" s="457" t="s">
        <v>3262</v>
      </c>
      <c r="D1024" s="141" t="s">
        <v>4</v>
      </c>
      <c r="E1024" s="180" t="s">
        <v>2451</v>
      </c>
      <c r="F1024" s="180">
        <v>31050411</v>
      </c>
      <c r="G1024" s="180"/>
      <c r="H1024" s="180" t="s">
        <v>3241</v>
      </c>
      <c r="I1024" s="364" t="s">
        <v>193</v>
      </c>
      <c r="J1024" s="393">
        <v>10539237.389999986</v>
      </c>
      <c r="K1024" s="484"/>
      <c r="L1024" s="394"/>
      <c r="M1024" s="394" t="s">
        <v>5133</v>
      </c>
      <c r="N1024" s="682">
        <v>108376930.2168</v>
      </c>
      <c r="O1024" s="150" t="s">
        <v>2268</v>
      </c>
    </row>
    <row r="1025" spans="1:15" ht="55.5" customHeight="1" x14ac:dyDescent="0.35">
      <c r="A1025" s="272" t="s">
        <v>3720</v>
      </c>
      <c r="B1025" s="463" t="s">
        <v>2269</v>
      </c>
      <c r="C1025" s="457">
        <v>216</v>
      </c>
      <c r="D1025" s="141" t="s">
        <v>4</v>
      </c>
      <c r="E1025" s="180" t="s">
        <v>2451</v>
      </c>
      <c r="F1025" s="180">
        <v>31050411</v>
      </c>
      <c r="G1025" s="180"/>
      <c r="H1025" s="180" t="s">
        <v>3241</v>
      </c>
      <c r="I1025" s="364" t="s">
        <v>193</v>
      </c>
      <c r="J1025" s="393">
        <f>200000000+800000000</f>
        <v>1000000000</v>
      </c>
      <c r="K1025" s="484"/>
      <c r="L1025" s="394"/>
      <c r="M1025" s="394" t="s">
        <v>5133</v>
      </c>
      <c r="N1025" s="682">
        <v>121279938.7464</v>
      </c>
      <c r="O1025" s="150" t="s">
        <v>2269</v>
      </c>
    </row>
    <row r="1026" spans="1:15" ht="60" customHeight="1" x14ac:dyDescent="0.35">
      <c r="A1026" s="272" t="s">
        <v>3721</v>
      </c>
      <c r="B1026" s="463" t="s">
        <v>2270</v>
      </c>
      <c r="C1026" s="457">
        <v>216</v>
      </c>
      <c r="D1026" s="141" t="s">
        <v>4</v>
      </c>
      <c r="E1026" s="180" t="s">
        <v>2451</v>
      </c>
      <c r="F1026" s="180">
        <v>31050411</v>
      </c>
      <c r="G1026" s="180"/>
      <c r="H1026" s="180" t="s">
        <v>3241</v>
      </c>
      <c r="I1026" s="364" t="s">
        <v>193</v>
      </c>
      <c r="J1026" s="393">
        <v>150000000</v>
      </c>
      <c r="K1026" s="484"/>
      <c r="L1026" s="394"/>
      <c r="M1026" s="394" t="s">
        <v>5133</v>
      </c>
      <c r="N1026" s="682">
        <v>37617522.194699995</v>
      </c>
      <c r="O1026" s="150" t="s">
        <v>2270</v>
      </c>
    </row>
    <row r="1027" spans="1:15" ht="40.5" customHeight="1" x14ac:dyDescent="0.35">
      <c r="A1027" s="272" t="s">
        <v>3722</v>
      </c>
      <c r="B1027" s="463" t="s">
        <v>631</v>
      </c>
      <c r="C1027" s="457">
        <v>211</v>
      </c>
      <c r="D1027" s="141" t="s">
        <v>4</v>
      </c>
      <c r="E1027" s="180" t="s">
        <v>2451</v>
      </c>
      <c r="F1027" s="180">
        <v>31050411</v>
      </c>
      <c r="G1027" s="180"/>
      <c r="H1027" s="180" t="s">
        <v>3241</v>
      </c>
      <c r="I1027" s="364" t="s">
        <v>193</v>
      </c>
      <c r="J1027" s="393">
        <v>31672773.629999995</v>
      </c>
      <c r="K1027" s="484"/>
      <c r="L1027" s="394"/>
      <c r="M1027" s="394" t="s">
        <v>5133</v>
      </c>
      <c r="N1027" s="682">
        <v>63670351.5</v>
      </c>
      <c r="O1027" s="150" t="s">
        <v>631</v>
      </c>
    </row>
    <row r="1028" spans="1:15" ht="40.5" customHeight="1" x14ac:dyDescent="0.35">
      <c r="A1028" s="272" t="s">
        <v>3723</v>
      </c>
      <c r="B1028" s="463" t="s">
        <v>632</v>
      </c>
      <c r="C1028" s="457">
        <v>426</v>
      </c>
      <c r="D1028" s="141" t="s">
        <v>4</v>
      </c>
      <c r="E1028" s="180" t="s">
        <v>2451</v>
      </c>
      <c r="F1028" s="180">
        <v>31050411</v>
      </c>
      <c r="G1028" s="180"/>
      <c r="H1028" s="180" t="s">
        <v>3241</v>
      </c>
      <c r="I1028" s="364" t="s">
        <v>193</v>
      </c>
      <c r="J1028" s="393">
        <f>250000000+250000000</f>
        <v>500000000</v>
      </c>
      <c r="K1028" s="484"/>
      <c r="L1028" s="394"/>
      <c r="M1028" s="394" t="s">
        <v>5133</v>
      </c>
      <c r="N1028" s="682">
        <v>450449756.20899999</v>
      </c>
      <c r="O1028" s="150" t="s">
        <v>632</v>
      </c>
    </row>
    <row r="1029" spans="1:15" ht="62.25" customHeight="1" x14ac:dyDescent="0.35">
      <c r="A1029" s="272" t="s">
        <v>3724</v>
      </c>
      <c r="B1029" s="463" t="s">
        <v>2271</v>
      </c>
      <c r="C1029" s="457" t="s">
        <v>634</v>
      </c>
      <c r="D1029" s="141" t="s">
        <v>4</v>
      </c>
      <c r="E1029" s="180" t="s">
        <v>2451</v>
      </c>
      <c r="F1029" s="180">
        <v>31050411</v>
      </c>
      <c r="G1029" s="180"/>
      <c r="H1029" s="180" t="s">
        <v>3241</v>
      </c>
      <c r="I1029" s="364" t="s">
        <v>193</v>
      </c>
      <c r="J1029" s="393">
        <v>29339803.069999993</v>
      </c>
      <c r="K1029" s="484"/>
      <c r="L1029" s="394"/>
      <c r="M1029" s="394" t="s">
        <v>5133</v>
      </c>
      <c r="N1029" s="682">
        <v>611313304.93989098</v>
      </c>
      <c r="O1029" s="150" t="s">
        <v>2271</v>
      </c>
    </row>
    <row r="1030" spans="1:15" ht="61.5" customHeight="1" x14ac:dyDescent="0.35">
      <c r="A1030" s="272" t="s">
        <v>3725</v>
      </c>
      <c r="B1030" s="463" t="s">
        <v>2272</v>
      </c>
      <c r="C1030" s="457" t="s">
        <v>634</v>
      </c>
      <c r="D1030" s="141" t="s">
        <v>4</v>
      </c>
      <c r="E1030" s="180" t="s">
        <v>2451</v>
      </c>
      <c r="F1030" s="180">
        <v>31050411</v>
      </c>
      <c r="G1030" s="180"/>
      <c r="H1030" s="180" t="s">
        <v>3241</v>
      </c>
      <c r="I1030" s="364" t="s">
        <v>193</v>
      </c>
      <c r="J1030" s="393">
        <v>200000000</v>
      </c>
      <c r="K1030" s="484"/>
      <c r="L1030" s="394"/>
      <c r="M1030" s="394" t="s">
        <v>5133</v>
      </c>
      <c r="N1030" s="682">
        <v>62611989.741000004</v>
      </c>
      <c r="O1030" s="150" t="s">
        <v>2272</v>
      </c>
    </row>
    <row r="1031" spans="1:15" ht="61.5" customHeight="1" x14ac:dyDescent="0.35">
      <c r="A1031" s="272" t="s">
        <v>3726</v>
      </c>
      <c r="B1031" s="463" t="s">
        <v>2273</v>
      </c>
      <c r="C1031" s="457">
        <v>212</v>
      </c>
      <c r="D1031" s="141" t="s">
        <v>4</v>
      </c>
      <c r="E1031" s="180" t="s">
        <v>2451</v>
      </c>
      <c r="F1031" s="180">
        <v>31050411</v>
      </c>
      <c r="G1031" s="180"/>
      <c r="H1031" s="180" t="s">
        <v>3241</v>
      </c>
      <c r="I1031" s="364" t="s">
        <v>168</v>
      </c>
      <c r="J1031" s="393">
        <v>35433784.75</v>
      </c>
      <c r="K1031" s="484"/>
      <c r="L1031" s="394"/>
      <c r="M1031" s="394" t="s">
        <v>5133</v>
      </c>
      <c r="N1031" s="682">
        <v>388169706.12239999</v>
      </c>
      <c r="O1031" s="150" t="s">
        <v>2273</v>
      </c>
    </row>
    <row r="1032" spans="1:15" ht="64.5" customHeight="1" x14ac:dyDescent="0.35">
      <c r="A1032" s="272" t="s">
        <v>3727</v>
      </c>
      <c r="B1032" s="463" t="s">
        <v>4714</v>
      </c>
      <c r="C1032" s="457" t="s">
        <v>650</v>
      </c>
      <c r="D1032" s="141" t="s">
        <v>4</v>
      </c>
      <c r="E1032" s="180" t="s">
        <v>2451</v>
      </c>
      <c r="F1032" s="180">
        <v>31050411</v>
      </c>
      <c r="G1032" s="180"/>
      <c r="H1032" s="180" t="s">
        <v>3241</v>
      </c>
      <c r="I1032" s="364" t="s">
        <v>193</v>
      </c>
      <c r="J1032" s="393">
        <v>35421534.75</v>
      </c>
      <c r="K1032" s="484"/>
      <c r="L1032" s="394"/>
      <c r="M1032" s="394" t="s">
        <v>5133</v>
      </c>
      <c r="N1032" s="682">
        <v>70681976.189999998</v>
      </c>
      <c r="O1032" s="150" t="s">
        <v>4714</v>
      </c>
    </row>
    <row r="1033" spans="1:15" ht="81.75" customHeight="1" x14ac:dyDescent="0.35">
      <c r="A1033" s="272" t="s">
        <v>3728</v>
      </c>
      <c r="B1033" s="463" t="s">
        <v>2274</v>
      </c>
      <c r="C1033" s="457">
        <v>3250</v>
      </c>
      <c r="D1033" s="141" t="s">
        <v>4</v>
      </c>
      <c r="E1033" s="180" t="s">
        <v>2451</v>
      </c>
      <c r="F1033" s="180">
        <v>31050411</v>
      </c>
      <c r="G1033" s="180"/>
      <c r="H1033" s="180" t="s">
        <v>3241</v>
      </c>
      <c r="I1033" s="364" t="s">
        <v>193</v>
      </c>
      <c r="J1033" s="393">
        <v>100000000</v>
      </c>
      <c r="K1033" s="484"/>
      <c r="L1033" s="394"/>
      <c r="M1033" s="394" t="s">
        <v>5133</v>
      </c>
      <c r="N1033" s="682">
        <v>152997058.0404</v>
      </c>
      <c r="O1033" s="150" t="s">
        <v>2274</v>
      </c>
    </row>
    <row r="1034" spans="1:15" ht="49.5" customHeight="1" x14ac:dyDescent="0.35">
      <c r="A1034" s="272" t="s">
        <v>3729</v>
      </c>
      <c r="B1034" s="463" t="s">
        <v>2275</v>
      </c>
      <c r="C1034" s="457" t="s">
        <v>636</v>
      </c>
      <c r="D1034" s="141" t="s">
        <v>4</v>
      </c>
      <c r="E1034" s="180" t="s">
        <v>2451</v>
      </c>
      <c r="F1034" s="180">
        <v>31050411</v>
      </c>
      <c r="G1034" s="180"/>
      <c r="H1034" s="180" t="s">
        <v>3241</v>
      </c>
      <c r="I1034" s="364" t="s">
        <v>193</v>
      </c>
      <c r="J1034" s="393">
        <v>13000000</v>
      </c>
      <c r="K1034" s="484"/>
      <c r="L1034" s="394"/>
      <c r="M1034" s="394" t="s">
        <v>5133</v>
      </c>
      <c r="N1034" s="682">
        <v>99792000</v>
      </c>
      <c r="O1034" s="150" t="s">
        <v>2275</v>
      </c>
    </row>
    <row r="1035" spans="1:15" ht="51.75" customHeight="1" x14ac:dyDescent="0.35">
      <c r="A1035" s="272" t="s">
        <v>3730</v>
      </c>
      <c r="B1035" s="463" t="s">
        <v>2276</v>
      </c>
      <c r="C1035" s="457" t="s">
        <v>3263</v>
      </c>
      <c r="D1035" s="141" t="s">
        <v>4</v>
      </c>
      <c r="E1035" s="180" t="s">
        <v>2451</v>
      </c>
      <c r="F1035" s="180">
        <v>31050411</v>
      </c>
      <c r="G1035" s="180"/>
      <c r="H1035" s="180" t="s">
        <v>3241</v>
      </c>
      <c r="I1035" s="364" t="s">
        <v>193</v>
      </c>
      <c r="J1035" s="393">
        <v>13215814.75999999</v>
      </c>
      <c r="K1035" s="484"/>
      <c r="L1035" s="394"/>
      <c r="M1035" s="394" t="s">
        <v>5133</v>
      </c>
      <c r="N1035" s="682">
        <v>55084854.006000005</v>
      </c>
      <c r="O1035" s="150" t="s">
        <v>2276</v>
      </c>
    </row>
    <row r="1036" spans="1:15" ht="39.75" customHeight="1" x14ac:dyDescent="0.35">
      <c r="A1036" s="272" t="s">
        <v>3731</v>
      </c>
      <c r="B1036" s="463" t="s">
        <v>2277</v>
      </c>
      <c r="C1036" s="457" t="s">
        <v>3262</v>
      </c>
      <c r="D1036" s="141" t="s">
        <v>4</v>
      </c>
      <c r="E1036" s="180" t="s">
        <v>2451</v>
      </c>
      <c r="F1036" s="180">
        <v>31050411</v>
      </c>
      <c r="G1036" s="180"/>
      <c r="H1036" s="180" t="s">
        <v>3241</v>
      </c>
      <c r="I1036" s="364" t="s">
        <v>193</v>
      </c>
      <c r="J1036" s="393">
        <v>10429976.130000001</v>
      </c>
      <c r="K1036" s="484"/>
      <c r="L1036" s="394"/>
      <c r="M1036" s="394" t="s">
        <v>5133</v>
      </c>
      <c r="N1036" s="682">
        <v>42602429.923200004</v>
      </c>
      <c r="O1036" s="150" t="s">
        <v>2277</v>
      </c>
    </row>
    <row r="1037" spans="1:15" ht="31.5" customHeight="1" x14ac:dyDescent="0.35">
      <c r="A1037" s="272" t="s">
        <v>3732</v>
      </c>
      <c r="B1037" s="463" t="s">
        <v>2278</v>
      </c>
      <c r="C1037" s="457" t="s">
        <v>3245</v>
      </c>
      <c r="D1037" s="141" t="s">
        <v>4</v>
      </c>
      <c r="E1037" s="180" t="s">
        <v>2451</v>
      </c>
      <c r="F1037" s="180">
        <v>31050411</v>
      </c>
      <c r="G1037" s="180"/>
      <c r="H1037" s="180" t="s">
        <v>3241</v>
      </c>
      <c r="I1037" s="364" t="s">
        <v>193</v>
      </c>
      <c r="J1037" s="393">
        <v>100000000</v>
      </c>
      <c r="K1037" s="484"/>
      <c r="L1037" s="394"/>
      <c r="M1037" s="394" t="s">
        <v>5133</v>
      </c>
      <c r="N1037" s="682">
        <v>54626852.844900005</v>
      </c>
      <c r="O1037" s="150" t="s">
        <v>2278</v>
      </c>
    </row>
    <row r="1038" spans="1:15" ht="57.75" customHeight="1" x14ac:dyDescent="0.35">
      <c r="A1038" s="272" t="s">
        <v>3733</v>
      </c>
      <c r="B1038" s="463" t="s">
        <v>2279</v>
      </c>
      <c r="C1038" s="457">
        <v>322</v>
      </c>
      <c r="D1038" s="141" t="s">
        <v>4</v>
      </c>
      <c r="E1038" s="180" t="s">
        <v>2451</v>
      </c>
      <c r="F1038" s="180">
        <v>31050411</v>
      </c>
      <c r="G1038" s="180"/>
      <c r="H1038" s="180" t="s">
        <v>3241</v>
      </c>
      <c r="I1038" s="364" t="s">
        <v>193</v>
      </c>
      <c r="J1038" s="393">
        <f>200000000+200000000</f>
        <v>400000000</v>
      </c>
      <c r="K1038" s="484"/>
      <c r="L1038" s="394"/>
      <c r="M1038" s="394" t="s">
        <v>5133</v>
      </c>
      <c r="N1038" s="682">
        <v>136750843.215</v>
      </c>
      <c r="O1038" s="150" t="s">
        <v>2279</v>
      </c>
    </row>
    <row r="1039" spans="1:15" ht="39" customHeight="1" x14ac:dyDescent="0.35">
      <c r="A1039" s="272" t="s">
        <v>3734</v>
      </c>
      <c r="B1039" s="463" t="s">
        <v>638</v>
      </c>
      <c r="C1039" s="457">
        <v>216</v>
      </c>
      <c r="D1039" s="141" t="s">
        <v>4</v>
      </c>
      <c r="E1039" s="180" t="s">
        <v>2451</v>
      </c>
      <c r="F1039" s="180">
        <v>31050411</v>
      </c>
      <c r="G1039" s="180"/>
      <c r="H1039" s="180" t="s">
        <v>3241</v>
      </c>
      <c r="I1039" s="364" t="s">
        <v>193</v>
      </c>
      <c r="J1039" s="393">
        <f>200000000+100000000</f>
        <v>300000000</v>
      </c>
      <c r="K1039" s="484"/>
      <c r="L1039" s="394"/>
      <c r="M1039" s="394" t="s">
        <v>5133</v>
      </c>
      <c r="N1039" s="682">
        <v>14400317.736</v>
      </c>
      <c r="O1039" s="150" t="s">
        <v>638</v>
      </c>
    </row>
    <row r="1040" spans="1:15" ht="36" customHeight="1" x14ac:dyDescent="0.35">
      <c r="A1040" s="272" t="s">
        <v>3735</v>
      </c>
      <c r="B1040" s="463" t="s">
        <v>2280</v>
      </c>
      <c r="C1040" s="457" t="s">
        <v>1584</v>
      </c>
      <c r="D1040" s="141" t="s">
        <v>4</v>
      </c>
      <c r="E1040" s="180" t="s">
        <v>2451</v>
      </c>
      <c r="F1040" s="180">
        <v>31050411</v>
      </c>
      <c r="G1040" s="180"/>
      <c r="H1040" s="180" t="s">
        <v>3241</v>
      </c>
      <c r="I1040" s="364" t="s">
        <v>193</v>
      </c>
      <c r="J1040" s="393">
        <v>59097119.480000019</v>
      </c>
      <c r="K1040" s="484"/>
      <c r="L1040" s="394"/>
      <c r="M1040" s="394" t="s">
        <v>5133</v>
      </c>
      <c r="N1040" s="682">
        <v>128137713.543</v>
      </c>
      <c r="O1040" s="150" t="s">
        <v>2280</v>
      </c>
    </row>
    <row r="1041" spans="1:15" ht="36" customHeight="1" x14ac:dyDescent="0.35">
      <c r="A1041" s="272" t="s">
        <v>3736</v>
      </c>
      <c r="B1041" s="463" t="s">
        <v>2281</v>
      </c>
      <c r="C1041" s="457" t="s">
        <v>1712</v>
      </c>
      <c r="D1041" s="141" t="s">
        <v>4</v>
      </c>
      <c r="E1041" s="180" t="s">
        <v>2451</v>
      </c>
      <c r="F1041" s="180">
        <v>31050411</v>
      </c>
      <c r="G1041" s="180"/>
      <c r="H1041" s="180" t="s">
        <v>3241</v>
      </c>
      <c r="I1041" s="364" t="s">
        <v>193</v>
      </c>
      <c r="J1041" s="393">
        <v>63296693</v>
      </c>
      <c r="K1041" s="484"/>
      <c r="L1041" s="394"/>
      <c r="M1041" s="394" t="s">
        <v>5133</v>
      </c>
      <c r="N1041" s="682">
        <v>43577274.321000002</v>
      </c>
      <c r="O1041" s="150" t="s">
        <v>2281</v>
      </c>
    </row>
    <row r="1042" spans="1:15" ht="61.5" customHeight="1" x14ac:dyDescent="0.35">
      <c r="A1042" s="272" t="s">
        <v>3737</v>
      </c>
      <c r="B1042" s="463" t="s">
        <v>2282</v>
      </c>
      <c r="C1042" s="457" t="s">
        <v>3248</v>
      </c>
      <c r="D1042" s="141" t="s">
        <v>4</v>
      </c>
      <c r="E1042" s="180" t="s">
        <v>2451</v>
      </c>
      <c r="F1042" s="180">
        <v>31050411</v>
      </c>
      <c r="G1042" s="180"/>
      <c r="H1042" s="180" t="s">
        <v>3241</v>
      </c>
      <c r="I1042" s="364" t="s">
        <v>193</v>
      </c>
      <c r="J1042" s="393">
        <v>41844229.875</v>
      </c>
      <c r="K1042" s="484"/>
      <c r="L1042" s="394"/>
      <c r="M1042" s="394" t="s">
        <v>5133</v>
      </c>
      <c r="N1042" s="682">
        <v>100768663.17</v>
      </c>
      <c r="O1042" s="150" t="s">
        <v>2282</v>
      </c>
    </row>
    <row r="1043" spans="1:15" ht="83.25" customHeight="1" x14ac:dyDescent="0.35">
      <c r="A1043" s="272" t="s">
        <v>3738</v>
      </c>
      <c r="B1043" s="463" t="s">
        <v>2283</v>
      </c>
      <c r="C1043" s="457" t="s">
        <v>489</v>
      </c>
      <c r="D1043" s="141" t="s">
        <v>4</v>
      </c>
      <c r="E1043" s="180" t="s">
        <v>2451</v>
      </c>
      <c r="F1043" s="180">
        <v>31050411</v>
      </c>
      <c r="G1043" s="180"/>
      <c r="H1043" s="180" t="s">
        <v>3241</v>
      </c>
      <c r="I1043" s="364" t="s">
        <v>193</v>
      </c>
      <c r="J1043" s="393">
        <f>150000000+250000000</f>
        <v>400000000</v>
      </c>
      <c r="K1043" s="484">
        <v>200000000</v>
      </c>
      <c r="L1043" s="394"/>
      <c r="M1043" s="394" t="s">
        <v>5133</v>
      </c>
      <c r="N1043" s="682">
        <v>1371782432.3817</v>
      </c>
      <c r="O1043" s="150" t="s">
        <v>2283</v>
      </c>
    </row>
    <row r="1044" spans="1:15" ht="106.5" customHeight="1" x14ac:dyDescent="0.35">
      <c r="A1044" s="272" t="s">
        <v>3739</v>
      </c>
      <c r="B1044" s="463" t="s">
        <v>2284</v>
      </c>
      <c r="C1044" s="457" t="s">
        <v>2132</v>
      </c>
      <c r="D1044" s="141" t="s">
        <v>4</v>
      </c>
      <c r="E1044" s="180" t="s">
        <v>2451</v>
      </c>
      <c r="F1044" s="180">
        <v>31050411</v>
      </c>
      <c r="G1044" s="180"/>
      <c r="H1044" s="180" t="s">
        <v>3241</v>
      </c>
      <c r="I1044" s="364" t="s">
        <v>193</v>
      </c>
      <c r="J1044" s="393">
        <v>150000000</v>
      </c>
      <c r="K1044" s="484"/>
      <c r="L1044" s="394"/>
      <c r="M1044" s="394" t="s">
        <v>5133</v>
      </c>
      <c r="N1044" s="682">
        <v>1308034816.5602</v>
      </c>
      <c r="O1044" s="150" t="s">
        <v>2284</v>
      </c>
    </row>
    <row r="1045" spans="1:15" ht="36.75" customHeight="1" x14ac:dyDescent="0.35">
      <c r="A1045" s="272" t="s">
        <v>3740</v>
      </c>
      <c r="B1045" s="463" t="s">
        <v>2285</v>
      </c>
      <c r="C1045" s="457" t="s">
        <v>3264</v>
      </c>
      <c r="D1045" s="141" t="s">
        <v>4</v>
      </c>
      <c r="E1045" s="180" t="s">
        <v>2451</v>
      </c>
      <c r="F1045" s="180">
        <v>31050411</v>
      </c>
      <c r="G1045" s="180"/>
      <c r="H1045" s="180" t="s">
        <v>3241</v>
      </c>
      <c r="I1045" s="364" t="s">
        <v>193</v>
      </c>
      <c r="J1045" s="393">
        <v>40500000</v>
      </c>
      <c r="K1045" s="484"/>
      <c r="L1045" s="394"/>
      <c r="M1045" s="394" t="s">
        <v>5133</v>
      </c>
      <c r="N1045" s="682">
        <v>339143829.17019999</v>
      </c>
      <c r="O1045" s="150" t="s">
        <v>2285</v>
      </c>
    </row>
    <row r="1046" spans="1:15" ht="56.25" customHeight="1" x14ac:dyDescent="0.35">
      <c r="A1046" s="272" t="s">
        <v>3741</v>
      </c>
      <c r="B1046" s="463" t="s">
        <v>2286</v>
      </c>
      <c r="C1046" s="457" t="s">
        <v>636</v>
      </c>
      <c r="D1046" s="141" t="s">
        <v>4</v>
      </c>
      <c r="E1046" s="180" t="s">
        <v>2451</v>
      </c>
      <c r="F1046" s="180">
        <v>31050411</v>
      </c>
      <c r="G1046" s="180"/>
      <c r="H1046" s="180" t="s">
        <v>3241</v>
      </c>
      <c r="I1046" s="364" t="s">
        <v>168</v>
      </c>
      <c r="J1046" s="393">
        <v>140000000</v>
      </c>
      <c r="K1046" s="484"/>
      <c r="L1046" s="394"/>
      <c r="M1046" s="394" t="s">
        <v>5133</v>
      </c>
      <c r="N1046" s="682">
        <v>81763791.410700008</v>
      </c>
      <c r="O1046" s="150" t="s">
        <v>2286</v>
      </c>
    </row>
    <row r="1047" spans="1:15" ht="63" customHeight="1" x14ac:dyDescent="0.35">
      <c r="A1047" s="272" t="s">
        <v>3742</v>
      </c>
      <c r="B1047" s="463" t="s">
        <v>2287</v>
      </c>
      <c r="C1047" s="457" t="s">
        <v>3264</v>
      </c>
      <c r="D1047" s="141" t="s">
        <v>4</v>
      </c>
      <c r="E1047" s="180" t="s">
        <v>2451</v>
      </c>
      <c r="F1047" s="180">
        <v>31050411</v>
      </c>
      <c r="G1047" s="180"/>
      <c r="H1047" s="180" t="s">
        <v>3241</v>
      </c>
      <c r="I1047" s="364" t="s">
        <v>193</v>
      </c>
      <c r="J1047" s="393"/>
      <c r="K1047" s="484"/>
      <c r="L1047" s="394"/>
      <c r="M1047" s="394" t="s">
        <v>5133</v>
      </c>
      <c r="N1047" s="682">
        <v>45104433.595200002</v>
      </c>
      <c r="O1047" s="150" t="s">
        <v>2287</v>
      </c>
    </row>
    <row r="1048" spans="1:15" ht="33.75" customHeight="1" x14ac:dyDescent="0.35">
      <c r="A1048" s="272" t="s">
        <v>3743</v>
      </c>
      <c r="B1048" s="463" t="s">
        <v>2288</v>
      </c>
      <c r="C1048" s="457" t="s">
        <v>3265</v>
      </c>
      <c r="D1048" s="141" t="s">
        <v>4</v>
      </c>
      <c r="E1048" s="180" t="s">
        <v>2451</v>
      </c>
      <c r="F1048" s="180">
        <v>31050411</v>
      </c>
      <c r="G1048" s="180"/>
      <c r="H1048" s="180" t="s">
        <v>3241</v>
      </c>
      <c r="I1048" s="364" t="s">
        <v>193</v>
      </c>
      <c r="J1048" s="393">
        <v>5813311.6125000007</v>
      </c>
      <c r="K1048" s="484"/>
      <c r="L1048" s="394"/>
      <c r="M1048" s="394" t="s">
        <v>5133</v>
      </c>
      <c r="N1048" s="682">
        <v>50013414.751999997</v>
      </c>
      <c r="O1048" s="150" t="s">
        <v>2288</v>
      </c>
    </row>
    <row r="1049" spans="1:15" ht="64.5" customHeight="1" x14ac:dyDescent="0.35">
      <c r="A1049" s="272" t="s">
        <v>3744</v>
      </c>
      <c r="B1049" s="463" t="s">
        <v>2289</v>
      </c>
      <c r="C1049" s="457" t="s">
        <v>641</v>
      </c>
      <c r="D1049" s="141" t="s">
        <v>4</v>
      </c>
      <c r="E1049" s="180" t="s">
        <v>2451</v>
      </c>
      <c r="F1049" s="180">
        <v>31050411</v>
      </c>
      <c r="G1049" s="180"/>
      <c r="H1049" s="180" t="s">
        <v>3241</v>
      </c>
      <c r="I1049" s="364" t="s">
        <v>193</v>
      </c>
      <c r="J1049" s="393">
        <v>9424155.2540000007</v>
      </c>
      <c r="K1049" s="484"/>
      <c r="L1049" s="394"/>
      <c r="M1049" s="394" t="s">
        <v>5133</v>
      </c>
      <c r="N1049" s="682">
        <v>15607725.3675</v>
      </c>
      <c r="O1049" s="150" t="s">
        <v>2289</v>
      </c>
    </row>
    <row r="1050" spans="1:15" ht="63.75" customHeight="1" x14ac:dyDescent="0.35">
      <c r="A1050" s="272" t="s">
        <v>3745</v>
      </c>
      <c r="B1050" s="463" t="s">
        <v>2290</v>
      </c>
      <c r="C1050" s="457" t="s">
        <v>3266</v>
      </c>
      <c r="D1050" s="141" t="s">
        <v>4</v>
      </c>
      <c r="E1050" s="180" t="s">
        <v>2451</v>
      </c>
      <c r="F1050" s="180">
        <v>31050411</v>
      </c>
      <c r="G1050" s="180"/>
      <c r="H1050" s="180" t="s">
        <v>3241</v>
      </c>
      <c r="I1050" s="364" t="s">
        <v>193</v>
      </c>
      <c r="J1050" s="393">
        <v>110000000</v>
      </c>
      <c r="K1050" s="484"/>
      <c r="L1050" s="394"/>
      <c r="M1050" s="394" t="s">
        <v>5133</v>
      </c>
      <c r="N1050" s="682">
        <v>123482613.1455</v>
      </c>
      <c r="O1050" s="150" t="s">
        <v>2290</v>
      </c>
    </row>
    <row r="1051" spans="1:15" ht="59.25" customHeight="1" x14ac:dyDescent="0.35">
      <c r="A1051" s="272" t="s">
        <v>3746</v>
      </c>
      <c r="B1051" s="463" t="s">
        <v>2291</v>
      </c>
      <c r="C1051" s="457" t="s">
        <v>3259</v>
      </c>
      <c r="D1051" s="141" t="s">
        <v>4</v>
      </c>
      <c r="E1051" s="180" t="s">
        <v>2451</v>
      </c>
      <c r="F1051" s="180">
        <v>31050411</v>
      </c>
      <c r="G1051" s="180"/>
      <c r="H1051" s="180" t="s">
        <v>3241</v>
      </c>
      <c r="I1051" s="364" t="s">
        <v>193</v>
      </c>
      <c r="J1051" s="393">
        <v>12474878.3925</v>
      </c>
      <c r="K1051" s="484"/>
      <c r="L1051" s="394"/>
      <c r="M1051" s="394" t="s">
        <v>5133</v>
      </c>
      <c r="N1051" s="682">
        <v>138553520.9436</v>
      </c>
      <c r="O1051" s="150" t="s">
        <v>2291</v>
      </c>
    </row>
    <row r="1052" spans="1:15" ht="54" customHeight="1" x14ac:dyDescent="0.35">
      <c r="A1052" s="272" t="s">
        <v>3747</v>
      </c>
      <c r="B1052" s="463" t="s">
        <v>2292</v>
      </c>
      <c r="C1052" s="457" t="s">
        <v>3259</v>
      </c>
      <c r="D1052" s="141" t="s">
        <v>4</v>
      </c>
      <c r="E1052" s="180" t="s">
        <v>2451</v>
      </c>
      <c r="F1052" s="180">
        <v>31050411</v>
      </c>
      <c r="G1052" s="180"/>
      <c r="H1052" s="180" t="s">
        <v>3241</v>
      </c>
      <c r="I1052" s="364" t="s">
        <v>193</v>
      </c>
      <c r="J1052" s="393">
        <v>40000000</v>
      </c>
      <c r="K1052" s="484"/>
      <c r="L1052" s="394"/>
      <c r="M1052" s="394" t="s">
        <v>5133</v>
      </c>
      <c r="N1052" s="682">
        <v>12146400</v>
      </c>
      <c r="O1052" s="150" t="s">
        <v>2292</v>
      </c>
    </row>
    <row r="1053" spans="1:15" ht="57.75" customHeight="1" x14ac:dyDescent="0.35">
      <c r="A1053" s="272" t="s">
        <v>3748</v>
      </c>
      <c r="B1053" s="463" t="s">
        <v>2293</v>
      </c>
      <c r="C1053" s="457">
        <v>216</v>
      </c>
      <c r="D1053" s="141" t="s">
        <v>4</v>
      </c>
      <c r="E1053" s="180" t="s">
        <v>2451</v>
      </c>
      <c r="F1053" s="180">
        <v>31050411</v>
      </c>
      <c r="G1053" s="180"/>
      <c r="H1053" s="180" t="s">
        <v>3241</v>
      </c>
      <c r="I1053" s="364" t="s">
        <v>193</v>
      </c>
      <c r="J1053" s="393">
        <v>80000000</v>
      </c>
      <c r="K1053" s="484"/>
      <c r="L1053" s="394"/>
      <c r="M1053" s="394" t="s">
        <v>5133</v>
      </c>
      <c r="N1053" s="682">
        <v>47438387.098200001</v>
      </c>
      <c r="O1053" s="150" t="s">
        <v>2293</v>
      </c>
    </row>
    <row r="1054" spans="1:15" ht="59.25" customHeight="1" x14ac:dyDescent="0.35">
      <c r="A1054" s="272" t="s">
        <v>3749</v>
      </c>
      <c r="B1054" s="463" t="s">
        <v>2294</v>
      </c>
      <c r="C1054" s="457" t="s">
        <v>873</v>
      </c>
      <c r="D1054" s="141" t="s">
        <v>4</v>
      </c>
      <c r="E1054" s="180" t="s">
        <v>2451</v>
      </c>
      <c r="F1054" s="180">
        <v>31050411</v>
      </c>
      <c r="G1054" s="180"/>
      <c r="H1054" s="180" t="s">
        <v>3241</v>
      </c>
      <c r="I1054" s="364" t="s">
        <v>193</v>
      </c>
      <c r="J1054" s="393">
        <v>31076455.252500001</v>
      </c>
      <c r="K1054" s="627"/>
      <c r="L1054" s="394"/>
      <c r="M1054" s="394" t="s">
        <v>5133</v>
      </c>
      <c r="N1054" s="682">
        <v>22019291.613900002</v>
      </c>
      <c r="O1054" s="150" t="s">
        <v>2294</v>
      </c>
    </row>
    <row r="1055" spans="1:15" ht="79.5" customHeight="1" x14ac:dyDescent="0.35">
      <c r="A1055" s="272" t="s">
        <v>3750</v>
      </c>
      <c r="B1055" s="463" t="s">
        <v>2295</v>
      </c>
      <c r="C1055" s="457" t="s">
        <v>1798</v>
      </c>
      <c r="D1055" s="141" t="s">
        <v>4</v>
      </c>
      <c r="E1055" s="180" t="s">
        <v>2451</v>
      </c>
      <c r="F1055" s="180">
        <v>31050411</v>
      </c>
      <c r="G1055" s="180"/>
      <c r="H1055" s="180" t="s">
        <v>3241</v>
      </c>
      <c r="I1055" s="364" t="s">
        <v>168</v>
      </c>
      <c r="J1055" s="393">
        <v>200000000</v>
      </c>
      <c r="K1055" s="627">
        <v>120000000</v>
      </c>
      <c r="L1055" s="394"/>
      <c r="M1055" s="394" t="s">
        <v>5133</v>
      </c>
      <c r="N1055" s="682">
        <v>41596069.189499997</v>
      </c>
      <c r="O1055" s="150" t="s">
        <v>2295</v>
      </c>
    </row>
    <row r="1056" spans="1:15" ht="51" customHeight="1" x14ac:dyDescent="0.35">
      <c r="A1056" s="272" t="s">
        <v>3751</v>
      </c>
      <c r="B1056" s="463" t="s">
        <v>2296</v>
      </c>
      <c r="C1056" s="457" t="s">
        <v>1729</v>
      </c>
      <c r="D1056" s="141" t="s">
        <v>4</v>
      </c>
      <c r="E1056" s="180" t="s">
        <v>2451</v>
      </c>
      <c r="F1056" s="180">
        <v>31050411</v>
      </c>
      <c r="G1056" s="180"/>
      <c r="H1056" s="180" t="s">
        <v>3241</v>
      </c>
      <c r="I1056" s="364" t="s">
        <v>193</v>
      </c>
      <c r="J1056" s="393">
        <v>50000000</v>
      </c>
      <c r="K1056" s="627"/>
      <c r="L1056" s="394"/>
      <c r="M1056" s="394" t="s">
        <v>5133</v>
      </c>
      <c r="N1056" s="682">
        <v>10080000</v>
      </c>
      <c r="O1056" s="150" t="s">
        <v>2296</v>
      </c>
    </row>
    <row r="1057" spans="1:15" ht="63.75" customHeight="1" x14ac:dyDescent="0.35">
      <c r="A1057" s="272" t="s">
        <v>3752</v>
      </c>
      <c r="B1057" s="463" t="s">
        <v>2297</v>
      </c>
      <c r="C1057" s="457" t="s">
        <v>391</v>
      </c>
      <c r="D1057" s="141" t="s">
        <v>4</v>
      </c>
      <c r="E1057" s="180" t="s">
        <v>2451</v>
      </c>
      <c r="F1057" s="180">
        <v>31050411</v>
      </c>
      <c r="G1057" s="180"/>
      <c r="H1057" s="180" t="s">
        <v>3241</v>
      </c>
      <c r="I1057" s="364" t="s">
        <v>193</v>
      </c>
      <c r="J1057" s="393">
        <f>148133829.37-2245109.37</f>
        <v>145888720</v>
      </c>
      <c r="K1057" s="627"/>
      <c r="L1057" s="394"/>
      <c r="M1057" s="394" t="s">
        <v>5133</v>
      </c>
      <c r="N1057" s="682">
        <v>50200000</v>
      </c>
      <c r="O1057" s="150" t="s">
        <v>2297</v>
      </c>
    </row>
    <row r="1058" spans="1:15" ht="60.75" customHeight="1" x14ac:dyDescent="0.35">
      <c r="A1058" s="272" t="s">
        <v>3753</v>
      </c>
      <c r="B1058" s="463" t="s">
        <v>2298</v>
      </c>
      <c r="C1058" s="457" t="s">
        <v>3268</v>
      </c>
      <c r="D1058" s="141" t="s">
        <v>4</v>
      </c>
      <c r="E1058" s="180" t="s">
        <v>2451</v>
      </c>
      <c r="F1058" s="180">
        <v>31050411</v>
      </c>
      <c r="G1058" s="180"/>
      <c r="H1058" s="180" t="s">
        <v>3241</v>
      </c>
      <c r="I1058" s="364" t="s">
        <v>168</v>
      </c>
      <c r="J1058" s="393">
        <v>80000000</v>
      </c>
      <c r="K1058" s="627"/>
      <c r="L1058" s="394"/>
      <c r="M1058" s="394" t="s">
        <v>5133</v>
      </c>
      <c r="N1058" s="682">
        <v>108505940.00400001</v>
      </c>
      <c r="O1058" s="150" t="s">
        <v>2298</v>
      </c>
    </row>
    <row r="1059" spans="1:15" ht="63.75" customHeight="1" x14ac:dyDescent="0.35">
      <c r="A1059" s="272" t="s">
        <v>3754</v>
      </c>
      <c r="B1059" s="463" t="s">
        <v>2299</v>
      </c>
      <c r="C1059" s="457" t="s">
        <v>3267</v>
      </c>
      <c r="D1059" s="141" t="s">
        <v>4</v>
      </c>
      <c r="E1059" s="180" t="s">
        <v>2451</v>
      </c>
      <c r="F1059" s="180">
        <v>31050411</v>
      </c>
      <c r="G1059" s="180"/>
      <c r="H1059" s="180" t="s">
        <v>3241</v>
      </c>
      <c r="I1059" s="364" t="s">
        <v>193</v>
      </c>
      <c r="J1059" s="393">
        <v>9000000</v>
      </c>
      <c r="K1059" s="627"/>
      <c r="L1059" s="394"/>
      <c r="M1059" s="394" t="s">
        <v>5133</v>
      </c>
      <c r="N1059" s="682">
        <v>45765945.773100004</v>
      </c>
      <c r="O1059" s="150" t="s">
        <v>2299</v>
      </c>
    </row>
    <row r="1060" spans="1:15" ht="47.25" customHeight="1" x14ac:dyDescent="0.35">
      <c r="A1060" s="272" t="s">
        <v>3755</v>
      </c>
      <c r="B1060" s="463" t="s">
        <v>2300</v>
      </c>
      <c r="C1060" s="457" t="s">
        <v>635</v>
      </c>
      <c r="D1060" s="141" t="s">
        <v>4</v>
      </c>
      <c r="E1060" s="180" t="s">
        <v>2451</v>
      </c>
      <c r="F1060" s="180">
        <v>31050411</v>
      </c>
      <c r="G1060" s="180"/>
      <c r="H1060" s="180" t="s">
        <v>3241</v>
      </c>
      <c r="I1060" s="364" t="s">
        <v>193</v>
      </c>
      <c r="J1060" s="393">
        <f>19993782.375+300000000</f>
        <v>319993782.375</v>
      </c>
      <c r="K1060" s="627"/>
      <c r="L1060" s="394"/>
      <c r="M1060" s="394" t="s">
        <v>5133</v>
      </c>
      <c r="N1060" s="682">
        <v>45109160.5986</v>
      </c>
      <c r="O1060" s="150" t="s">
        <v>2300</v>
      </c>
    </row>
    <row r="1061" spans="1:15" ht="59.25" customHeight="1" x14ac:dyDescent="0.35">
      <c r="A1061" s="272" t="s">
        <v>3756</v>
      </c>
      <c r="B1061" s="463" t="s">
        <v>2301</v>
      </c>
      <c r="C1061" s="457" t="s">
        <v>419</v>
      </c>
      <c r="D1061" s="141" t="s">
        <v>4</v>
      </c>
      <c r="E1061" s="180" t="s">
        <v>2451</v>
      </c>
      <c r="F1061" s="180">
        <v>31050411</v>
      </c>
      <c r="G1061" s="180"/>
      <c r="H1061" s="180" t="s">
        <v>3241</v>
      </c>
      <c r="I1061" s="364" t="s">
        <v>193</v>
      </c>
      <c r="J1061" s="393">
        <v>100000000</v>
      </c>
      <c r="K1061" s="627">
        <v>200000000</v>
      </c>
      <c r="L1061" s="394"/>
      <c r="M1061" s="394" t="s">
        <v>5133</v>
      </c>
      <c r="N1061" s="682">
        <v>29388241.304099999</v>
      </c>
      <c r="O1061" s="150" t="s">
        <v>2301</v>
      </c>
    </row>
    <row r="1062" spans="1:15" ht="62.25" customHeight="1" x14ac:dyDescent="0.35">
      <c r="A1062" s="272" t="s">
        <v>3757</v>
      </c>
      <c r="B1062" s="463" t="s">
        <v>2302</v>
      </c>
      <c r="C1062" s="457">
        <v>216</v>
      </c>
      <c r="D1062" s="141" t="s">
        <v>4</v>
      </c>
      <c r="E1062" s="180" t="s">
        <v>2451</v>
      </c>
      <c r="F1062" s="180">
        <v>31050411</v>
      </c>
      <c r="G1062" s="180"/>
      <c r="H1062" s="180" t="s">
        <v>3241</v>
      </c>
      <c r="I1062" s="364" t="s">
        <v>193</v>
      </c>
      <c r="J1062" s="393">
        <v>50000000</v>
      </c>
      <c r="K1062" s="627"/>
      <c r="L1062" s="394"/>
      <c r="M1062" s="394" t="s">
        <v>5133</v>
      </c>
      <c r="N1062" s="682">
        <v>33423081.300000001</v>
      </c>
      <c r="O1062" s="150" t="s">
        <v>2302</v>
      </c>
    </row>
    <row r="1063" spans="1:15" ht="62.25" customHeight="1" x14ac:dyDescent="0.35">
      <c r="A1063" s="272" t="s">
        <v>3758</v>
      </c>
      <c r="B1063" s="463" t="s">
        <v>2303</v>
      </c>
      <c r="C1063" s="457" t="s">
        <v>391</v>
      </c>
      <c r="D1063" s="141" t="s">
        <v>4</v>
      </c>
      <c r="E1063" s="180" t="s">
        <v>2451</v>
      </c>
      <c r="F1063" s="180">
        <v>31050411</v>
      </c>
      <c r="G1063" s="180"/>
      <c r="H1063" s="180" t="s">
        <v>3241</v>
      </c>
      <c r="I1063" s="364" t="s">
        <v>168</v>
      </c>
      <c r="J1063" s="393">
        <v>3458129.0625</v>
      </c>
      <c r="K1063" s="627"/>
      <c r="L1063" s="394"/>
      <c r="M1063" s="394" t="s">
        <v>5133</v>
      </c>
      <c r="N1063" s="682">
        <v>156625334.47260001</v>
      </c>
      <c r="O1063" s="150" t="s">
        <v>2303</v>
      </c>
    </row>
    <row r="1064" spans="1:15" ht="37.5" customHeight="1" x14ac:dyDescent="0.35">
      <c r="A1064" s="272" t="s">
        <v>3759</v>
      </c>
      <c r="B1064" s="463" t="s">
        <v>2304</v>
      </c>
      <c r="C1064" s="457" t="s">
        <v>391</v>
      </c>
      <c r="D1064" s="141" t="s">
        <v>4</v>
      </c>
      <c r="E1064" s="180" t="s">
        <v>2451</v>
      </c>
      <c r="F1064" s="180">
        <v>31050411</v>
      </c>
      <c r="G1064" s="180"/>
      <c r="H1064" s="180" t="s">
        <v>3241</v>
      </c>
      <c r="I1064" s="364" t="s">
        <v>193</v>
      </c>
      <c r="J1064" s="393">
        <v>10929534.525</v>
      </c>
      <c r="K1064" s="627"/>
      <c r="L1064" s="394"/>
      <c r="M1064" s="394" t="s">
        <v>5133</v>
      </c>
      <c r="N1064" s="682">
        <v>94291878.995999992</v>
      </c>
      <c r="O1064" s="150" t="s">
        <v>2304</v>
      </c>
    </row>
    <row r="1065" spans="1:15" ht="67.5" customHeight="1" x14ac:dyDescent="0.35">
      <c r="A1065" s="272" t="s">
        <v>3760</v>
      </c>
      <c r="B1065" s="463" t="s">
        <v>2305</v>
      </c>
      <c r="C1065" s="457" t="s">
        <v>3269</v>
      </c>
      <c r="D1065" s="141" t="s">
        <v>4</v>
      </c>
      <c r="E1065" s="180" t="s">
        <v>2451</v>
      </c>
      <c r="F1065" s="180">
        <v>31050411</v>
      </c>
      <c r="G1065" s="180"/>
      <c r="H1065" s="180" t="s">
        <v>3241</v>
      </c>
      <c r="I1065" s="364" t="s">
        <v>193</v>
      </c>
      <c r="J1065" s="393">
        <v>4423373.3250000002</v>
      </c>
      <c r="K1065" s="627"/>
      <c r="L1065" s="394"/>
      <c r="M1065" s="394" t="s">
        <v>5133</v>
      </c>
      <c r="N1065" s="682">
        <v>166096237.92930001</v>
      </c>
      <c r="O1065" s="150" t="s">
        <v>2305</v>
      </c>
    </row>
    <row r="1066" spans="1:15" ht="67.5" customHeight="1" x14ac:dyDescent="0.35">
      <c r="A1066" s="272" t="s">
        <v>3761</v>
      </c>
      <c r="B1066" s="463" t="s">
        <v>2306</v>
      </c>
      <c r="C1066" s="457">
        <v>216</v>
      </c>
      <c r="D1066" s="141" t="s">
        <v>4</v>
      </c>
      <c r="E1066" s="180" t="s">
        <v>2451</v>
      </c>
      <c r="F1066" s="180">
        <v>31050411</v>
      </c>
      <c r="G1066" s="180"/>
      <c r="H1066" s="180" t="s">
        <v>3241</v>
      </c>
      <c r="I1066" s="364" t="s">
        <v>193</v>
      </c>
      <c r="J1066" s="393">
        <v>250000000</v>
      </c>
      <c r="K1066" s="627"/>
      <c r="L1066" s="394"/>
      <c r="M1066" s="394" t="s">
        <v>5133</v>
      </c>
      <c r="N1066" s="682">
        <v>55440000</v>
      </c>
      <c r="O1066" s="150" t="s">
        <v>2306</v>
      </c>
    </row>
    <row r="1067" spans="1:15" ht="67.5" customHeight="1" x14ac:dyDescent="0.35">
      <c r="A1067" s="272" t="s">
        <v>3762</v>
      </c>
      <c r="B1067" s="463" t="s">
        <v>2307</v>
      </c>
      <c r="C1067" s="457">
        <v>108</v>
      </c>
      <c r="D1067" s="141" t="s">
        <v>4</v>
      </c>
      <c r="E1067" s="180" t="s">
        <v>2451</v>
      </c>
      <c r="F1067" s="180">
        <v>31050411</v>
      </c>
      <c r="G1067" s="180"/>
      <c r="H1067" s="180" t="s">
        <v>3241</v>
      </c>
      <c r="I1067" s="364" t="s">
        <v>193</v>
      </c>
      <c r="J1067" s="393">
        <v>5482341.1125000007</v>
      </c>
      <c r="K1067" s="627"/>
      <c r="L1067" s="394"/>
      <c r="M1067" s="394" t="s">
        <v>5133</v>
      </c>
      <c r="N1067" s="682">
        <v>55440000</v>
      </c>
      <c r="O1067" s="150" t="s">
        <v>2307</v>
      </c>
    </row>
    <row r="1068" spans="1:15" ht="56.25" customHeight="1" x14ac:dyDescent="0.35">
      <c r="A1068" s="272" t="s">
        <v>3763</v>
      </c>
      <c r="B1068" s="463" t="s">
        <v>2308</v>
      </c>
      <c r="C1068" s="457">
        <v>108</v>
      </c>
      <c r="D1068" s="141" t="s">
        <v>4</v>
      </c>
      <c r="E1068" s="180" t="s">
        <v>2451</v>
      </c>
      <c r="F1068" s="180">
        <v>31050411</v>
      </c>
      <c r="G1068" s="180"/>
      <c r="H1068" s="180" t="s">
        <v>3241</v>
      </c>
      <c r="I1068" s="364" t="s">
        <v>193</v>
      </c>
      <c r="J1068" s="393">
        <v>100000000</v>
      </c>
      <c r="K1068" s="627"/>
      <c r="L1068" s="394"/>
      <c r="M1068" s="394" t="s">
        <v>5133</v>
      </c>
      <c r="N1068" s="682">
        <v>62990951.184</v>
      </c>
      <c r="O1068" s="150" t="s">
        <v>2308</v>
      </c>
    </row>
    <row r="1069" spans="1:15" ht="39.75" customHeight="1" x14ac:dyDescent="0.35">
      <c r="A1069" s="272" t="s">
        <v>3764</v>
      </c>
      <c r="B1069" s="463" t="s">
        <v>2309</v>
      </c>
      <c r="C1069" s="457" t="s">
        <v>196</v>
      </c>
      <c r="D1069" s="141" t="s">
        <v>4</v>
      </c>
      <c r="E1069" s="180" t="s">
        <v>2451</v>
      </c>
      <c r="F1069" s="180">
        <v>31050411</v>
      </c>
      <c r="G1069" s="180"/>
      <c r="H1069" s="180" t="s">
        <v>3241</v>
      </c>
      <c r="I1069" s="364" t="s">
        <v>193</v>
      </c>
      <c r="J1069" s="393">
        <f>300000000+400000000</f>
        <v>700000000</v>
      </c>
      <c r="K1069" s="627">
        <v>150000000</v>
      </c>
      <c r="L1069" s="394"/>
      <c r="M1069" s="394" t="s">
        <v>5133</v>
      </c>
      <c r="N1069" s="682">
        <v>62909005.225499995</v>
      </c>
      <c r="O1069" s="150" t="s">
        <v>2309</v>
      </c>
    </row>
    <row r="1070" spans="1:15" ht="39.75" customHeight="1" x14ac:dyDescent="0.35">
      <c r="A1070" s="272" t="s">
        <v>3765</v>
      </c>
      <c r="B1070" s="463" t="s">
        <v>2310</v>
      </c>
      <c r="C1070" s="457" t="s">
        <v>3270</v>
      </c>
      <c r="D1070" s="141" t="s">
        <v>4</v>
      </c>
      <c r="E1070" s="180" t="s">
        <v>2451</v>
      </c>
      <c r="F1070" s="180">
        <v>31050411</v>
      </c>
      <c r="G1070" s="180"/>
      <c r="H1070" s="180" t="s">
        <v>3241</v>
      </c>
      <c r="I1070" s="364" t="s">
        <v>193</v>
      </c>
      <c r="J1070" s="393">
        <v>50000000</v>
      </c>
      <c r="K1070" s="627"/>
      <c r="L1070" s="394"/>
      <c r="M1070" s="394" t="s">
        <v>5133</v>
      </c>
      <c r="N1070" s="682">
        <v>19301169.604499999</v>
      </c>
      <c r="O1070" s="150" t="s">
        <v>2310</v>
      </c>
    </row>
    <row r="1071" spans="1:15" ht="48.75" customHeight="1" x14ac:dyDescent="0.35">
      <c r="A1071" s="272" t="s">
        <v>3766</v>
      </c>
      <c r="B1071" s="463" t="s">
        <v>2311</v>
      </c>
      <c r="C1071" s="457" t="s">
        <v>1659</v>
      </c>
      <c r="D1071" s="141" t="s">
        <v>4</v>
      </c>
      <c r="E1071" s="180" t="s">
        <v>2451</v>
      </c>
      <c r="F1071" s="180">
        <v>31050411</v>
      </c>
      <c r="G1071" s="180"/>
      <c r="H1071" s="180" t="s">
        <v>3241</v>
      </c>
      <c r="I1071" s="364" t="s">
        <v>193</v>
      </c>
      <c r="J1071" s="393">
        <v>100000000</v>
      </c>
      <c r="K1071" s="627"/>
      <c r="L1071" s="394"/>
      <c r="M1071" s="394" t="s">
        <v>5133</v>
      </c>
      <c r="N1071" s="682">
        <v>61386205.104000002</v>
      </c>
      <c r="O1071" s="150" t="s">
        <v>2311</v>
      </c>
    </row>
    <row r="1072" spans="1:15" ht="63" customHeight="1" x14ac:dyDescent="0.35">
      <c r="A1072" s="272" t="s">
        <v>3767</v>
      </c>
      <c r="B1072" s="463" t="s">
        <v>2312</v>
      </c>
      <c r="C1072" s="457" t="s">
        <v>379</v>
      </c>
      <c r="D1072" s="141" t="s">
        <v>4</v>
      </c>
      <c r="E1072" s="180" t="s">
        <v>2451</v>
      </c>
      <c r="F1072" s="180">
        <v>31050411</v>
      </c>
      <c r="G1072" s="180"/>
      <c r="H1072" s="180" t="s">
        <v>3241</v>
      </c>
      <c r="I1072" s="364" t="s">
        <v>193</v>
      </c>
      <c r="J1072" s="393">
        <v>100000000</v>
      </c>
      <c r="K1072" s="627">
        <v>228914531</v>
      </c>
      <c r="L1072" s="394"/>
      <c r="M1072" s="394" t="s">
        <v>5133</v>
      </c>
      <c r="N1072" s="682">
        <v>35215591.508999996</v>
      </c>
      <c r="O1072" s="150" t="s">
        <v>2312</v>
      </c>
    </row>
    <row r="1073" spans="1:15" ht="51.75" customHeight="1" x14ac:dyDescent="0.35">
      <c r="A1073" s="272" t="s">
        <v>3768</v>
      </c>
      <c r="B1073" s="463" t="s">
        <v>2313</v>
      </c>
      <c r="C1073" s="457">
        <v>108</v>
      </c>
      <c r="D1073" s="141" t="s">
        <v>4</v>
      </c>
      <c r="E1073" s="180" t="s">
        <v>2451</v>
      </c>
      <c r="F1073" s="180">
        <v>31050411</v>
      </c>
      <c r="G1073" s="180"/>
      <c r="H1073" s="180" t="s">
        <v>3241</v>
      </c>
      <c r="I1073" s="364" t="s">
        <v>193</v>
      </c>
      <c r="J1073" s="393"/>
      <c r="K1073" s="627"/>
      <c r="L1073" s="394"/>
      <c r="M1073" s="394" t="s">
        <v>5133</v>
      </c>
      <c r="N1073" s="682">
        <v>32217944.723999999</v>
      </c>
      <c r="O1073" s="150" t="s">
        <v>2313</v>
      </c>
    </row>
    <row r="1074" spans="1:15" ht="65.25" customHeight="1" x14ac:dyDescent="0.35">
      <c r="A1074" s="272" t="s">
        <v>3769</v>
      </c>
      <c r="B1074" s="463" t="s">
        <v>2314</v>
      </c>
      <c r="C1074" s="457" t="s">
        <v>637</v>
      </c>
      <c r="D1074" s="141" t="s">
        <v>4</v>
      </c>
      <c r="E1074" s="180" t="s">
        <v>2451</v>
      </c>
      <c r="F1074" s="180">
        <v>31050411</v>
      </c>
      <c r="G1074" s="180"/>
      <c r="H1074" s="180" t="s">
        <v>3241</v>
      </c>
      <c r="I1074" s="364" t="s">
        <v>193</v>
      </c>
      <c r="J1074" s="393">
        <v>50000000</v>
      </c>
      <c r="K1074" s="627"/>
      <c r="L1074" s="394"/>
      <c r="M1074" s="394" t="s">
        <v>5133</v>
      </c>
      <c r="N1074" s="682">
        <v>47216319.443999998</v>
      </c>
      <c r="O1074" s="150" t="s">
        <v>2314</v>
      </c>
    </row>
    <row r="1075" spans="1:15" ht="60.75" customHeight="1" x14ac:dyDescent="0.35">
      <c r="A1075" s="272" t="s">
        <v>3770</v>
      </c>
      <c r="B1075" s="463" t="s">
        <v>2315</v>
      </c>
      <c r="C1075" s="457">
        <v>325</v>
      </c>
      <c r="D1075" s="141" t="s">
        <v>4</v>
      </c>
      <c r="E1075" s="180" t="s">
        <v>2451</v>
      </c>
      <c r="F1075" s="180">
        <v>31050411</v>
      </c>
      <c r="G1075" s="180"/>
      <c r="H1075" s="180" t="s">
        <v>3241</v>
      </c>
      <c r="I1075" s="364" t="s">
        <v>193</v>
      </c>
      <c r="J1075" s="393">
        <v>100000000</v>
      </c>
      <c r="K1075" s="627"/>
      <c r="L1075" s="394"/>
      <c r="M1075" s="394" t="s">
        <v>5133</v>
      </c>
      <c r="N1075" s="682">
        <v>47497742.4789</v>
      </c>
      <c r="O1075" s="150" t="s">
        <v>2315</v>
      </c>
    </row>
    <row r="1076" spans="1:15" ht="62.25" customHeight="1" x14ac:dyDescent="0.35">
      <c r="A1076" s="272" t="s">
        <v>3771</v>
      </c>
      <c r="B1076" s="463" t="s">
        <v>2316</v>
      </c>
      <c r="C1076" s="457">
        <v>325</v>
      </c>
      <c r="D1076" s="141" t="s">
        <v>4</v>
      </c>
      <c r="E1076" s="180" t="s">
        <v>2451</v>
      </c>
      <c r="F1076" s="180">
        <v>31050411</v>
      </c>
      <c r="G1076" s="180"/>
      <c r="H1076" s="180" t="s">
        <v>3241</v>
      </c>
      <c r="I1076" s="364" t="s">
        <v>193</v>
      </c>
      <c r="J1076" s="393">
        <v>100000000</v>
      </c>
      <c r="K1076" s="627"/>
      <c r="L1076" s="394"/>
      <c r="M1076" s="394" t="s">
        <v>5133</v>
      </c>
      <c r="N1076" s="682">
        <v>602819384.18990004</v>
      </c>
      <c r="O1076" s="150" t="s">
        <v>2316</v>
      </c>
    </row>
    <row r="1077" spans="1:15" ht="54.75" customHeight="1" x14ac:dyDescent="0.35">
      <c r="A1077" s="272" t="s">
        <v>3772</v>
      </c>
      <c r="B1077" s="463" t="s">
        <v>2317</v>
      </c>
      <c r="C1077" s="457" t="s">
        <v>640</v>
      </c>
      <c r="D1077" s="141" t="s">
        <v>4</v>
      </c>
      <c r="E1077" s="180" t="s">
        <v>2451</v>
      </c>
      <c r="F1077" s="180">
        <v>31050411</v>
      </c>
      <c r="G1077" s="180"/>
      <c r="H1077" s="180" t="s">
        <v>3241</v>
      </c>
      <c r="I1077" s="364" t="s">
        <v>193</v>
      </c>
      <c r="J1077" s="393">
        <v>50000000</v>
      </c>
      <c r="K1077" s="627"/>
      <c r="L1077" s="394"/>
      <c r="M1077" s="394" t="s">
        <v>5133</v>
      </c>
      <c r="N1077" s="682">
        <v>29346385.527899999</v>
      </c>
      <c r="O1077" s="150" t="s">
        <v>2317</v>
      </c>
    </row>
    <row r="1078" spans="1:15" ht="36.75" customHeight="1" x14ac:dyDescent="0.35">
      <c r="A1078" s="272" t="s">
        <v>3773</v>
      </c>
      <c r="B1078" s="463" t="s">
        <v>2318</v>
      </c>
      <c r="C1078" s="457" t="s">
        <v>3271</v>
      </c>
      <c r="D1078" s="141" t="s">
        <v>4</v>
      </c>
      <c r="E1078" s="180" t="s">
        <v>2451</v>
      </c>
      <c r="F1078" s="180">
        <v>31050411</v>
      </c>
      <c r="G1078" s="180"/>
      <c r="H1078" s="180" t="s">
        <v>3241</v>
      </c>
      <c r="I1078" s="364" t="s">
        <v>193</v>
      </c>
      <c r="J1078" s="393">
        <v>12497851.800000001</v>
      </c>
      <c r="K1078" s="627"/>
      <c r="L1078" s="394"/>
      <c r="M1078" s="394" t="s">
        <v>5133</v>
      </c>
      <c r="N1078" s="682">
        <v>40487582.457000002</v>
      </c>
      <c r="O1078" s="150" t="s">
        <v>2318</v>
      </c>
    </row>
    <row r="1079" spans="1:15" ht="59.25" customHeight="1" x14ac:dyDescent="0.35">
      <c r="A1079" s="272" t="s">
        <v>3774</v>
      </c>
      <c r="B1079" s="463" t="s">
        <v>2319</v>
      </c>
      <c r="C1079" s="457" t="s">
        <v>3271</v>
      </c>
      <c r="D1079" s="141" t="s">
        <v>4</v>
      </c>
      <c r="E1079" s="180" t="s">
        <v>2451</v>
      </c>
      <c r="F1079" s="180">
        <v>31050411</v>
      </c>
      <c r="G1079" s="180"/>
      <c r="H1079" s="180" t="s">
        <v>3241</v>
      </c>
      <c r="I1079" s="364" t="s">
        <v>193</v>
      </c>
      <c r="J1079" s="393">
        <v>76591942.879999995</v>
      </c>
      <c r="K1079" s="627"/>
      <c r="L1079" s="394"/>
      <c r="M1079" s="394" t="s">
        <v>5133</v>
      </c>
      <c r="N1079" s="682">
        <v>62967391.200000003</v>
      </c>
      <c r="O1079" s="150" t="s">
        <v>2319</v>
      </c>
    </row>
    <row r="1080" spans="1:15" ht="58.5" customHeight="1" x14ac:dyDescent="0.35">
      <c r="A1080" s="272" t="s">
        <v>3775</v>
      </c>
      <c r="B1080" s="463" t="s">
        <v>2320</v>
      </c>
      <c r="C1080" s="457" t="s">
        <v>633</v>
      </c>
      <c r="D1080" s="141" t="s">
        <v>4</v>
      </c>
      <c r="E1080" s="180" t="s">
        <v>2451</v>
      </c>
      <c r="F1080" s="180">
        <v>31050411</v>
      </c>
      <c r="G1080" s="180"/>
      <c r="H1080" s="180" t="s">
        <v>3241</v>
      </c>
      <c r="I1080" s="364" t="s">
        <v>193</v>
      </c>
      <c r="J1080" s="393">
        <f>200000000+500000000</f>
        <v>700000000</v>
      </c>
      <c r="K1080" s="627">
        <v>250000000</v>
      </c>
      <c r="L1080" s="394"/>
      <c r="M1080" s="394" t="s">
        <v>5133</v>
      </c>
      <c r="N1080" s="683">
        <v>69000000</v>
      </c>
      <c r="O1080" s="150" t="s">
        <v>2320</v>
      </c>
    </row>
    <row r="1081" spans="1:15" ht="61.5" customHeight="1" x14ac:dyDescent="0.35">
      <c r="A1081" s="272" t="s">
        <v>3776</v>
      </c>
      <c r="B1081" s="463" t="s">
        <v>2321</v>
      </c>
      <c r="C1081" s="457" t="s">
        <v>1729</v>
      </c>
      <c r="D1081" s="141" t="s">
        <v>4</v>
      </c>
      <c r="E1081" s="180" t="s">
        <v>2451</v>
      </c>
      <c r="F1081" s="180">
        <v>31050411</v>
      </c>
      <c r="G1081" s="180"/>
      <c r="H1081" s="180" t="s">
        <v>3241</v>
      </c>
      <c r="I1081" s="364" t="s">
        <v>193</v>
      </c>
      <c r="J1081" s="393">
        <f>200000000+700000000</f>
        <v>900000000</v>
      </c>
      <c r="K1081" s="627"/>
      <c r="L1081" s="394"/>
      <c r="M1081" s="394" t="s">
        <v>5133</v>
      </c>
      <c r="N1081" s="682">
        <v>36488358.522</v>
      </c>
      <c r="O1081" s="150" t="s">
        <v>2321</v>
      </c>
    </row>
    <row r="1082" spans="1:15" ht="62.25" customHeight="1" x14ac:dyDescent="0.35">
      <c r="A1082" s="272" t="s">
        <v>3777</v>
      </c>
      <c r="B1082" s="463" t="s">
        <v>2322</v>
      </c>
      <c r="C1082" s="457">
        <v>213</v>
      </c>
      <c r="D1082" s="141" t="s">
        <v>4</v>
      </c>
      <c r="E1082" s="180" t="s">
        <v>2451</v>
      </c>
      <c r="F1082" s="180">
        <v>31050411</v>
      </c>
      <c r="G1082" s="180"/>
      <c r="H1082" s="180" t="s">
        <v>3241</v>
      </c>
      <c r="I1082" s="364" t="s">
        <v>193</v>
      </c>
      <c r="J1082" s="393">
        <v>7239753.6750000007</v>
      </c>
      <c r="K1082" s="627"/>
      <c r="L1082" s="394"/>
      <c r="M1082" s="394" t="s">
        <v>5133</v>
      </c>
      <c r="N1082" s="682">
        <v>100594355.59200001</v>
      </c>
      <c r="O1082" s="150" t="s">
        <v>2322</v>
      </c>
    </row>
    <row r="1083" spans="1:15" ht="54.75" customHeight="1" x14ac:dyDescent="0.35">
      <c r="A1083" s="272" t="s">
        <v>3778</v>
      </c>
      <c r="B1083" s="463" t="s">
        <v>2323</v>
      </c>
      <c r="C1083" s="457">
        <v>213</v>
      </c>
      <c r="D1083" s="141" t="s">
        <v>4</v>
      </c>
      <c r="E1083" s="180" t="s">
        <v>2451</v>
      </c>
      <c r="F1083" s="180">
        <v>31050411</v>
      </c>
      <c r="G1083" s="180"/>
      <c r="H1083" s="180" t="s">
        <v>3241</v>
      </c>
      <c r="I1083" s="364" t="s">
        <v>193</v>
      </c>
      <c r="J1083" s="393">
        <v>100000000</v>
      </c>
      <c r="K1083" s="627"/>
      <c r="L1083" s="394"/>
      <c r="M1083" s="394" t="s">
        <v>5133</v>
      </c>
      <c r="N1083" s="682">
        <v>250898473.52179998</v>
      </c>
      <c r="O1083" s="150" t="s">
        <v>2323</v>
      </c>
    </row>
    <row r="1084" spans="1:15" ht="60.75" customHeight="1" x14ac:dyDescent="0.35">
      <c r="A1084" s="272" t="s">
        <v>3779</v>
      </c>
      <c r="B1084" s="463" t="s">
        <v>2324</v>
      </c>
      <c r="C1084" s="457" t="s">
        <v>644</v>
      </c>
      <c r="D1084" s="141" t="s">
        <v>4</v>
      </c>
      <c r="E1084" s="180" t="s">
        <v>2451</v>
      </c>
      <c r="F1084" s="180">
        <v>31050411</v>
      </c>
      <c r="G1084" s="180"/>
      <c r="H1084" s="180" t="s">
        <v>3241</v>
      </c>
      <c r="I1084" s="364" t="s">
        <v>193</v>
      </c>
      <c r="J1084" s="393">
        <v>20479855.858000003</v>
      </c>
      <c r="K1084" s="627"/>
      <c r="L1084" s="394"/>
      <c r="M1084" s="394" t="s">
        <v>5133</v>
      </c>
      <c r="N1084" s="682">
        <v>61740000</v>
      </c>
      <c r="O1084" s="150" t="s">
        <v>2324</v>
      </c>
    </row>
    <row r="1085" spans="1:15" ht="75" customHeight="1" x14ac:dyDescent="0.35">
      <c r="A1085" s="272" t="s">
        <v>3780</v>
      </c>
      <c r="B1085" s="463" t="s">
        <v>2325</v>
      </c>
      <c r="C1085" s="457">
        <v>216</v>
      </c>
      <c r="D1085" s="141" t="s">
        <v>4</v>
      </c>
      <c r="E1085" s="180" t="s">
        <v>2451</v>
      </c>
      <c r="F1085" s="180">
        <v>31050411</v>
      </c>
      <c r="G1085" s="180"/>
      <c r="H1085" s="180" t="s">
        <v>3241</v>
      </c>
      <c r="I1085" s="364" t="s">
        <v>193</v>
      </c>
      <c r="J1085" s="393">
        <v>9389249.415000001</v>
      </c>
      <c r="K1085" s="627"/>
      <c r="L1085" s="394"/>
      <c r="M1085" s="394" t="s">
        <v>5133</v>
      </c>
      <c r="N1085" s="683">
        <v>70000000</v>
      </c>
      <c r="O1085" s="150" t="s">
        <v>2325</v>
      </c>
    </row>
    <row r="1086" spans="1:15" ht="37.5" customHeight="1" x14ac:dyDescent="0.35">
      <c r="A1086" s="272" t="s">
        <v>3781</v>
      </c>
      <c r="B1086" s="463" t="s">
        <v>2326</v>
      </c>
      <c r="C1086" s="457" t="s">
        <v>379</v>
      </c>
      <c r="D1086" s="141" t="s">
        <v>4</v>
      </c>
      <c r="E1086" s="180" t="s">
        <v>2451</v>
      </c>
      <c r="F1086" s="180">
        <v>31050411</v>
      </c>
      <c r="G1086" s="180"/>
      <c r="H1086" s="180" t="s">
        <v>3241</v>
      </c>
      <c r="I1086" s="364" t="s">
        <v>193</v>
      </c>
      <c r="J1086" s="393">
        <v>18708706.169999998</v>
      </c>
      <c r="K1086" s="627"/>
      <c r="L1086" s="394"/>
      <c r="M1086" s="394" t="s">
        <v>5133</v>
      </c>
      <c r="N1086" s="682">
        <v>85000000</v>
      </c>
      <c r="O1086" s="150" t="s">
        <v>2326</v>
      </c>
    </row>
    <row r="1087" spans="1:15" ht="65.25" customHeight="1" x14ac:dyDescent="0.35">
      <c r="A1087" s="272" t="s">
        <v>3782</v>
      </c>
      <c r="B1087" s="463" t="s">
        <v>2327</v>
      </c>
      <c r="C1087" s="457">
        <v>325</v>
      </c>
      <c r="D1087" s="141" t="s">
        <v>4</v>
      </c>
      <c r="E1087" s="180" t="s">
        <v>2451</v>
      </c>
      <c r="F1087" s="180">
        <v>31050411</v>
      </c>
      <c r="G1087" s="180"/>
      <c r="H1087" s="180" t="s">
        <v>3241</v>
      </c>
      <c r="I1087" s="364" t="s">
        <v>193</v>
      </c>
      <c r="J1087" s="393">
        <v>100000000</v>
      </c>
      <c r="K1087" s="627"/>
      <c r="L1087" s="394"/>
      <c r="M1087" s="394" t="s">
        <v>5133</v>
      </c>
      <c r="N1087" s="682">
        <v>117026814</v>
      </c>
      <c r="O1087" s="150" t="s">
        <v>2327</v>
      </c>
    </row>
    <row r="1088" spans="1:15" ht="54.75" customHeight="1" x14ac:dyDescent="0.35">
      <c r="A1088" s="272" t="s">
        <v>3783</v>
      </c>
      <c r="B1088" s="463" t="s">
        <v>2328</v>
      </c>
      <c r="C1088" s="457" t="s">
        <v>619</v>
      </c>
      <c r="D1088" s="141" t="s">
        <v>4</v>
      </c>
      <c r="E1088" s="180" t="s">
        <v>2451</v>
      </c>
      <c r="F1088" s="180">
        <v>31050411</v>
      </c>
      <c r="G1088" s="180"/>
      <c r="H1088" s="180" t="s">
        <v>3241</v>
      </c>
      <c r="I1088" s="364" t="s">
        <v>193</v>
      </c>
      <c r="J1088" s="393">
        <v>8435129.7255000006</v>
      </c>
      <c r="K1088" s="627"/>
      <c r="L1088" s="394"/>
      <c r="M1088" s="394" t="s">
        <v>5133</v>
      </c>
      <c r="N1088" s="682">
        <v>600000000</v>
      </c>
      <c r="O1088" s="150" t="s">
        <v>2328</v>
      </c>
    </row>
    <row r="1089" spans="1:15" ht="67.5" customHeight="1" x14ac:dyDescent="0.35">
      <c r="A1089" s="272" t="s">
        <v>3784</v>
      </c>
      <c r="B1089" s="463" t="s">
        <v>2329</v>
      </c>
      <c r="C1089" s="457" t="s">
        <v>3272</v>
      </c>
      <c r="D1089" s="141" t="s">
        <v>4</v>
      </c>
      <c r="E1089" s="180" t="s">
        <v>2451</v>
      </c>
      <c r="F1089" s="180">
        <v>31050411</v>
      </c>
      <c r="G1089" s="180"/>
      <c r="H1089" s="180" t="s">
        <v>3241</v>
      </c>
      <c r="I1089" s="364" t="s">
        <v>193</v>
      </c>
      <c r="J1089" s="488">
        <v>16288656.930000002</v>
      </c>
      <c r="K1089" s="627"/>
      <c r="L1089" s="394"/>
      <c r="M1089" s="394" t="s">
        <v>5133</v>
      </c>
      <c r="N1089" s="682">
        <v>1000000000</v>
      </c>
      <c r="O1089" s="150" t="s">
        <v>2329</v>
      </c>
    </row>
    <row r="1090" spans="1:15" ht="40.5" customHeight="1" x14ac:dyDescent="0.35">
      <c r="A1090" s="272" t="s">
        <v>3785</v>
      </c>
      <c r="B1090" s="463" t="s">
        <v>2330</v>
      </c>
      <c r="C1090" s="457">
        <v>216</v>
      </c>
      <c r="D1090" s="141" t="s">
        <v>4</v>
      </c>
      <c r="E1090" s="180" t="s">
        <v>2451</v>
      </c>
      <c r="F1090" s="180">
        <v>31050411</v>
      </c>
      <c r="G1090" s="180"/>
      <c r="H1090" s="180" t="s">
        <v>3241</v>
      </c>
      <c r="I1090" s="364" t="s">
        <v>193</v>
      </c>
      <c r="J1090" s="393">
        <v>17990621.368000001</v>
      </c>
      <c r="K1090" s="627"/>
      <c r="L1090" s="394"/>
      <c r="M1090" s="394" t="s">
        <v>5133</v>
      </c>
      <c r="N1090" s="682">
        <v>98972314</v>
      </c>
      <c r="O1090" s="150" t="s">
        <v>2330</v>
      </c>
    </row>
    <row r="1091" spans="1:15" ht="78.75" customHeight="1" x14ac:dyDescent="0.35">
      <c r="A1091" s="272" t="s">
        <v>3786</v>
      </c>
      <c r="B1091" s="463" t="s">
        <v>2331</v>
      </c>
      <c r="C1091" s="457">
        <v>216</v>
      </c>
      <c r="D1091" s="141" t="s">
        <v>4</v>
      </c>
      <c r="E1091" s="180" t="s">
        <v>2451</v>
      </c>
      <c r="F1091" s="180">
        <v>31050411</v>
      </c>
      <c r="G1091" s="180"/>
      <c r="H1091" s="180" t="s">
        <v>3241</v>
      </c>
      <c r="I1091" s="364" t="s">
        <v>193</v>
      </c>
      <c r="J1091" s="393">
        <v>20521698.497499999</v>
      </c>
      <c r="K1091" s="627"/>
      <c r="L1091" s="394"/>
      <c r="M1091" s="394" t="s">
        <v>5133</v>
      </c>
      <c r="N1091" s="682">
        <v>291190314</v>
      </c>
      <c r="O1091" s="150" t="s">
        <v>2331</v>
      </c>
    </row>
    <row r="1092" spans="1:15" ht="51.75" customHeight="1" x14ac:dyDescent="0.35">
      <c r="A1092" s="272" t="s">
        <v>3787</v>
      </c>
      <c r="B1092" s="463" t="s">
        <v>2332</v>
      </c>
      <c r="C1092" s="457">
        <v>216</v>
      </c>
      <c r="D1092" s="141" t="s">
        <v>4</v>
      </c>
      <c r="E1092" s="180" t="s">
        <v>2451</v>
      </c>
      <c r="F1092" s="180">
        <v>31050411</v>
      </c>
      <c r="G1092" s="180"/>
      <c r="H1092" s="180" t="s">
        <v>3241</v>
      </c>
      <c r="I1092" s="364" t="s">
        <v>193</v>
      </c>
      <c r="J1092" s="393">
        <v>38500000</v>
      </c>
      <c r="K1092" s="627"/>
      <c r="L1092" s="394"/>
      <c r="M1092" s="394" t="s">
        <v>5133</v>
      </c>
      <c r="N1092" s="682">
        <v>58972314</v>
      </c>
      <c r="O1092" s="150" t="s">
        <v>2332</v>
      </c>
    </row>
    <row r="1093" spans="1:15" ht="54.75" customHeight="1" x14ac:dyDescent="0.35">
      <c r="A1093" s="272" t="s">
        <v>3788</v>
      </c>
      <c r="B1093" s="463" t="s">
        <v>2333</v>
      </c>
      <c r="C1093" s="457">
        <v>426</v>
      </c>
      <c r="D1093" s="141" t="s">
        <v>4</v>
      </c>
      <c r="E1093" s="180" t="s">
        <v>2451</v>
      </c>
      <c r="F1093" s="180">
        <v>31050411</v>
      </c>
      <c r="G1093" s="180"/>
      <c r="H1093" s="180" t="s">
        <v>3241</v>
      </c>
      <c r="I1093" s="364" t="s">
        <v>168</v>
      </c>
      <c r="J1093" s="393">
        <v>10042856.630000001</v>
      </c>
      <c r="K1093" s="627"/>
      <c r="L1093" s="394"/>
      <c r="M1093" s="394" t="s">
        <v>5133</v>
      </c>
      <c r="N1093" s="682">
        <v>100000000</v>
      </c>
      <c r="O1093" s="150" t="s">
        <v>2333</v>
      </c>
    </row>
    <row r="1094" spans="1:15" ht="67.5" customHeight="1" x14ac:dyDescent="0.35">
      <c r="A1094" s="272" t="s">
        <v>3789</v>
      </c>
      <c r="B1094" s="463" t="s">
        <v>2334</v>
      </c>
      <c r="C1094" s="457" t="s">
        <v>196</v>
      </c>
      <c r="D1094" s="141" t="s">
        <v>4</v>
      </c>
      <c r="E1094" s="180" t="s">
        <v>2451</v>
      </c>
      <c r="F1094" s="180">
        <v>31050411</v>
      </c>
      <c r="G1094" s="180"/>
      <c r="H1094" s="180" t="s">
        <v>3241</v>
      </c>
      <c r="I1094" s="364" t="s">
        <v>193</v>
      </c>
      <c r="J1094" s="393">
        <v>300000000</v>
      </c>
      <c r="K1094" s="627">
        <v>299465858</v>
      </c>
      <c r="L1094" s="394"/>
      <c r="M1094" s="394" t="s">
        <v>5133</v>
      </c>
      <c r="N1094" s="682">
        <v>300000000</v>
      </c>
      <c r="O1094" s="150" t="s">
        <v>2334</v>
      </c>
    </row>
    <row r="1095" spans="1:15" ht="50.25" customHeight="1" x14ac:dyDescent="0.35">
      <c r="A1095" s="272" t="s">
        <v>3790</v>
      </c>
      <c r="B1095" s="463" t="s">
        <v>2335</v>
      </c>
      <c r="C1095" s="457" t="s">
        <v>3273</v>
      </c>
      <c r="D1095" s="141" t="s">
        <v>4</v>
      </c>
      <c r="E1095" s="180" t="s">
        <v>2451</v>
      </c>
      <c r="F1095" s="180">
        <v>31050411</v>
      </c>
      <c r="G1095" s="180"/>
      <c r="H1095" s="180" t="s">
        <v>3241</v>
      </c>
      <c r="I1095" s="364" t="s">
        <v>193</v>
      </c>
      <c r="J1095" s="393">
        <v>200000000</v>
      </c>
      <c r="K1095" s="627"/>
      <c r="L1095" s="394"/>
      <c r="M1095" s="394" t="s">
        <v>5133</v>
      </c>
      <c r="N1095" s="682">
        <v>100000000</v>
      </c>
      <c r="O1095" s="150" t="s">
        <v>2335</v>
      </c>
    </row>
    <row r="1096" spans="1:15" ht="74.25" customHeight="1" x14ac:dyDescent="0.35">
      <c r="A1096" s="272" t="s">
        <v>3791</v>
      </c>
      <c r="B1096" s="463" t="s">
        <v>2336</v>
      </c>
      <c r="C1096" s="457" t="s">
        <v>1584</v>
      </c>
      <c r="D1096" s="141" t="s">
        <v>4</v>
      </c>
      <c r="E1096" s="180" t="s">
        <v>2451</v>
      </c>
      <c r="F1096" s="180">
        <v>31050411</v>
      </c>
      <c r="G1096" s="180"/>
      <c r="H1096" s="180" t="s">
        <v>3241</v>
      </c>
      <c r="I1096" s="364" t="s">
        <v>168</v>
      </c>
      <c r="J1096" s="393">
        <v>2126250.752499999</v>
      </c>
      <c r="K1096" s="627"/>
      <c r="L1096" s="394"/>
      <c r="M1096" s="394" t="s">
        <v>5133</v>
      </c>
      <c r="N1096" s="682">
        <v>760000000</v>
      </c>
      <c r="O1096" s="150" t="s">
        <v>2336</v>
      </c>
    </row>
    <row r="1097" spans="1:15" ht="60" customHeight="1" x14ac:dyDescent="0.35">
      <c r="A1097" s="272" t="s">
        <v>3792</v>
      </c>
      <c r="B1097" s="463" t="s">
        <v>2337</v>
      </c>
      <c r="C1097" s="457">
        <v>108</v>
      </c>
      <c r="D1097" s="141" t="s">
        <v>4</v>
      </c>
      <c r="E1097" s="180" t="s">
        <v>2451</v>
      </c>
      <c r="F1097" s="180">
        <v>31050411</v>
      </c>
      <c r="G1097" s="180"/>
      <c r="H1097" s="180" t="s">
        <v>3241</v>
      </c>
      <c r="I1097" s="364" t="s">
        <v>168</v>
      </c>
      <c r="J1097" s="393">
        <v>7198985.4174999986</v>
      </c>
      <c r="K1097" s="627"/>
      <c r="L1097" s="394"/>
      <c r="M1097" s="394" t="s">
        <v>5133</v>
      </c>
      <c r="N1097" s="682">
        <v>150000000</v>
      </c>
      <c r="O1097" s="150" t="s">
        <v>2337</v>
      </c>
    </row>
    <row r="1098" spans="1:15" ht="42.75" customHeight="1" x14ac:dyDescent="0.35">
      <c r="A1098" s="272" t="s">
        <v>3793</v>
      </c>
      <c r="B1098" s="463" t="s">
        <v>2338</v>
      </c>
      <c r="C1098" s="457" t="s">
        <v>2132</v>
      </c>
      <c r="D1098" s="141" t="s">
        <v>4</v>
      </c>
      <c r="E1098" s="180" t="s">
        <v>2451</v>
      </c>
      <c r="F1098" s="180">
        <v>31050411</v>
      </c>
      <c r="G1098" s="180"/>
      <c r="H1098" s="180" t="s">
        <v>3241</v>
      </c>
      <c r="I1098" s="364" t="s">
        <v>193</v>
      </c>
      <c r="J1098" s="393">
        <v>80000000</v>
      </c>
      <c r="K1098" s="627">
        <v>150000000</v>
      </c>
      <c r="L1098" s="394"/>
      <c r="M1098" s="394" t="s">
        <v>5133</v>
      </c>
      <c r="N1098" s="682">
        <v>150000000</v>
      </c>
      <c r="O1098" s="150" t="s">
        <v>2338</v>
      </c>
    </row>
    <row r="1099" spans="1:15" ht="33.75" customHeight="1" x14ac:dyDescent="0.35">
      <c r="A1099" s="272" t="s">
        <v>3794</v>
      </c>
      <c r="B1099" s="463" t="s">
        <v>2339</v>
      </c>
      <c r="C1099" s="457" t="s">
        <v>3274</v>
      </c>
      <c r="D1099" s="141" t="s">
        <v>4</v>
      </c>
      <c r="E1099" s="180" t="s">
        <v>2451</v>
      </c>
      <c r="F1099" s="180">
        <v>31050411</v>
      </c>
      <c r="G1099" s="180"/>
      <c r="H1099" s="180" t="s">
        <v>3241</v>
      </c>
      <c r="I1099" s="364" t="s">
        <v>168</v>
      </c>
      <c r="J1099" s="393">
        <v>7821101.0300000012</v>
      </c>
      <c r="K1099" s="627"/>
      <c r="L1099" s="394"/>
      <c r="M1099" s="394" t="s">
        <v>5133</v>
      </c>
      <c r="N1099" s="682">
        <v>85496738.400000006</v>
      </c>
      <c r="O1099" s="150" t="s">
        <v>2339</v>
      </c>
    </row>
    <row r="1100" spans="1:15" ht="53.25" customHeight="1" x14ac:dyDescent="0.35">
      <c r="A1100" s="272" t="s">
        <v>3795</v>
      </c>
      <c r="B1100" s="463" t="s">
        <v>2340</v>
      </c>
      <c r="C1100" s="457" t="s">
        <v>616</v>
      </c>
      <c r="D1100" s="141" t="s">
        <v>4</v>
      </c>
      <c r="E1100" s="180" t="s">
        <v>2451</v>
      </c>
      <c r="F1100" s="180">
        <v>31050411</v>
      </c>
      <c r="G1100" s="180"/>
      <c r="H1100" s="180" t="s">
        <v>3241</v>
      </c>
      <c r="I1100" s="364" t="s">
        <v>193</v>
      </c>
      <c r="J1100" s="393">
        <v>10200000</v>
      </c>
      <c r="K1100" s="627"/>
      <c r="L1100" s="394"/>
      <c r="M1100" s="394" t="s">
        <v>5133</v>
      </c>
      <c r="N1100" s="682">
        <v>100000000</v>
      </c>
      <c r="O1100" s="150" t="s">
        <v>2340</v>
      </c>
    </row>
    <row r="1101" spans="1:15" ht="46.5" customHeight="1" x14ac:dyDescent="0.35">
      <c r="A1101" s="272" t="s">
        <v>3796</v>
      </c>
      <c r="B1101" s="463" t="s">
        <v>2341</v>
      </c>
      <c r="C1101" s="457" t="s">
        <v>616</v>
      </c>
      <c r="D1101" s="141" t="s">
        <v>4</v>
      </c>
      <c r="E1101" s="180" t="s">
        <v>2451</v>
      </c>
      <c r="F1101" s="180">
        <v>31050411</v>
      </c>
      <c r="G1101" s="180"/>
      <c r="H1101" s="180" t="s">
        <v>3241</v>
      </c>
      <c r="I1101" s="364" t="s">
        <v>193</v>
      </c>
      <c r="J1101" s="393">
        <v>80000000</v>
      </c>
      <c r="K1101" s="627">
        <v>60000000</v>
      </c>
      <c r="L1101" s="394"/>
      <c r="M1101" s="394" t="s">
        <v>5133</v>
      </c>
      <c r="N1101" s="682">
        <v>150000000</v>
      </c>
      <c r="O1101" s="150" t="s">
        <v>2341</v>
      </c>
    </row>
    <row r="1102" spans="1:15" ht="43.5" customHeight="1" x14ac:dyDescent="0.35">
      <c r="A1102" s="272" t="s">
        <v>3797</v>
      </c>
      <c r="B1102" s="463" t="s">
        <v>2342</v>
      </c>
      <c r="C1102" s="457" t="s">
        <v>418</v>
      </c>
      <c r="D1102" s="141" t="s">
        <v>4</v>
      </c>
      <c r="E1102" s="180" t="s">
        <v>2451</v>
      </c>
      <c r="F1102" s="180">
        <v>31050411</v>
      </c>
      <c r="G1102" s="180"/>
      <c r="H1102" s="180" t="s">
        <v>3241</v>
      </c>
      <c r="I1102" s="364" t="s">
        <v>193</v>
      </c>
      <c r="J1102" s="393">
        <v>5110218.1500000004</v>
      </c>
      <c r="K1102" s="627"/>
      <c r="L1102" s="394"/>
      <c r="M1102" s="394" t="s">
        <v>5133</v>
      </c>
      <c r="N1102" s="682">
        <v>87999564</v>
      </c>
      <c r="O1102" s="150" t="s">
        <v>2342</v>
      </c>
    </row>
    <row r="1103" spans="1:15" ht="45.75" customHeight="1" x14ac:dyDescent="0.35">
      <c r="A1103" s="272" t="s">
        <v>3798</v>
      </c>
      <c r="B1103" s="463" t="s">
        <v>2343</v>
      </c>
      <c r="C1103" s="457" t="s">
        <v>801</v>
      </c>
      <c r="D1103" s="141" t="s">
        <v>4</v>
      </c>
      <c r="E1103" s="180" t="s">
        <v>2451</v>
      </c>
      <c r="F1103" s="180">
        <v>31050411</v>
      </c>
      <c r="G1103" s="180"/>
      <c r="H1103" s="180" t="s">
        <v>3241</v>
      </c>
      <c r="I1103" s="364" t="s">
        <v>193</v>
      </c>
      <c r="J1103" s="393">
        <v>50000000</v>
      </c>
      <c r="K1103" s="627"/>
      <c r="L1103" s="394"/>
      <c r="M1103" s="394" t="s">
        <v>5133</v>
      </c>
      <c r="N1103" s="682">
        <v>300000000</v>
      </c>
      <c r="O1103" s="150" t="s">
        <v>2343</v>
      </c>
    </row>
    <row r="1104" spans="1:15" ht="49.5" customHeight="1" x14ac:dyDescent="0.35">
      <c r="A1104" s="272" t="s">
        <v>3799</v>
      </c>
      <c r="B1104" s="463" t="s">
        <v>2344</v>
      </c>
      <c r="C1104" s="457">
        <v>108</v>
      </c>
      <c r="D1104" s="141" t="s">
        <v>4</v>
      </c>
      <c r="E1104" s="180" t="s">
        <v>2451</v>
      </c>
      <c r="F1104" s="180">
        <v>31050411</v>
      </c>
      <c r="G1104" s="180"/>
      <c r="H1104" s="180" t="s">
        <v>3241</v>
      </c>
      <c r="I1104" s="364" t="s">
        <v>193</v>
      </c>
      <c r="J1104" s="393">
        <v>2042363.13</v>
      </c>
      <c r="K1104" s="627"/>
      <c r="L1104" s="394"/>
      <c r="M1104" s="394" t="s">
        <v>5133</v>
      </c>
      <c r="N1104" s="682">
        <v>58972314</v>
      </c>
      <c r="O1104" s="150" t="s">
        <v>2344</v>
      </c>
    </row>
    <row r="1105" spans="1:15" ht="34.5" customHeight="1" x14ac:dyDescent="0.35">
      <c r="A1105" s="272" t="s">
        <v>3800</v>
      </c>
      <c r="B1105" s="463" t="s">
        <v>2345</v>
      </c>
      <c r="C1105" s="457">
        <v>108</v>
      </c>
      <c r="D1105" s="141" t="s">
        <v>4</v>
      </c>
      <c r="E1105" s="180" t="s">
        <v>2451</v>
      </c>
      <c r="F1105" s="180">
        <v>31050411</v>
      </c>
      <c r="G1105" s="180"/>
      <c r="H1105" s="180" t="s">
        <v>3241</v>
      </c>
      <c r="I1105" s="364" t="s">
        <v>193</v>
      </c>
      <c r="J1105" s="393">
        <v>70000000</v>
      </c>
      <c r="K1105" s="627"/>
      <c r="L1105" s="394"/>
      <c r="M1105" s="394" t="s">
        <v>5133</v>
      </c>
      <c r="N1105" s="682">
        <v>400000000</v>
      </c>
      <c r="O1105" s="150" t="s">
        <v>2345</v>
      </c>
    </row>
    <row r="1106" spans="1:15" ht="49.5" customHeight="1" x14ac:dyDescent="0.35">
      <c r="A1106" s="272" t="s">
        <v>3801</v>
      </c>
      <c r="B1106" s="463" t="s">
        <v>2346</v>
      </c>
      <c r="C1106" s="457" t="s">
        <v>619</v>
      </c>
      <c r="D1106" s="141" t="s">
        <v>4</v>
      </c>
      <c r="E1106" s="180" t="s">
        <v>2451</v>
      </c>
      <c r="F1106" s="180">
        <v>31050411</v>
      </c>
      <c r="G1106" s="180"/>
      <c r="H1106" s="180" t="s">
        <v>3241</v>
      </c>
      <c r="I1106" s="364" t="s">
        <v>193</v>
      </c>
      <c r="J1106" s="393">
        <f>150000000+100000000</f>
        <v>250000000</v>
      </c>
      <c r="K1106" s="627"/>
      <c r="L1106" s="394"/>
      <c r="M1106" s="394" t="s">
        <v>5133</v>
      </c>
      <c r="N1106" s="682">
        <v>200000000</v>
      </c>
      <c r="O1106" s="150" t="s">
        <v>2346</v>
      </c>
    </row>
    <row r="1107" spans="1:15" ht="51" customHeight="1" x14ac:dyDescent="0.35">
      <c r="A1107" s="272" t="s">
        <v>3802</v>
      </c>
      <c r="B1107" s="463" t="s">
        <v>2347</v>
      </c>
      <c r="C1107" s="457">
        <v>325</v>
      </c>
      <c r="D1107" s="141" t="s">
        <v>4</v>
      </c>
      <c r="E1107" s="180" t="s">
        <v>2451</v>
      </c>
      <c r="F1107" s="180">
        <v>31050411</v>
      </c>
      <c r="G1107" s="180"/>
      <c r="H1107" s="180" t="s">
        <v>3241</v>
      </c>
      <c r="I1107" s="364" t="s">
        <v>193</v>
      </c>
      <c r="J1107" s="393">
        <f>150000000+250000000</f>
        <v>400000000</v>
      </c>
      <c r="K1107" s="627">
        <v>500000000</v>
      </c>
      <c r="L1107" s="394"/>
      <c r="M1107" s="394" t="s">
        <v>5133</v>
      </c>
      <c r="N1107" s="625">
        <v>296054064</v>
      </c>
      <c r="O1107" s="150" t="s">
        <v>2347</v>
      </c>
    </row>
    <row r="1108" spans="1:15" ht="45.75" customHeight="1" x14ac:dyDescent="0.35">
      <c r="A1108" s="272" t="s">
        <v>3803</v>
      </c>
      <c r="B1108" s="463" t="s">
        <v>2348</v>
      </c>
      <c r="C1108" s="457">
        <v>211</v>
      </c>
      <c r="D1108" s="141" t="s">
        <v>4</v>
      </c>
      <c r="E1108" s="180" t="s">
        <v>2451</v>
      </c>
      <c r="F1108" s="180">
        <v>31050411</v>
      </c>
      <c r="G1108" s="180"/>
      <c r="H1108" s="180" t="s">
        <v>3241</v>
      </c>
      <c r="I1108" s="364" t="s">
        <v>193</v>
      </c>
      <c r="J1108" s="393">
        <v>1783916.9465000001</v>
      </c>
      <c r="K1108" s="627"/>
      <c r="L1108" s="394"/>
      <c r="M1108" s="394" t="s">
        <v>5133</v>
      </c>
      <c r="N1108" s="682">
        <v>117026814</v>
      </c>
      <c r="O1108" s="150" t="s">
        <v>2348</v>
      </c>
    </row>
    <row r="1109" spans="1:15" ht="50.25" customHeight="1" x14ac:dyDescent="0.35">
      <c r="A1109" s="272" t="s">
        <v>3804</v>
      </c>
      <c r="B1109" s="463" t="s">
        <v>2349</v>
      </c>
      <c r="C1109" s="457">
        <v>325</v>
      </c>
      <c r="D1109" s="141" t="s">
        <v>4</v>
      </c>
      <c r="E1109" s="180" t="s">
        <v>2451</v>
      </c>
      <c r="F1109" s="180">
        <v>31050411</v>
      </c>
      <c r="G1109" s="180"/>
      <c r="H1109" s="180" t="s">
        <v>3241</v>
      </c>
      <c r="I1109" s="364" t="s">
        <v>193</v>
      </c>
      <c r="J1109" s="393">
        <v>5576941.125</v>
      </c>
      <c r="K1109" s="627"/>
      <c r="L1109" s="394"/>
      <c r="M1109" s="394" t="s">
        <v>5133</v>
      </c>
      <c r="N1109" s="682">
        <v>146054064</v>
      </c>
      <c r="O1109" s="150" t="s">
        <v>2349</v>
      </c>
    </row>
    <row r="1110" spans="1:15" ht="62.25" customHeight="1" x14ac:dyDescent="0.35">
      <c r="A1110" s="272" t="s">
        <v>3805</v>
      </c>
      <c r="B1110" s="463" t="s">
        <v>2350</v>
      </c>
      <c r="C1110" s="457" t="s">
        <v>494</v>
      </c>
      <c r="D1110" s="141" t="s">
        <v>4</v>
      </c>
      <c r="E1110" s="180" t="s">
        <v>2451</v>
      </c>
      <c r="F1110" s="180">
        <v>31050411</v>
      </c>
      <c r="G1110" s="180"/>
      <c r="H1110" s="180" t="s">
        <v>3241</v>
      </c>
      <c r="I1110" s="364" t="s">
        <v>168</v>
      </c>
      <c r="J1110" s="393">
        <v>80000000</v>
      </c>
      <c r="K1110" s="627"/>
      <c r="L1110" s="394"/>
      <c r="M1110" s="394" t="s">
        <v>5133</v>
      </c>
      <c r="N1110" s="682">
        <v>87999564</v>
      </c>
      <c r="O1110" s="150" t="s">
        <v>2350</v>
      </c>
    </row>
    <row r="1111" spans="1:15" ht="63.75" customHeight="1" x14ac:dyDescent="0.35">
      <c r="A1111" s="272" t="s">
        <v>3806</v>
      </c>
      <c r="B1111" s="463" t="s">
        <v>2351</v>
      </c>
      <c r="C1111" s="457" t="s">
        <v>379</v>
      </c>
      <c r="D1111" s="141" t="s">
        <v>4</v>
      </c>
      <c r="E1111" s="180" t="s">
        <v>2451</v>
      </c>
      <c r="F1111" s="180">
        <v>31050411</v>
      </c>
      <c r="G1111" s="180"/>
      <c r="H1111" s="180" t="s">
        <v>3241</v>
      </c>
      <c r="I1111" s="364" t="s">
        <v>193</v>
      </c>
      <c r="J1111" s="393">
        <v>2693320.9539999999</v>
      </c>
      <c r="K1111" s="627"/>
      <c r="L1111" s="394"/>
      <c r="M1111" s="394" t="s">
        <v>5133</v>
      </c>
      <c r="N1111" s="682">
        <v>102914088.40000001</v>
      </c>
      <c r="O1111" s="150" t="s">
        <v>2351</v>
      </c>
    </row>
    <row r="1112" spans="1:15" ht="87.75" customHeight="1" x14ac:dyDescent="0.35">
      <c r="A1112" s="272" t="s">
        <v>3807</v>
      </c>
      <c r="B1112" s="463" t="s">
        <v>2352</v>
      </c>
      <c r="C1112" s="457" t="s">
        <v>379</v>
      </c>
      <c r="D1112" s="141" t="s">
        <v>4</v>
      </c>
      <c r="E1112" s="180" t="s">
        <v>2451</v>
      </c>
      <c r="F1112" s="180">
        <v>31050411</v>
      </c>
      <c r="G1112" s="180"/>
      <c r="H1112" s="180" t="s">
        <v>3241</v>
      </c>
      <c r="I1112" s="364" t="s">
        <v>193</v>
      </c>
      <c r="J1112" s="393">
        <v>10448829.8485</v>
      </c>
      <c r="K1112" s="627"/>
      <c r="L1112" s="394"/>
      <c r="M1112" s="394" t="s">
        <v>5133</v>
      </c>
      <c r="N1112" s="682">
        <v>392914088.39999998</v>
      </c>
      <c r="O1112" s="150" t="s">
        <v>2352</v>
      </c>
    </row>
    <row r="1113" spans="1:15" ht="62.25" customHeight="1" x14ac:dyDescent="0.35">
      <c r="A1113" s="272" t="s">
        <v>3808</v>
      </c>
      <c r="B1113" s="463" t="s">
        <v>2353</v>
      </c>
      <c r="C1113" s="457" t="s">
        <v>1501</v>
      </c>
      <c r="D1113" s="141" t="s">
        <v>4</v>
      </c>
      <c r="E1113" s="180" t="s">
        <v>2451</v>
      </c>
      <c r="F1113" s="180">
        <v>31050411</v>
      </c>
      <c r="G1113" s="180"/>
      <c r="H1113" s="180" t="s">
        <v>3241</v>
      </c>
      <c r="I1113" s="364" t="s">
        <v>193</v>
      </c>
      <c r="J1113" s="393">
        <v>2526765.9375</v>
      </c>
      <c r="K1113" s="627"/>
      <c r="L1113" s="394"/>
      <c r="M1113" s="394" t="s">
        <v>5133</v>
      </c>
      <c r="N1113" s="682">
        <v>102914088.40000001</v>
      </c>
      <c r="O1113" s="150" t="s">
        <v>2353</v>
      </c>
    </row>
    <row r="1114" spans="1:15" ht="78" customHeight="1" x14ac:dyDescent="0.35">
      <c r="A1114" s="272" t="s">
        <v>3809</v>
      </c>
      <c r="B1114" s="463" t="s">
        <v>2354</v>
      </c>
      <c r="C1114" s="457" t="s">
        <v>3275</v>
      </c>
      <c r="D1114" s="141" t="s">
        <v>4</v>
      </c>
      <c r="E1114" s="180" t="s">
        <v>2451</v>
      </c>
      <c r="F1114" s="180">
        <v>31050411</v>
      </c>
      <c r="G1114" s="180"/>
      <c r="H1114" s="180" t="s">
        <v>3241</v>
      </c>
      <c r="I1114" s="364" t="s">
        <v>193</v>
      </c>
      <c r="J1114" s="393">
        <f>150000000+150000000</f>
        <v>300000000</v>
      </c>
      <c r="K1114" s="627">
        <v>200000000</v>
      </c>
      <c r="L1114" s="394"/>
      <c r="M1114" s="394" t="s">
        <v>5133</v>
      </c>
      <c r="N1114" s="682">
        <v>402914088.39999998</v>
      </c>
      <c r="O1114" s="150" t="s">
        <v>2354</v>
      </c>
    </row>
    <row r="1115" spans="1:15" ht="82.5" customHeight="1" x14ac:dyDescent="0.35">
      <c r="A1115" s="272" t="s">
        <v>3810</v>
      </c>
      <c r="B1115" s="463" t="s">
        <v>2355</v>
      </c>
      <c r="C1115" s="457" t="s">
        <v>194</v>
      </c>
      <c r="D1115" s="141" t="s">
        <v>4</v>
      </c>
      <c r="E1115" s="180" t="s">
        <v>2451</v>
      </c>
      <c r="F1115" s="180">
        <v>31050411</v>
      </c>
      <c r="G1115" s="180"/>
      <c r="H1115" s="180" t="s">
        <v>3241</v>
      </c>
      <c r="I1115" s="364" t="s">
        <v>193</v>
      </c>
      <c r="J1115" s="393">
        <v>37332601.690000057</v>
      </c>
      <c r="K1115" s="627"/>
      <c r="L1115" s="394"/>
      <c r="M1115" s="394" t="s">
        <v>5133</v>
      </c>
      <c r="N1115" s="682">
        <v>162107014</v>
      </c>
      <c r="O1115" s="150" t="s">
        <v>2355</v>
      </c>
    </row>
    <row r="1116" spans="1:15" ht="57" customHeight="1" x14ac:dyDescent="0.35">
      <c r="A1116" s="272" t="s">
        <v>3811</v>
      </c>
      <c r="B1116" s="463" t="s">
        <v>2356</v>
      </c>
      <c r="C1116" s="457" t="s">
        <v>377</v>
      </c>
      <c r="D1116" s="141" t="s">
        <v>4</v>
      </c>
      <c r="E1116" s="180" t="s">
        <v>2451</v>
      </c>
      <c r="F1116" s="180">
        <v>31050411</v>
      </c>
      <c r="G1116" s="180"/>
      <c r="H1116" s="180" t="s">
        <v>3241</v>
      </c>
      <c r="I1116" s="364" t="s">
        <v>168</v>
      </c>
      <c r="J1116" s="393">
        <v>25701923.809999999</v>
      </c>
      <c r="K1116" s="627"/>
      <c r="L1116" s="394"/>
      <c r="M1116" s="394" t="s">
        <v>5133</v>
      </c>
      <c r="N1116" s="682">
        <v>291190314</v>
      </c>
      <c r="O1116" s="150" t="s">
        <v>2356</v>
      </c>
    </row>
    <row r="1117" spans="1:15" ht="59.25" customHeight="1" x14ac:dyDescent="0.35">
      <c r="A1117" s="272" t="s">
        <v>3812</v>
      </c>
      <c r="B1117" s="463" t="s">
        <v>2357</v>
      </c>
      <c r="C1117" s="457" t="s">
        <v>497</v>
      </c>
      <c r="D1117" s="141" t="s">
        <v>4</v>
      </c>
      <c r="E1117" s="180" t="s">
        <v>2451</v>
      </c>
      <c r="F1117" s="180">
        <v>31050411</v>
      </c>
      <c r="G1117" s="180"/>
      <c r="H1117" s="180" t="s">
        <v>3241</v>
      </c>
      <c r="I1117" s="364" t="s">
        <v>193</v>
      </c>
      <c r="J1117" s="393">
        <f>150000000+150000000</f>
        <v>300000000</v>
      </c>
      <c r="K1117" s="627"/>
      <c r="L1117" s="394"/>
      <c r="M1117" s="394" t="s">
        <v>5133</v>
      </c>
      <c r="N1117" s="682">
        <v>100000000</v>
      </c>
      <c r="O1117" s="150" t="s">
        <v>2357</v>
      </c>
    </row>
    <row r="1118" spans="1:15" ht="51" customHeight="1" x14ac:dyDescent="0.35">
      <c r="A1118" s="272" t="s">
        <v>3813</v>
      </c>
      <c r="B1118" s="463" t="s">
        <v>2358</v>
      </c>
      <c r="C1118" s="457">
        <v>108</v>
      </c>
      <c r="D1118" s="141" t="s">
        <v>4</v>
      </c>
      <c r="E1118" s="180" t="s">
        <v>2451</v>
      </c>
      <c r="F1118" s="180">
        <v>31050411</v>
      </c>
      <c r="G1118" s="180"/>
      <c r="H1118" s="180" t="s">
        <v>3241</v>
      </c>
      <c r="I1118" s="364" t="s">
        <v>168</v>
      </c>
      <c r="J1118" s="393">
        <f>150000000+150000000</f>
        <v>300000000</v>
      </c>
      <c r="K1118" s="627">
        <v>200000000</v>
      </c>
      <c r="L1118" s="394"/>
      <c r="M1118" s="394" t="s">
        <v>5133</v>
      </c>
      <c r="N1118" s="682">
        <v>200000000</v>
      </c>
      <c r="O1118" s="150" t="s">
        <v>2358</v>
      </c>
    </row>
    <row r="1119" spans="1:15" ht="63" customHeight="1" x14ac:dyDescent="0.35">
      <c r="A1119" s="272" t="s">
        <v>3814</v>
      </c>
      <c r="B1119" s="463" t="s">
        <v>2359</v>
      </c>
      <c r="C1119" s="457" t="s">
        <v>3269</v>
      </c>
      <c r="D1119" s="141" t="s">
        <v>4</v>
      </c>
      <c r="E1119" s="180" t="s">
        <v>2451</v>
      </c>
      <c r="F1119" s="180">
        <v>31050411</v>
      </c>
      <c r="G1119" s="180"/>
      <c r="H1119" s="180" t="s">
        <v>3241</v>
      </c>
      <c r="I1119" s="364" t="s">
        <v>193</v>
      </c>
      <c r="J1119" s="393">
        <f>150000000+150000000</f>
        <v>300000000</v>
      </c>
      <c r="K1119" s="627"/>
      <c r="L1119" s="394"/>
      <c r="M1119" s="394" t="s">
        <v>5133</v>
      </c>
      <c r="N1119" s="682">
        <v>420000000</v>
      </c>
      <c r="O1119" s="150" t="s">
        <v>2359</v>
      </c>
    </row>
    <row r="1120" spans="1:15" ht="65.25" customHeight="1" x14ac:dyDescent="0.35">
      <c r="A1120" s="272" t="s">
        <v>3815</v>
      </c>
      <c r="B1120" s="463" t="s">
        <v>2360</v>
      </c>
      <c r="C1120" s="457">
        <v>426</v>
      </c>
      <c r="D1120" s="141" t="s">
        <v>4</v>
      </c>
      <c r="E1120" s="180" t="s">
        <v>2451</v>
      </c>
      <c r="F1120" s="180">
        <v>31050411</v>
      </c>
      <c r="G1120" s="180"/>
      <c r="H1120" s="180" t="s">
        <v>3241</v>
      </c>
      <c r="I1120" s="364" t="s">
        <v>193</v>
      </c>
      <c r="J1120" s="393">
        <f>300000000+700000000</f>
        <v>1000000000</v>
      </c>
      <c r="K1120" s="627">
        <v>1000000000</v>
      </c>
      <c r="L1120" s="627">
        <v>1000000000</v>
      </c>
      <c r="M1120" s="394" t="s">
        <v>5123</v>
      </c>
      <c r="N1120" s="682">
        <v>63476606</v>
      </c>
      <c r="O1120" s="150" t="s">
        <v>2360</v>
      </c>
    </row>
    <row r="1121" spans="1:15" ht="109.5" customHeight="1" x14ac:dyDescent="0.35">
      <c r="A1121" s="272" t="s">
        <v>3816</v>
      </c>
      <c r="B1121" s="463" t="s">
        <v>2361</v>
      </c>
      <c r="C1121" s="457" t="s">
        <v>3252</v>
      </c>
      <c r="D1121" s="141" t="s">
        <v>4</v>
      </c>
      <c r="E1121" s="180" t="s">
        <v>2451</v>
      </c>
      <c r="F1121" s="180">
        <v>31050411</v>
      </c>
      <c r="G1121" s="180"/>
      <c r="H1121" s="180" t="s">
        <v>3241</v>
      </c>
      <c r="I1121" s="364" t="s">
        <v>193</v>
      </c>
      <c r="J1121" s="393">
        <f>150000000+200000000</f>
        <v>350000000</v>
      </c>
      <c r="K1121" s="627">
        <v>200000000</v>
      </c>
      <c r="L1121" s="394"/>
      <c r="M1121" s="394" t="s">
        <v>5133</v>
      </c>
      <c r="N1121" s="682">
        <v>117026814</v>
      </c>
      <c r="O1121" s="150" t="s">
        <v>2361</v>
      </c>
    </row>
    <row r="1122" spans="1:15" ht="58.5" customHeight="1" x14ac:dyDescent="0.35">
      <c r="A1122" s="272" t="s">
        <v>3817</v>
      </c>
      <c r="B1122" s="463" t="s">
        <v>2362</v>
      </c>
      <c r="C1122" s="457">
        <v>324</v>
      </c>
      <c r="D1122" s="141" t="s">
        <v>4</v>
      </c>
      <c r="E1122" s="180" t="s">
        <v>2451</v>
      </c>
      <c r="F1122" s="180">
        <v>31050411</v>
      </c>
      <c r="G1122" s="180"/>
      <c r="H1122" s="180" t="s">
        <v>3241</v>
      </c>
      <c r="I1122" s="364" t="s">
        <v>193</v>
      </c>
      <c r="J1122" s="393">
        <v>100000000</v>
      </c>
      <c r="K1122" s="627"/>
      <c r="L1122" s="394"/>
      <c r="M1122" s="394" t="s">
        <v>5133</v>
      </c>
      <c r="N1122" s="682">
        <v>417026814</v>
      </c>
      <c r="O1122" s="150" t="s">
        <v>2362</v>
      </c>
    </row>
    <row r="1123" spans="1:15" ht="89.25" customHeight="1" x14ac:dyDescent="0.35">
      <c r="A1123" s="272" t="s">
        <v>3818</v>
      </c>
      <c r="B1123" s="463" t="s">
        <v>2363</v>
      </c>
      <c r="C1123" s="457" t="s">
        <v>418</v>
      </c>
      <c r="D1123" s="141" t="s">
        <v>4</v>
      </c>
      <c r="E1123" s="180" t="s">
        <v>2451</v>
      </c>
      <c r="F1123" s="180">
        <v>31050411</v>
      </c>
      <c r="G1123" s="180"/>
      <c r="H1123" s="180" t="s">
        <v>3241</v>
      </c>
      <c r="I1123" s="364" t="s">
        <v>193</v>
      </c>
      <c r="J1123" s="393">
        <f>150000000+500000000</f>
        <v>650000000</v>
      </c>
      <c r="K1123" s="627">
        <v>350000000</v>
      </c>
      <c r="L1123" s="394"/>
      <c r="M1123" s="394" t="s">
        <v>5133</v>
      </c>
      <c r="N1123" s="682">
        <v>61555964</v>
      </c>
      <c r="O1123" s="150" t="s">
        <v>2363</v>
      </c>
    </row>
    <row r="1124" spans="1:15" ht="88.5" customHeight="1" x14ac:dyDescent="0.35">
      <c r="A1124" s="272" t="s">
        <v>3819</v>
      </c>
      <c r="B1124" s="463" t="s">
        <v>2364</v>
      </c>
      <c r="C1124" s="457" t="s">
        <v>418</v>
      </c>
      <c r="D1124" s="141" t="s">
        <v>4</v>
      </c>
      <c r="E1124" s="180" t="s">
        <v>2451</v>
      </c>
      <c r="F1124" s="180">
        <v>31050411</v>
      </c>
      <c r="G1124" s="180"/>
      <c r="H1124" s="180" t="s">
        <v>3241</v>
      </c>
      <c r="I1124" s="364" t="s">
        <v>193</v>
      </c>
      <c r="J1124" s="393">
        <f>150000000+400000000</f>
        <v>550000000</v>
      </c>
      <c r="K1124" s="627">
        <v>500000000</v>
      </c>
      <c r="L1124" s="394"/>
      <c r="M1124" s="394" t="s">
        <v>5133</v>
      </c>
      <c r="N1124" s="682">
        <v>50000000</v>
      </c>
      <c r="O1124" s="150" t="s">
        <v>2364</v>
      </c>
    </row>
    <row r="1125" spans="1:15" ht="70.5" customHeight="1" x14ac:dyDescent="0.35">
      <c r="A1125" s="272" t="s">
        <v>3820</v>
      </c>
      <c r="B1125" s="463" t="s">
        <v>2365</v>
      </c>
      <c r="C1125" s="457">
        <v>216</v>
      </c>
      <c r="D1125" s="141" t="s">
        <v>4</v>
      </c>
      <c r="E1125" s="180" t="s">
        <v>2451</v>
      </c>
      <c r="F1125" s="180">
        <v>31050411</v>
      </c>
      <c r="G1125" s="180"/>
      <c r="H1125" s="180" t="s">
        <v>3241</v>
      </c>
      <c r="I1125" s="364" t="s">
        <v>193</v>
      </c>
      <c r="J1125" s="393">
        <f>150000000+650000000</f>
        <v>800000000</v>
      </c>
      <c r="K1125" s="627">
        <v>500000000</v>
      </c>
      <c r="L1125" s="394"/>
      <c r="M1125" s="394" t="s">
        <v>5133</v>
      </c>
      <c r="N1125" s="682">
        <v>100000000</v>
      </c>
      <c r="O1125" s="150" t="s">
        <v>2365</v>
      </c>
    </row>
    <row r="1126" spans="1:15" ht="42" customHeight="1" x14ac:dyDescent="0.35">
      <c r="A1126" s="272" t="s">
        <v>3821</v>
      </c>
      <c r="B1126" s="463" t="s">
        <v>2366</v>
      </c>
      <c r="C1126" s="457">
        <v>104</v>
      </c>
      <c r="D1126" s="141" t="s">
        <v>4</v>
      </c>
      <c r="E1126" s="180" t="s">
        <v>2451</v>
      </c>
      <c r="F1126" s="180">
        <v>31050411</v>
      </c>
      <c r="G1126" s="180"/>
      <c r="H1126" s="180" t="s">
        <v>3241</v>
      </c>
      <c r="I1126" s="364" t="s">
        <v>193</v>
      </c>
      <c r="J1126" s="393">
        <v>100000000</v>
      </c>
      <c r="K1126" s="627"/>
      <c r="L1126" s="394"/>
      <c r="M1126" s="394" t="s">
        <v>5133</v>
      </c>
      <c r="N1126" s="682">
        <v>600000000</v>
      </c>
      <c r="O1126" s="150" t="s">
        <v>2366</v>
      </c>
    </row>
    <row r="1127" spans="1:15" ht="42" customHeight="1" x14ac:dyDescent="0.35">
      <c r="A1127" s="272" t="s">
        <v>3822</v>
      </c>
      <c r="B1127" s="463" t="s">
        <v>2367</v>
      </c>
      <c r="C1127" s="457">
        <v>325</v>
      </c>
      <c r="D1127" s="141" t="s">
        <v>4</v>
      </c>
      <c r="E1127" s="180" t="s">
        <v>2451</v>
      </c>
      <c r="F1127" s="180">
        <v>31050411</v>
      </c>
      <c r="G1127" s="180"/>
      <c r="H1127" s="180" t="s">
        <v>3241</v>
      </c>
      <c r="I1127" s="364" t="s">
        <v>168</v>
      </c>
      <c r="J1127" s="393">
        <f>150000000+200000000</f>
        <v>350000000</v>
      </c>
      <c r="K1127" s="627"/>
      <c r="L1127" s="394"/>
      <c r="M1127" s="394" t="s">
        <v>5133</v>
      </c>
      <c r="N1127" s="682">
        <v>200000000</v>
      </c>
      <c r="O1127" s="150" t="s">
        <v>2367</v>
      </c>
    </row>
    <row r="1128" spans="1:15" ht="42" customHeight="1" x14ac:dyDescent="0.35">
      <c r="A1128" s="272" t="s">
        <v>3823</v>
      </c>
      <c r="B1128" s="463" t="s">
        <v>2368</v>
      </c>
      <c r="C1128" s="457" t="s">
        <v>383</v>
      </c>
      <c r="D1128" s="141" t="s">
        <v>4</v>
      </c>
      <c r="E1128" s="180" t="s">
        <v>2451</v>
      </c>
      <c r="F1128" s="180">
        <v>31050411</v>
      </c>
      <c r="G1128" s="180"/>
      <c r="H1128" s="180" t="s">
        <v>3241</v>
      </c>
      <c r="I1128" s="364" t="s">
        <v>168</v>
      </c>
      <c r="J1128" s="393">
        <v>150000000</v>
      </c>
      <c r="K1128" s="627"/>
      <c r="L1128" s="394"/>
      <c r="M1128" s="394" t="s">
        <v>5133</v>
      </c>
      <c r="N1128" s="682">
        <v>200000000</v>
      </c>
      <c r="O1128" s="150" t="s">
        <v>2368</v>
      </c>
    </row>
    <row r="1129" spans="1:15" ht="77.25" customHeight="1" x14ac:dyDescent="0.35">
      <c r="A1129" s="272" t="s">
        <v>3824</v>
      </c>
      <c r="B1129" s="463" t="s">
        <v>2369</v>
      </c>
      <c r="C1129" s="457">
        <v>426</v>
      </c>
      <c r="D1129" s="141" t="s">
        <v>4</v>
      </c>
      <c r="E1129" s="180" t="s">
        <v>2451</v>
      </c>
      <c r="F1129" s="180">
        <v>31050411</v>
      </c>
      <c r="G1129" s="180"/>
      <c r="H1129" s="180" t="s">
        <v>3241</v>
      </c>
      <c r="I1129" s="364" t="s">
        <v>193</v>
      </c>
      <c r="J1129" s="393">
        <v>150000000</v>
      </c>
      <c r="K1129" s="627">
        <v>150000000</v>
      </c>
      <c r="L1129" s="394"/>
      <c r="M1129" s="394" t="s">
        <v>5133</v>
      </c>
      <c r="N1129" s="683">
        <v>500000000</v>
      </c>
      <c r="O1129" s="150" t="s">
        <v>2369</v>
      </c>
    </row>
    <row r="1130" spans="1:15" ht="33" customHeight="1" x14ac:dyDescent="0.35">
      <c r="A1130" s="272" t="s">
        <v>3825</v>
      </c>
      <c r="B1130" s="463" t="s">
        <v>2370</v>
      </c>
      <c r="C1130" s="457">
        <v>426</v>
      </c>
      <c r="D1130" s="141" t="s">
        <v>4</v>
      </c>
      <c r="E1130" s="180" t="s">
        <v>2451</v>
      </c>
      <c r="F1130" s="180">
        <v>31050411</v>
      </c>
      <c r="G1130" s="180"/>
      <c r="H1130" s="180" t="s">
        <v>3241</v>
      </c>
      <c r="I1130" s="364" t="s">
        <v>193</v>
      </c>
      <c r="J1130" s="393">
        <f>150000000+1500000000</f>
        <v>1650000000</v>
      </c>
      <c r="K1130" s="627">
        <v>2000000000</v>
      </c>
      <c r="L1130" s="627">
        <v>2000000000</v>
      </c>
      <c r="M1130" s="394" t="s">
        <v>5123</v>
      </c>
      <c r="N1130" s="682">
        <v>200000000</v>
      </c>
      <c r="O1130" s="150" t="s">
        <v>2370</v>
      </c>
    </row>
    <row r="1131" spans="1:15" ht="54" customHeight="1" x14ac:dyDescent="0.35">
      <c r="A1131" s="272" t="s">
        <v>3826</v>
      </c>
      <c r="B1131" s="463" t="s">
        <v>2371</v>
      </c>
      <c r="C1131" s="457">
        <v>212</v>
      </c>
      <c r="D1131" s="141" t="s">
        <v>4</v>
      </c>
      <c r="E1131" s="180" t="s">
        <v>2451</v>
      </c>
      <c r="F1131" s="180">
        <v>31050411</v>
      </c>
      <c r="G1131" s="180"/>
      <c r="H1131" s="180" t="s">
        <v>3241</v>
      </c>
      <c r="I1131" s="364" t="s">
        <v>193</v>
      </c>
      <c r="J1131" s="393">
        <v>50000000</v>
      </c>
      <c r="K1131" s="627"/>
      <c r="L1131" s="394"/>
      <c r="M1131" s="394" t="s">
        <v>5133</v>
      </c>
      <c r="N1131" s="682">
        <v>500000000</v>
      </c>
      <c r="O1131" s="150" t="s">
        <v>2371</v>
      </c>
    </row>
    <row r="1132" spans="1:15" ht="66" customHeight="1" x14ac:dyDescent="0.35">
      <c r="A1132" s="272" t="s">
        <v>3827</v>
      </c>
      <c r="B1132" s="463" t="s">
        <v>2372</v>
      </c>
      <c r="C1132" s="457">
        <v>212</v>
      </c>
      <c r="D1132" s="141" t="s">
        <v>4</v>
      </c>
      <c r="E1132" s="180" t="s">
        <v>2451</v>
      </c>
      <c r="F1132" s="180">
        <v>31050411</v>
      </c>
      <c r="G1132" s="180"/>
      <c r="H1132" s="180" t="s">
        <v>3241</v>
      </c>
      <c r="I1132" s="364" t="s">
        <v>193</v>
      </c>
      <c r="J1132" s="393">
        <v>80000000</v>
      </c>
      <c r="K1132" s="627"/>
      <c r="L1132" s="394"/>
      <c r="M1132" s="394" t="s">
        <v>5133</v>
      </c>
      <c r="N1132" s="682">
        <v>200000000</v>
      </c>
      <c r="O1132" s="150" t="s">
        <v>2372</v>
      </c>
    </row>
    <row r="1133" spans="1:15" ht="63.75" customHeight="1" x14ac:dyDescent="0.35">
      <c r="A1133" s="272" t="s">
        <v>3828</v>
      </c>
      <c r="B1133" s="463" t="s">
        <v>2373</v>
      </c>
      <c r="C1133" s="457" t="s">
        <v>3263</v>
      </c>
      <c r="D1133" s="141" t="s">
        <v>4</v>
      </c>
      <c r="E1133" s="180" t="s">
        <v>2451</v>
      </c>
      <c r="F1133" s="180">
        <v>31050411</v>
      </c>
      <c r="G1133" s="180"/>
      <c r="H1133" s="180" t="s">
        <v>3241</v>
      </c>
      <c r="I1133" s="364" t="s">
        <v>168</v>
      </c>
      <c r="J1133" s="393">
        <v>54018192.75</v>
      </c>
      <c r="K1133" s="627"/>
      <c r="L1133" s="394"/>
      <c r="M1133" s="394" t="s">
        <v>5133</v>
      </c>
      <c r="N1133" s="682">
        <v>100000000</v>
      </c>
      <c r="O1133" s="150" t="s">
        <v>2373</v>
      </c>
    </row>
    <row r="1134" spans="1:15" ht="86.25" customHeight="1" x14ac:dyDescent="0.35">
      <c r="A1134" s="272" t="s">
        <v>3829</v>
      </c>
      <c r="B1134" s="463" t="s">
        <v>2374</v>
      </c>
      <c r="C1134" s="457">
        <v>212</v>
      </c>
      <c r="D1134" s="141" t="s">
        <v>4</v>
      </c>
      <c r="E1134" s="180" t="s">
        <v>2451</v>
      </c>
      <c r="F1134" s="180">
        <v>31050411</v>
      </c>
      <c r="G1134" s="180"/>
      <c r="H1134" s="180" t="s">
        <v>3241</v>
      </c>
      <c r="I1134" s="364" t="s">
        <v>168</v>
      </c>
      <c r="J1134" s="393">
        <v>100000000</v>
      </c>
      <c r="K1134" s="627"/>
      <c r="L1134" s="394"/>
      <c r="M1134" s="394" t="s">
        <v>5133</v>
      </c>
      <c r="N1134" s="682">
        <v>300000000</v>
      </c>
      <c r="O1134" s="150" t="s">
        <v>2374</v>
      </c>
    </row>
    <row r="1135" spans="1:15" ht="63" customHeight="1" x14ac:dyDescent="0.35">
      <c r="A1135" s="272" t="s">
        <v>3830</v>
      </c>
      <c r="B1135" s="463" t="s">
        <v>2375</v>
      </c>
      <c r="C1135" s="457">
        <v>107</v>
      </c>
      <c r="D1135" s="141" t="s">
        <v>4</v>
      </c>
      <c r="E1135" s="180" t="s">
        <v>2451</v>
      </c>
      <c r="F1135" s="180">
        <v>31050411</v>
      </c>
      <c r="G1135" s="180"/>
      <c r="H1135" s="180" t="s">
        <v>3241</v>
      </c>
      <c r="I1135" s="364" t="s">
        <v>168</v>
      </c>
      <c r="J1135" s="393">
        <f>200000000+200000000</f>
        <v>400000000</v>
      </c>
      <c r="K1135" s="627"/>
      <c r="L1135" s="394"/>
      <c r="M1135" s="394" t="s">
        <v>5133</v>
      </c>
      <c r="N1135" s="682">
        <v>400000000</v>
      </c>
      <c r="O1135" s="150" t="s">
        <v>2375</v>
      </c>
    </row>
    <row r="1136" spans="1:15" ht="51.75" customHeight="1" x14ac:dyDescent="0.35">
      <c r="A1136" s="272" t="s">
        <v>3831</v>
      </c>
      <c r="B1136" s="463" t="s">
        <v>2376</v>
      </c>
      <c r="C1136" s="457" t="s">
        <v>196</v>
      </c>
      <c r="D1136" s="141" t="s">
        <v>4</v>
      </c>
      <c r="E1136" s="180" t="s">
        <v>2451</v>
      </c>
      <c r="F1136" s="180">
        <v>31050411</v>
      </c>
      <c r="G1136" s="180"/>
      <c r="H1136" s="180" t="s">
        <v>3241</v>
      </c>
      <c r="I1136" s="364" t="s">
        <v>168</v>
      </c>
      <c r="J1136" s="393">
        <v>80000000</v>
      </c>
      <c r="K1136" s="627"/>
      <c r="L1136" s="394"/>
      <c r="M1136" s="394" t="s">
        <v>5133</v>
      </c>
      <c r="N1136" s="682">
        <v>650000000</v>
      </c>
      <c r="O1136" s="150" t="s">
        <v>2376</v>
      </c>
    </row>
    <row r="1137" spans="1:15" ht="58.5" customHeight="1" x14ac:dyDescent="0.35">
      <c r="A1137" s="272" t="s">
        <v>3832</v>
      </c>
      <c r="B1137" s="463" t="s">
        <v>2377</v>
      </c>
      <c r="C1137" s="457" t="s">
        <v>3276</v>
      </c>
      <c r="D1137" s="141" t="s">
        <v>4</v>
      </c>
      <c r="E1137" s="180" t="s">
        <v>2451</v>
      </c>
      <c r="F1137" s="180">
        <v>31050411</v>
      </c>
      <c r="G1137" s="180"/>
      <c r="H1137" s="180" t="s">
        <v>3241</v>
      </c>
      <c r="I1137" s="364" t="s">
        <v>193</v>
      </c>
      <c r="J1137" s="393">
        <v>18795362.118999999</v>
      </c>
      <c r="K1137" s="627"/>
      <c r="L1137" s="394"/>
      <c r="M1137" s="394" t="s">
        <v>5133</v>
      </c>
      <c r="N1137" s="682">
        <v>150000000</v>
      </c>
      <c r="O1137" s="150" t="s">
        <v>2377</v>
      </c>
    </row>
    <row r="1138" spans="1:15" ht="59.25" customHeight="1" x14ac:dyDescent="0.35">
      <c r="A1138" s="272" t="s">
        <v>3833</v>
      </c>
      <c r="B1138" s="463" t="s">
        <v>2378</v>
      </c>
      <c r="C1138" s="457" t="s">
        <v>1587</v>
      </c>
      <c r="D1138" s="141" t="s">
        <v>4</v>
      </c>
      <c r="E1138" s="180" t="s">
        <v>2451</v>
      </c>
      <c r="F1138" s="180">
        <v>31050411</v>
      </c>
      <c r="G1138" s="180"/>
      <c r="H1138" s="180" t="s">
        <v>3241</v>
      </c>
      <c r="I1138" s="364" t="s">
        <v>193</v>
      </c>
      <c r="J1138" s="393">
        <v>150000000</v>
      </c>
      <c r="K1138" s="627"/>
      <c r="L1138" s="394"/>
      <c r="M1138" s="394" t="s">
        <v>5133</v>
      </c>
      <c r="N1138" s="682">
        <v>2700000000</v>
      </c>
      <c r="O1138" s="150" t="s">
        <v>2378</v>
      </c>
    </row>
    <row r="1139" spans="1:15" ht="63.75" customHeight="1" x14ac:dyDescent="0.35">
      <c r="A1139" s="272" t="s">
        <v>3834</v>
      </c>
      <c r="B1139" s="463" t="s">
        <v>4799</v>
      </c>
      <c r="C1139" s="457" t="s">
        <v>3277</v>
      </c>
      <c r="D1139" s="141" t="s">
        <v>4</v>
      </c>
      <c r="E1139" s="180" t="s">
        <v>2451</v>
      </c>
      <c r="F1139" s="180">
        <v>31050411</v>
      </c>
      <c r="G1139" s="180"/>
      <c r="H1139" s="180" t="s">
        <v>3241</v>
      </c>
      <c r="I1139" s="364" t="s">
        <v>193</v>
      </c>
      <c r="J1139" s="393">
        <f>150000000+250000000</f>
        <v>400000000</v>
      </c>
      <c r="K1139" s="627">
        <v>150000000</v>
      </c>
      <c r="L1139" s="394"/>
      <c r="M1139" s="394" t="s">
        <v>5133</v>
      </c>
      <c r="N1139" s="682">
        <v>500000000</v>
      </c>
      <c r="O1139" s="150" t="s">
        <v>2379</v>
      </c>
    </row>
    <row r="1140" spans="1:15" ht="65.25" customHeight="1" x14ac:dyDescent="0.35">
      <c r="A1140" s="272" t="s">
        <v>3835</v>
      </c>
      <c r="B1140" s="463" t="s">
        <v>2380</v>
      </c>
      <c r="C1140" s="457" t="s">
        <v>3277</v>
      </c>
      <c r="D1140" s="141" t="s">
        <v>4</v>
      </c>
      <c r="E1140" s="180" t="s">
        <v>2451</v>
      </c>
      <c r="F1140" s="180">
        <v>31050411</v>
      </c>
      <c r="G1140" s="180"/>
      <c r="H1140" s="180" t="s">
        <v>3241</v>
      </c>
      <c r="I1140" s="364" t="s">
        <v>193</v>
      </c>
      <c r="J1140" s="393">
        <f>150000000+350000000</f>
        <v>500000000</v>
      </c>
      <c r="K1140" s="627">
        <v>300000000</v>
      </c>
      <c r="L1140" s="394"/>
      <c r="M1140" s="394" t="s">
        <v>5133</v>
      </c>
      <c r="N1140" s="682">
        <v>500000000</v>
      </c>
      <c r="O1140" s="150" t="s">
        <v>2380</v>
      </c>
    </row>
    <row r="1141" spans="1:15" ht="41.25" customHeight="1" x14ac:dyDescent="0.35">
      <c r="A1141" s="272" t="s">
        <v>3836</v>
      </c>
      <c r="B1141" s="463" t="s">
        <v>2381</v>
      </c>
      <c r="C1141" s="457" t="s">
        <v>639</v>
      </c>
      <c r="D1141" s="141" t="s">
        <v>4</v>
      </c>
      <c r="E1141" s="180" t="s">
        <v>2451</v>
      </c>
      <c r="F1141" s="180">
        <v>31050411</v>
      </c>
      <c r="G1141" s="180"/>
      <c r="H1141" s="180" t="s">
        <v>3241</v>
      </c>
      <c r="I1141" s="364" t="s">
        <v>193</v>
      </c>
      <c r="J1141" s="393">
        <v>100000000</v>
      </c>
      <c r="K1141" s="627"/>
      <c r="L1141" s="394"/>
      <c r="M1141" s="394" t="s">
        <v>5133</v>
      </c>
      <c r="N1141" s="682">
        <v>500000000</v>
      </c>
      <c r="O1141" s="150" t="s">
        <v>2381</v>
      </c>
    </row>
    <row r="1142" spans="1:15" ht="54" customHeight="1" x14ac:dyDescent="0.35">
      <c r="A1142" s="272" t="s">
        <v>3837</v>
      </c>
      <c r="B1142" s="463" t="s">
        <v>2382</v>
      </c>
      <c r="C1142" s="457" t="s">
        <v>410</v>
      </c>
      <c r="D1142" s="141" t="s">
        <v>4</v>
      </c>
      <c r="E1142" s="180" t="s">
        <v>2451</v>
      </c>
      <c r="F1142" s="180">
        <v>31050411</v>
      </c>
      <c r="G1142" s="180"/>
      <c r="H1142" s="180" t="s">
        <v>3241</v>
      </c>
      <c r="I1142" s="364" t="s">
        <v>193</v>
      </c>
      <c r="J1142" s="393">
        <v>100000000</v>
      </c>
      <c r="K1142" s="627"/>
      <c r="L1142" s="394"/>
      <c r="M1142" s="394" t="s">
        <v>5133</v>
      </c>
      <c r="N1142" s="682">
        <v>1500000000</v>
      </c>
      <c r="O1142" s="150" t="s">
        <v>2382</v>
      </c>
    </row>
    <row r="1143" spans="1:15" ht="54" customHeight="1" x14ac:dyDescent="0.35">
      <c r="A1143" s="272" t="s">
        <v>3838</v>
      </c>
      <c r="B1143" s="463" t="s">
        <v>2383</v>
      </c>
      <c r="C1143" s="457" t="s">
        <v>3278</v>
      </c>
      <c r="D1143" s="141" t="s">
        <v>4</v>
      </c>
      <c r="E1143" s="180" t="s">
        <v>2451</v>
      </c>
      <c r="F1143" s="180">
        <v>31050411</v>
      </c>
      <c r="G1143" s="180"/>
      <c r="H1143" s="180" t="s">
        <v>3241</v>
      </c>
      <c r="I1143" s="364" t="s">
        <v>193</v>
      </c>
      <c r="J1143" s="393">
        <f>150000000+350000000</f>
        <v>500000000</v>
      </c>
      <c r="K1143" s="627"/>
      <c r="L1143" s="394"/>
      <c r="M1143" s="394" t="s">
        <v>5133</v>
      </c>
      <c r="N1143" s="682">
        <v>1500000000</v>
      </c>
      <c r="O1143" s="150" t="s">
        <v>2383</v>
      </c>
    </row>
    <row r="1144" spans="1:15" ht="84.75" customHeight="1" x14ac:dyDescent="0.35">
      <c r="A1144" s="272" t="s">
        <v>3839</v>
      </c>
      <c r="B1144" s="463" t="s">
        <v>2384</v>
      </c>
      <c r="C1144" s="457" t="s">
        <v>3279</v>
      </c>
      <c r="D1144" s="141" t="s">
        <v>4</v>
      </c>
      <c r="E1144" s="180" t="s">
        <v>2451</v>
      </c>
      <c r="F1144" s="180">
        <v>31050411</v>
      </c>
      <c r="G1144" s="180"/>
      <c r="H1144" s="180" t="s">
        <v>3241</v>
      </c>
      <c r="I1144" s="364" t="s">
        <v>168</v>
      </c>
      <c r="J1144" s="393">
        <v>7431418.25</v>
      </c>
      <c r="K1144" s="627"/>
      <c r="L1144" s="394"/>
      <c r="M1144" s="394" t="s">
        <v>5133</v>
      </c>
      <c r="N1144" s="682">
        <v>1500000000</v>
      </c>
      <c r="O1144" s="150" t="s">
        <v>2384</v>
      </c>
    </row>
    <row r="1145" spans="1:15" ht="47.25" customHeight="1" x14ac:dyDescent="0.35">
      <c r="A1145" s="272" t="s">
        <v>3840</v>
      </c>
      <c r="B1145" s="463" t="s">
        <v>2385</v>
      </c>
      <c r="C1145" s="457" t="s">
        <v>3280</v>
      </c>
      <c r="D1145" s="141" t="s">
        <v>4</v>
      </c>
      <c r="E1145" s="180" t="s">
        <v>2451</v>
      </c>
      <c r="F1145" s="180">
        <v>31050411</v>
      </c>
      <c r="G1145" s="180"/>
      <c r="H1145" s="180" t="s">
        <v>3241</v>
      </c>
      <c r="I1145" s="364" t="s">
        <v>193</v>
      </c>
      <c r="J1145" s="393">
        <v>80000000</v>
      </c>
      <c r="K1145" s="627"/>
      <c r="L1145" s="394"/>
      <c r="M1145" s="394" t="s">
        <v>5133</v>
      </c>
      <c r="N1145" s="682">
        <v>1500000000</v>
      </c>
      <c r="O1145" s="150" t="s">
        <v>2385</v>
      </c>
    </row>
    <row r="1146" spans="1:15" ht="54.75" customHeight="1" x14ac:dyDescent="0.35">
      <c r="A1146" s="272" t="s">
        <v>3841</v>
      </c>
      <c r="B1146" s="463" t="s">
        <v>2386</v>
      </c>
      <c r="C1146" s="457" t="s">
        <v>873</v>
      </c>
      <c r="D1146" s="141" t="s">
        <v>4</v>
      </c>
      <c r="E1146" s="180" t="s">
        <v>2451</v>
      </c>
      <c r="F1146" s="180">
        <v>31050411</v>
      </c>
      <c r="G1146" s="180"/>
      <c r="H1146" s="180" t="s">
        <v>3241</v>
      </c>
      <c r="I1146" s="364" t="s">
        <v>168</v>
      </c>
      <c r="J1146" s="393">
        <v>39000000</v>
      </c>
      <c r="K1146" s="627"/>
      <c r="L1146" s="394"/>
      <c r="M1146" s="394" t="s">
        <v>5133</v>
      </c>
      <c r="N1146" s="682">
        <v>400000000</v>
      </c>
      <c r="O1146" s="150" t="s">
        <v>2386</v>
      </c>
    </row>
    <row r="1147" spans="1:15" ht="54.75" customHeight="1" x14ac:dyDescent="0.35">
      <c r="A1147" s="272" t="s">
        <v>3842</v>
      </c>
      <c r="B1147" s="463" t="s">
        <v>2387</v>
      </c>
      <c r="C1147" s="457" t="s">
        <v>619</v>
      </c>
      <c r="D1147" s="141" t="s">
        <v>4</v>
      </c>
      <c r="E1147" s="180" t="s">
        <v>2451</v>
      </c>
      <c r="F1147" s="180">
        <v>31050411</v>
      </c>
      <c r="G1147" s="180"/>
      <c r="H1147" s="180" t="s">
        <v>3241</v>
      </c>
      <c r="I1147" s="364" t="s">
        <v>193</v>
      </c>
      <c r="J1147" s="393">
        <f>150000000+250000000</f>
        <v>400000000</v>
      </c>
      <c r="K1147" s="627"/>
      <c r="L1147" s="394"/>
      <c r="M1147" s="394" t="s">
        <v>5133</v>
      </c>
      <c r="N1147" s="682">
        <v>200000000</v>
      </c>
      <c r="O1147" s="150" t="s">
        <v>2387</v>
      </c>
    </row>
    <row r="1148" spans="1:15" ht="57" customHeight="1" x14ac:dyDescent="0.35">
      <c r="A1148" s="272" t="s">
        <v>3843</v>
      </c>
      <c r="B1148" s="463" t="s">
        <v>2388</v>
      </c>
      <c r="C1148" s="457" t="s">
        <v>2528</v>
      </c>
      <c r="D1148" s="141" t="s">
        <v>4</v>
      </c>
      <c r="E1148" s="180" t="s">
        <v>2451</v>
      </c>
      <c r="F1148" s="180">
        <v>31050411</v>
      </c>
      <c r="G1148" s="180"/>
      <c r="H1148" s="180" t="s">
        <v>3241</v>
      </c>
      <c r="I1148" s="364" t="s">
        <v>168</v>
      </c>
      <c r="J1148" s="393">
        <v>50000000</v>
      </c>
      <c r="K1148" s="627"/>
      <c r="L1148" s="394"/>
      <c r="M1148" s="394" t="s">
        <v>5133</v>
      </c>
      <c r="N1148" s="682">
        <v>500000000</v>
      </c>
      <c r="O1148" s="150" t="s">
        <v>2388</v>
      </c>
    </row>
    <row r="1149" spans="1:15" ht="69.75" customHeight="1" x14ac:dyDescent="0.35">
      <c r="A1149" s="272" t="s">
        <v>3844</v>
      </c>
      <c r="B1149" s="463" t="s">
        <v>2389</v>
      </c>
      <c r="C1149" s="457" t="s">
        <v>3247</v>
      </c>
      <c r="D1149" s="141" t="s">
        <v>4</v>
      </c>
      <c r="E1149" s="180" t="s">
        <v>2451</v>
      </c>
      <c r="F1149" s="180">
        <v>31050411</v>
      </c>
      <c r="G1149" s="180"/>
      <c r="H1149" s="180" t="s">
        <v>3241</v>
      </c>
      <c r="I1149" s="364" t="s">
        <v>193</v>
      </c>
      <c r="J1149" s="393">
        <v>120000000</v>
      </c>
      <c r="K1149" s="627"/>
      <c r="L1149" s="394"/>
      <c r="M1149" s="394" t="s">
        <v>5133</v>
      </c>
      <c r="N1149" s="682">
        <v>50000000</v>
      </c>
      <c r="O1149" s="150" t="s">
        <v>2389</v>
      </c>
    </row>
    <row r="1150" spans="1:15" ht="60" customHeight="1" x14ac:dyDescent="0.35">
      <c r="A1150" s="272" t="s">
        <v>3845</v>
      </c>
      <c r="B1150" s="463" t="s">
        <v>2390</v>
      </c>
      <c r="C1150" s="457" t="s">
        <v>3247</v>
      </c>
      <c r="D1150" s="141" t="s">
        <v>4</v>
      </c>
      <c r="E1150" s="180" t="s">
        <v>2451</v>
      </c>
      <c r="F1150" s="180">
        <v>31050411</v>
      </c>
      <c r="G1150" s="180"/>
      <c r="H1150" s="180" t="s">
        <v>3241</v>
      </c>
      <c r="I1150" s="364" t="s">
        <v>193</v>
      </c>
      <c r="J1150" s="393">
        <v>19697706</v>
      </c>
      <c r="K1150" s="627"/>
      <c r="L1150" s="394"/>
      <c r="M1150" s="394" t="s">
        <v>5133</v>
      </c>
      <c r="N1150" s="682">
        <v>300000000</v>
      </c>
      <c r="O1150" s="150" t="s">
        <v>2390</v>
      </c>
    </row>
    <row r="1151" spans="1:15" ht="54.75" customHeight="1" x14ac:dyDescent="0.35">
      <c r="A1151" s="272" t="s">
        <v>3846</v>
      </c>
      <c r="B1151" s="463" t="s">
        <v>2391</v>
      </c>
      <c r="C1151" s="457" t="s">
        <v>3260</v>
      </c>
      <c r="D1151" s="141" t="s">
        <v>4</v>
      </c>
      <c r="E1151" s="180" t="s">
        <v>2451</v>
      </c>
      <c r="F1151" s="180">
        <v>31050411</v>
      </c>
      <c r="G1151" s="180"/>
      <c r="H1151" s="180" t="s">
        <v>3241</v>
      </c>
      <c r="I1151" s="364" t="s">
        <v>193</v>
      </c>
      <c r="J1151" s="393">
        <v>200000000</v>
      </c>
      <c r="K1151" s="627">
        <v>100000000</v>
      </c>
      <c r="L1151" s="394"/>
      <c r="M1151" s="394" t="s">
        <v>5133</v>
      </c>
      <c r="N1151" s="682">
        <v>400000000</v>
      </c>
      <c r="O1151" s="150" t="s">
        <v>2391</v>
      </c>
    </row>
    <row r="1152" spans="1:15" ht="60" customHeight="1" x14ac:dyDescent="0.35">
      <c r="A1152" s="272" t="s">
        <v>3847</v>
      </c>
      <c r="B1152" s="463" t="s">
        <v>2392</v>
      </c>
      <c r="C1152" s="457" t="s">
        <v>388</v>
      </c>
      <c r="D1152" s="141" t="s">
        <v>4</v>
      </c>
      <c r="E1152" s="180" t="s">
        <v>2451</v>
      </c>
      <c r="F1152" s="180">
        <v>31050411</v>
      </c>
      <c r="G1152" s="180"/>
      <c r="H1152" s="180" t="s">
        <v>3241</v>
      </c>
      <c r="I1152" s="364" t="s">
        <v>168</v>
      </c>
      <c r="J1152" s="393">
        <v>27000000</v>
      </c>
      <c r="K1152" s="627"/>
      <c r="L1152" s="394"/>
      <c r="M1152" s="394" t="s">
        <v>5133</v>
      </c>
      <c r="N1152" s="682">
        <v>400000000</v>
      </c>
      <c r="O1152" s="150" t="s">
        <v>2392</v>
      </c>
    </row>
    <row r="1153" spans="1:15" ht="62.25" customHeight="1" x14ac:dyDescent="0.35">
      <c r="A1153" s="272" t="s">
        <v>3848</v>
      </c>
      <c r="B1153" s="463" t="s">
        <v>2393</v>
      </c>
      <c r="C1153" s="457" t="s">
        <v>196</v>
      </c>
      <c r="D1153" s="141" t="s">
        <v>4</v>
      </c>
      <c r="E1153" s="180" t="s">
        <v>2451</v>
      </c>
      <c r="F1153" s="180">
        <v>31050411</v>
      </c>
      <c r="G1153" s="180"/>
      <c r="H1153" s="180" t="s">
        <v>3241</v>
      </c>
      <c r="I1153" s="364" t="s">
        <v>168</v>
      </c>
      <c r="J1153" s="393">
        <v>90000000</v>
      </c>
      <c r="K1153" s="627"/>
      <c r="L1153" s="394"/>
      <c r="M1153" s="394" t="s">
        <v>5133</v>
      </c>
      <c r="N1153" s="682">
        <v>400000000</v>
      </c>
      <c r="O1153" s="150" t="s">
        <v>2393</v>
      </c>
    </row>
    <row r="1154" spans="1:15" ht="69" customHeight="1" x14ac:dyDescent="0.35">
      <c r="A1154" s="272" t="s">
        <v>3849</v>
      </c>
      <c r="B1154" s="463" t="s">
        <v>2394</v>
      </c>
      <c r="C1154" s="457">
        <v>216</v>
      </c>
      <c r="D1154" s="141" t="s">
        <v>4</v>
      </c>
      <c r="E1154" s="180" t="s">
        <v>2451</v>
      </c>
      <c r="F1154" s="180">
        <v>31050411</v>
      </c>
      <c r="G1154" s="180"/>
      <c r="H1154" s="180" t="s">
        <v>3241</v>
      </c>
      <c r="I1154" s="364" t="s">
        <v>168</v>
      </c>
      <c r="J1154" s="393">
        <v>100000000</v>
      </c>
      <c r="K1154" s="627"/>
      <c r="L1154" s="394"/>
      <c r="M1154" s="394" t="s">
        <v>5133</v>
      </c>
      <c r="N1154" s="682">
        <v>400000000</v>
      </c>
      <c r="O1154" s="150" t="s">
        <v>2394</v>
      </c>
    </row>
    <row r="1155" spans="1:15" ht="39" customHeight="1" x14ac:dyDescent="0.35">
      <c r="A1155" s="272" t="s">
        <v>3850</v>
      </c>
      <c r="B1155" s="463" t="s">
        <v>2395</v>
      </c>
      <c r="C1155" s="457" t="s">
        <v>1759</v>
      </c>
      <c r="D1155" s="141" t="s">
        <v>4</v>
      </c>
      <c r="E1155" s="180" t="s">
        <v>2451</v>
      </c>
      <c r="F1155" s="180">
        <v>31050411</v>
      </c>
      <c r="G1155" s="180"/>
      <c r="H1155" s="180" t="s">
        <v>3241</v>
      </c>
      <c r="I1155" s="364" t="s">
        <v>193</v>
      </c>
      <c r="J1155" s="393">
        <f>150000000+150000000</f>
        <v>300000000</v>
      </c>
      <c r="K1155" s="627"/>
      <c r="L1155" s="394"/>
      <c r="M1155" s="394" t="s">
        <v>5133</v>
      </c>
      <c r="N1155" s="682">
        <v>150000000</v>
      </c>
      <c r="O1155" s="150" t="s">
        <v>2395</v>
      </c>
    </row>
    <row r="1156" spans="1:15" ht="54.75" customHeight="1" x14ac:dyDescent="0.35">
      <c r="A1156" s="272" t="s">
        <v>3851</v>
      </c>
      <c r="B1156" s="463" t="s">
        <v>2396</v>
      </c>
      <c r="C1156" s="457" t="s">
        <v>650</v>
      </c>
      <c r="D1156" s="141" t="s">
        <v>4</v>
      </c>
      <c r="E1156" s="180" t="s">
        <v>2451</v>
      </c>
      <c r="F1156" s="180">
        <v>31050411</v>
      </c>
      <c r="G1156" s="180"/>
      <c r="H1156" s="180" t="s">
        <v>3241</v>
      </c>
      <c r="I1156" s="364" t="s">
        <v>193</v>
      </c>
      <c r="J1156" s="393">
        <v>120000000</v>
      </c>
      <c r="K1156" s="627"/>
      <c r="L1156" s="394"/>
      <c r="M1156" s="394" t="s">
        <v>5133</v>
      </c>
      <c r="N1156" s="682">
        <v>760000000</v>
      </c>
      <c r="O1156" s="150" t="s">
        <v>2396</v>
      </c>
    </row>
    <row r="1157" spans="1:15" ht="45" customHeight="1" x14ac:dyDescent="0.35">
      <c r="A1157" s="272" t="s">
        <v>3852</v>
      </c>
      <c r="B1157" s="463" t="s">
        <v>2397</v>
      </c>
      <c r="C1157" s="457" t="s">
        <v>650</v>
      </c>
      <c r="D1157" s="141" t="s">
        <v>4</v>
      </c>
      <c r="E1157" s="180" t="s">
        <v>2451</v>
      </c>
      <c r="F1157" s="180">
        <v>31050411</v>
      </c>
      <c r="G1157" s="180"/>
      <c r="H1157" s="180" t="s">
        <v>3241</v>
      </c>
      <c r="I1157" s="364" t="s">
        <v>193</v>
      </c>
      <c r="J1157" s="393">
        <v>120000000</v>
      </c>
      <c r="K1157" s="627"/>
      <c r="L1157" s="394"/>
      <c r="M1157" s="394" t="s">
        <v>5133</v>
      </c>
      <c r="N1157" s="682">
        <v>300000000</v>
      </c>
      <c r="O1157" s="150" t="s">
        <v>2397</v>
      </c>
    </row>
    <row r="1158" spans="1:15" ht="62.25" customHeight="1" x14ac:dyDescent="0.35">
      <c r="A1158" s="272" t="s">
        <v>3853</v>
      </c>
      <c r="B1158" s="463" t="s">
        <v>2398</v>
      </c>
      <c r="C1158" s="457" t="s">
        <v>816</v>
      </c>
      <c r="D1158" s="141" t="s">
        <v>4</v>
      </c>
      <c r="E1158" s="180" t="s">
        <v>2451</v>
      </c>
      <c r="F1158" s="180">
        <v>31050411</v>
      </c>
      <c r="G1158" s="180"/>
      <c r="H1158" s="180" t="s">
        <v>3241</v>
      </c>
      <c r="I1158" s="364" t="s">
        <v>193</v>
      </c>
      <c r="J1158" s="393">
        <v>80000000</v>
      </c>
      <c r="K1158" s="627"/>
      <c r="L1158" s="394"/>
      <c r="M1158" s="394" t="s">
        <v>5133</v>
      </c>
      <c r="N1158" s="682">
        <v>200000000</v>
      </c>
      <c r="O1158" s="150" t="s">
        <v>2398</v>
      </c>
    </row>
    <row r="1159" spans="1:15" ht="69.75" customHeight="1" x14ac:dyDescent="0.35">
      <c r="A1159" s="272" t="s">
        <v>3854</v>
      </c>
      <c r="B1159" s="463" t="s">
        <v>2399</v>
      </c>
      <c r="C1159" s="457">
        <v>325</v>
      </c>
      <c r="D1159" s="141" t="s">
        <v>4</v>
      </c>
      <c r="E1159" s="180" t="s">
        <v>2451</v>
      </c>
      <c r="F1159" s="180">
        <v>31050411</v>
      </c>
      <c r="G1159" s="180"/>
      <c r="H1159" s="180" t="s">
        <v>3241</v>
      </c>
      <c r="I1159" s="364" t="s">
        <v>168</v>
      </c>
      <c r="J1159" s="393">
        <v>120000000</v>
      </c>
      <c r="K1159" s="627"/>
      <c r="L1159" s="394"/>
      <c r="M1159" s="394" t="s">
        <v>5133</v>
      </c>
      <c r="N1159" s="682">
        <v>200000000</v>
      </c>
      <c r="O1159" s="150" t="s">
        <v>2399</v>
      </c>
    </row>
    <row r="1160" spans="1:15" ht="60" customHeight="1" x14ac:dyDescent="0.35">
      <c r="A1160" s="272" t="s">
        <v>3855</v>
      </c>
      <c r="B1160" s="463" t="s">
        <v>2400</v>
      </c>
      <c r="C1160" s="457">
        <v>212</v>
      </c>
      <c r="D1160" s="141" t="s">
        <v>4</v>
      </c>
      <c r="E1160" s="180" t="s">
        <v>2451</v>
      </c>
      <c r="F1160" s="180">
        <v>31050411</v>
      </c>
      <c r="G1160" s="180"/>
      <c r="H1160" s="180" t="s">
        <v>3241</v>
      </c>
      <c r="I1160" s="364" t="s">
        <v>193</v>
      </c>
      <c r="J1160" s="393">
        <v>80000000</v>
      </c>
      <c r="K1160" s="627"/>
      <c r="L1160" s="394"/>
      <c r="M1160" s="394" t="s">
        <v>5133</v>
      </c>
      <c r="N1160" s="682">
        <v>600000000</v>
      </c>
      <c r="O1160" s="150" t="s">
        <v>2400</v>
      </c>
    </row>
    <row r="1161" spans="1:15" ht="57.75" customHeight="1" x14ac:dyDescent="0.35">
      <c r="A1161" s="272" t="s">
        <v>3856</v>
      </c>
      <c r="B1161" s="463" t="s">
        <v>2401</v>
      </c>
      <c r="C1161" s="457" t="s">
        <v>1637</v>
      </c>
      <c r="D1161" s="141" t="s">
        <v>4</v>
      </c>
      <c r="E1161" s="180" t="s">
        <v>2451</v>
      </c>
      <c r="F1161" s="180">
        <v>31050411</v>
      </c>
      <c r="G1161" s="180"/>
      <c r="H1161" s="180" t="s">
        <v>3241</v>
      </c>
      <c r="I1161" s="364" t="s">
        <v>193</v>
      </c>
      <c r="J1161" s="393">
        <f>150000000+150000000</f>
        <v>300000000</v>
      </c>
      <c r="K1161" s="627"/>
      <c r="L1161" s="394"/>
      <c r="M1161" s="394" t="s">
        <v>5133</v>
      </c>
      <c r="N1161" s="682">
        <v>400000000</v>
      </c>
      <c r="O1161" s="150" t="s">
        <v>2401</v>
      </c>
    </row>
    <row r="1162" spans="1:15" ht="73.5" customHeight="1" x14ac:dyDescent="0.35">
      <c r="A1162" s="272" t="s">
        <v>3857</v>
      </c>
      <c r="B1162" s="463" t="s">
        <v>2402</v>
      </c>
      <c r="C1162" s="457" t="s">
        <v>3247</v>
      </c>
      <c r="D1162" s="141" t="s">
        <v>4</v>
      </c>
      <c r="E1162" s="180" t="s">
        <v>2451</v>
      </c>
      <c r="F1162" s="180">
        <v>31050411</v>
      </c>
      <c r="G1162" s="180"/>
      <c r="H1162" s="180" t="s">
        <v>3241</v>
      </c>
      <c r="I1162" s="364" t="s">
        <v>193</v>
      </c>
      <c r="J1162" s="393">
        <v>100000000</v>
      </c>
      <c r="K1162" s="627"/>
      <c r="L1162" s="394"/>
      <c r="M1162" s="394" t="s">
        <v>5133</v>
      </c>
      <c r="N1162" s="682">
        <v>300000000</v>
      </c>
      <c r="O1162" s="150" t="s">
        <v>2402</v>
      </c>
    </row>
    <row r="1163" spans="1:15" ht="62.25" customHeight="1" x14ac:dyDescent="0.35">
      <c r="A1163" s="272" t="s">
        <v>3858</v>
      </c>
      <c r="B1163" s="463" t="s">
        <v>2403</v>
      </c>
      <c r="C1163" s="457" t="s">
        <v>196</v>
      </c>
      <c r="D1163" s="141" t="s">
        <v>4</v>
      </c>
      <c r="E1163" s="180" t="s">
        <v>2451</v>
      </c>
      <c r="F1163" s="180">
        <v>31050411</v>
      </c>
      <c r="G1163" s="180"/>
      <c r="H1163" s="180" t="s">
        <v>3241</v>
      </c>
      <c r="I1163" s="364" t="s">
        <v>193</v>
      </c>
      <c r="J1163" s="393">
        <v>6936956.9399999976</v>
      </c>
      <c r="K1163" s="627"/>
      <c r="L1163" s="394"/>
      <c r="M1163" s="394" t="s">
        <v>5133</v>
      </c>
      <c r="N1163" s="682">
        <v>300000000</v>
      </c>
      <c r="O1163" s="150" t="s">
        <v>2403</v>
      </c>
    </row>
    <row r="1164" spans="1:15" ht="42" customHeight="1" x14ac:dyDescent="0.35">
      <c r="A1164" s="272" t="s">
        <v>3859</v>
      </c>
      <c r="B1164" s="463" t="s">
        <v>2404</v>
      </c>
      <c r="C1164" s="457">
        <v>107</v>
      </c>
      <c r="D1164" s="141" t="s">
        <v>4</v>
      </c>
      <c r="E1164" s="180" t="s">
        <v>2451</v>
      </c>
      <c r="F1164" s="180">
        <v>31050411</v>
      </c>
      <c r="G1164" s="180"/>
      <c r="H1164" s="180" t="s">
        <v>3241</v>
      </c>
      <c r="I1164" s="364" t="s">
        <v>193</v>
      </c>
      <c r="J1164" s="393">
        <f>150000000+250000000</f>
        <v>400000000</v>
      </c>
      <c r="K1164" s="627"/>
      <c r="L1164" s="394"/>
      <c r="M1164" s="394" t="s">
        <v>5133</v>
      </c>
      <c r="N1164" s="682">
        <v>200000000</v>
      </c>
      <c r="O1164" s="150" t="s">
        <v>2404</v>
      </c>
    </row>
    <row r="1165" spans="1:15" ht="66" customHeight="1" x14ac:dyDescent="0.35">
      <c r="A1165" s="272" t="s">
        <v>3860</v>
      </c>
      <c r="B1165" s="463" t="s">
        <v>2405</v>
      </c>
      <c r="C1165" s="457" t="s">
        <v>3250</v>
      </c>
      <c r="D1165" s="141" t="s">
        <v>4</v>
      </c>
      <c r="E1165" s="180" t="s">
        <v>2451</v>
      </c>
      <c r="F1165" s="180">
        <v>31050411</v>
      </c>
      <c r="G1165" s="180"/>
      <c r="H1165" s="180" t="s">
        <v>3241</v>
      </c>
      <c r="I1165" s="364" t="s">
        <v>193</v>
      </c>
      <c r="J1165" s="393">
        <v>181287293.11000001</v>
      </c>
      <c r="K1165" s="627"/>
      <c r="L1165" s="394"/>
      <c r="M1165" s="394" t="s">
        <v>5133</v>
      </c>
      <c r="N1165" s="682">
        <v>50000000</v>
      </c>
      <c r="O1165" s="150" t="s">
        <v>2405</v>
      </c>
    </row>
    <row r="1166" spans="1:15" ht="65.25" customHeight="1" x14ac:dyDescent="0.35">
      <c r="A1166" s="272" t="s">
        <v>3861</v>
      </c>
      <c r="B1166" s="463" t="s">
        <v>2406</v>
      </c>
      <c r="C1166" s="457" t="s">
        <v>391</v>
      </c>
      <c r="D1166" s="141" t="s">
        <v>4</v>
      </c>
      <c r="E1166" s="180" t="s">
        <v>2451</v>
      </c>
      <c r="F1166" s="180">
        <v>31050411</v>
      </c>
      <c r="G1166" s="180"/>
      <c r="H1166" s="180" t="s">
        <v>3241</v>
      </c>
      <c r="I1166" s="364" t="s">
        <v>193</v>
      </c>
      <c r="J1166" s="393">
        <v>22967709.300000012</v>
      </c>
      <c r="K1166" s="627"/>
      <c r="L1166" s="394"/>
      <c r="M1166" s="394" t="s">
        <v>5133</v>
      </c>
      <c r="N1166" s="625">
        <v>700000000</v>
      </c>
      <c r="O1166" s="150" t="s">
        <v>2406</v>
      </c>
    </row>
    <row r="1167" spans="1:15" ht="77.25" customHeight="1" x14ac:dyDescent="0.35">
      <c r="A1167" s="272" t="s">
        <v>3862</v>
      </c>
      <c r="B1167" s="463" t="s">
        <v>2407</v>
      </c>
      <c r="C1167" s="457" t="s">
        <v>3281</v>
      </c>
      <c r="D1167" s="141" t="s">
        <v>4</v>
      </c>
      <c r="E1167" s="180" t="s">
        <v>2451</v>
      </c>
      <c r="F1167" s="180">
        <v>31050411</v>
      </c>
      <c r="G1167" s="180"/>
      <c r="H1167" s="180" t="s">
        <v>3241</v>
      </c>
      <c r="I1167" s="364" t="s">
        <v>193</v>
      </c>
      <c r="J1167" s="393">
        <v>92000000</v>
      </c>
      <c r="K1167" s="627"/>
      <c r="L1167" s="394"/>
      <c r="M1167" s="394" t="s">
        <v>5133</v>
      </c>
      <c r="N1167" s="682">
        <v>300000000</v>
      </c>
      <c r="O1167" s="150" t="s">
        <v>2407</v>
      </c>
    </row>
    <row r="1168" spans="1:15" ht="48.75" customHeight="1" x14ac:dyDescent="0.35">
      <c r="A1168" s="272" t="s">
        <v>3863</v>
      </c>
      <c r="B1168" s="463" t="s">
        <v>2408</v>
      </c>
      <c r="C1168" s="457" t="s">
        <v>478</v>
      </c>
      <c r="D1168" s="141" t="s">
        <v>4</v>
      </c>
      <c r="E1168" s="180" t="s">
        <v>2451</v>
      </c>
      <c r="F1168" s="180">
        <v>31050411</v>
      </c>
      <c r="G1168" s="180"/>
      <c r="H1168" s="180" t="s">
        <v>3241</v>
      </c>
      <c r="I1168" s="364" t="s">
        <v>193</v>
      </c>
      <c r="J1168" s="393">
        <v>100000000</v>
      </c>
      <c r="K1168" s="627"/>
      <c r="L1168" s="394"/>
      <c r="M1168" s="394" t="s">
        <v>5133</v>
      </c>
      <c r="N1168" s="682">
        <v>500000000</v>
      </c>
      <c r="O1168" s="150" t="s">
        <v>2408</v>
      </c>
    </row>
    <row r="1169" spans="1:15" ht="72.75" customHeight="1" x14ac:dyDescent="0.35">
      <c r="A1169" s="272" t="s">
        <v>3864</v>
      </c>
      <c r="B1169" s="463" t="s">
        <v>2409</v>
      </c>
      <c r="C1169" s="457">
        <v>216</v>
      </c>
      <c r="D1169" s="141" t="s">
        <v>4</v>
      </c>
      <c r="E1169" s="180" t="s">
        <v>2451</v>
      </c>
      <c r="F1169" s="180">
        <v>31050411</v>
      </c>
      <c r="G1169" s="180"/>
      <c r="H1169" s="180" t="s">
        <v>3241</v>
      </c>
      <c r="I1169" s="364" t="s">
        <v>193</v>
      </c>
      <c r="J1169" s="393">
        <f>250000000+250000000</f>
        <v>500000000</v>
      </c>
      <c r="K1169" s="627">
        <v>500000000</v>
      </c>
      <c r="L1169" s="394"/>
      <c r="M1169" s="394" t="s">
        <v>5133</v>
      </c>
      <c r="N1169" s="682">
        <v>300000000</v>
      </c>
      <c r="O1169" s="150" t="s">
        <v>2409</v>
      </c>
    </row>
    <row r="1170" spans="1:15" ht="42.75" customHeight="1" x14ac:dyDescent="0.35">
      <c r="A1170" s="272" t="s">
        <v>3865</v>
      </c>
      <c r="B1170" s="463" t="s">
        <v>2410</v>
      </c>
      <c r="C1170" s="457" t="s">
        <v>3247</v>
      </c>
      <c r="D1170" s="141" t="s">
        <v>4</v>
      </c>
      <c r="E1170" s="180" t="s">
        <v>2451</v>
      </c>
      <c r="F1170" s="180">
        <v>31050411</v>
      </c>
      <c r="G1170" s="180"/>
      <c r="H1170" s="180" t="s">
        <v>3241</v>
      </c>
      <c r="I1170" s="364" t="s">
        <v>193</v>
      </c>
      <c r="J1170" s="393">
        <v>80000000</v>
      </c>
      <c r="K1170" s="627"/>
      <c r="L1170" s="394"/>
      <c r="M1170" s="394" t="s">
        <v>5133</v>
      </c>
      <c r="N1170" s="682">
        <v>400000000</v>
      </c>
      <c r="O1170" s="150" t="s">
        <v>2410</v>
      </c>
    </row>
    <row r="1171" spans="1:15" ht="96.75" customHeight="1" x14ac:dyDescent="0.35">
      <c r="A1171" s="272" t="s">
        <v>3866</v>
      </c>
      <c r="B1171" s="463" t="s">
        <v>2411</v>
      </c>
      <c r="C1171" s="457">
        <v>426</v>
      </c>
      <c r="D1171" s="141" t="s">
        <v>4</v>
      </c>
      <c r="E1171" s="180" t="s">
        <v>2451</v>
      </c>
      <c r="F1171" s="180">
        <v>31050411</v>
      </c>
      <c r="G1171" s="180"/>
      <c r="H1171" s="180" t="s">
        <v>3241</v>
      </c>
      <c r="I1171" s="364" t="s">
        <v>168</v>
      </c>
      <c r="J1171" s="393">
        <v>9830445.6600000001</v>
      </c>
      <c r="K1171" s="627"/>
      <c r="L1171" s="394"/>
      <c r="M1171" s="394" t="s">
        <v>5133</v>
      </c>
      <c r="N1171" s="682">
        <v>500000000</v>
      </c>
      <c r="O1171" s="150" t="s">
        <v>2411</v>
      </c>
    </row>
    <row r="1172" spans="1:15" ht="58.5" customHeight="1" x14ac:dyDescent="0.35">
      <c r="A1172" s="272" t="s">
        <v>3867</v>
      </c>
      <c r="B1172" s="463" t="s">
        <v>2412</v>
      </c>
      <c r="C1172" s="457" t="s">
        <v>873</v>
      </c>
      <c r="D1172" s="141" t="s">
        <v>4</v>
      </c>
      <c r="E1172" s="180" t="s">
        <v>2451</v>
      </c>
      <c r="F1172" s="180">
        <v>31050411</v>
      </c>
      <c r="G1172" s="180"/>
      <c r="H1172" s="180" t="s">
        <v>3241</v>
      </c>
      <c r="I1172" s="364" t="s">
        <v>193</v>
      </c>
      <c r="J1172" s="393">
        <v>30000000</v>
      </c>
      <c r="K1172" s="627"/>
      <c r="L1172" s="394"/>
      <c r="M1172" s="394" t="s">
        <v>5133</v>
      </c>
      <c r="N1172" s="682">
        <v>371887728</v>
      </c>
      <c r="O1172" s="150" t="s">
        <v>2412</v>
      </c>
    </row>
    <row r="1173" spans="1:15" ht="56.25" customHeight="1" x14ac:dyDescent="0.35">
      <c r="A1173" s="272" t="s">
        <v>3868</v>
      </c>
      <c r="B1173" s="463" t="s">
        <v>2413</v>
      </c>
      <c r="C1173" s="457" t="s">
        <v>3247</v>
      </c>
      <c r="D1173" s="141" t="s">
        <v>4</v>
      </c>
      <c r="E1173" s="180" t="s">
        <v>2451</v>
      </c>
      <c r="F1173" s="180">
        <v>31050411</v>
      </c>
      <c r="G1173" s="180"/>
      <c r="H1173" s="180" t="s">
        <v>3241</v>
      </c>
      <c r="I1173" s="364" t="s">
        <v>193</v>
      </c>
      <c r="J1173" s="393">
        <v>100000000</v>
      </c>
      <c r="K1173" s="627"/>
      <c r="L1173" s="394"/>
      <c r="M1173" s="394" t="s">
        <v>5133</v>
      </c>
      <c r="N1173" s="682">
        <v>500000000</v>
      </c>
      <c r="O1173" s="150" t="s">
        <v>2413</v>
      </c>
    </row>
    <row r="1174" spans="1:15" ht="93.75" customHeight="1" x14ac:dyDescent="0.35">
      <c r="A1174" s="272" t="s">
        <v>3869</v>
      </c>
      <c r="B1174" s="463" t="s">
        <v>2414</v>
      </c>
      <c r="C1174" s="457" t="s">
        <v>3282</v>
      </c>
      <c r="D1174" s="141" t="s">
        <v>4</v>
      </c>
      <c r="E1174" s="180" t="s">
        <v>2451</v>
      </c>
      <c r="F1174" s="180">
        <v>31050411</v>
      </c>
      <c r="G1174" s="180"/>
      <c r="H1174" s="180" t="s">
        <v>3241</v>
      </c>
      <c r="I1174" s="364" t="s">
        <v>193</v>
      </c>
      <c r="J1174" s="393">
        <f>150000000+150000000</f>
        <v>300000000</v>
      </c>
      <c r="K1174" s="627">
        <v>250000000</v>
      </c>
      <c r="L1174" s="394"/>
      <c r="M1174" s="394" t="s">
        <v>5133</v>
      </c>
      <c r="N1174" s="682">
        <v>400000000</v>
      </c>
      <c r="O1174" s="150" t="s">
        <v>2414</v>
      </c>
    </row>
    <row r="1175" spans="1:15" ht="56.25" customHeight="1" x14ac:dyDescent="0.35">
      <c r="A1175" s="272" t="s">
        <v>3870</v>
      </c>
      <c r="B1175" s="463" t="s">
        <v>2415</v>
      </c>
      <c r="C1175" s="457" t="s">
        <v>3283</v>
      </c>
      <c r="D1175" s="141" t="s">
        <v>4</v>
      </c>
      <c r="E1175" s="180" t="s">
        <v>2451</v>
      </c>
      <c r="F1175" s="180">
        <v>31050411</v>
      </c>
      <c r="G1175" s="180"/>
      <c r="H1175" s="180" t="s">
        <v>3241</v>
      </c>
      <c r="I1175" s="364" t="s">
        <v>193</v>
      </c>
      <c r="J1175" s="393">
        <v>3822623.28</v>
      </c>
      <c r="K1175" s="627"/>
      <c r="L1175" s="394"/>
      <c r="M1175" s="394" t="s">
        <v>5133</v>
      </c>
      <c r="N1175" s="682">
        <v>250000000</v>
      </c>
      <c r="O1175" s="150" t="s">
        <v>2415</v>
      </c>
    </row>
    <row r="1176" spans="1:15" ht="59.25" customHeight="1" x14ac:dyDescent="0.35">
      <c r="A1176" s="272" t="s">
        <v>3871</v>
      </c>
      <c r="B1176" s="463" t="s">
        <v>2416</v>
      </c>
      <c r="C1176" s="457" t="s">
        <v>3283</v>
      </c>
      <c r="D1176" s="141" t="s">
        <v>4</v>
      </c>
      <c r="E1176" s="180" t="s">
        <v>2451</v>
      </c>
      <c r="F1176" s="180">
        <v>31050411</v>
      </c>
      <c r="G1176" s="180"/>
      <c r="H1176" s="180" t="s">
        <v>3241</v>
      </c>
      <c r="I1176" s="364" t="s">
        <v>168</v>
      </c>
      <c r="J1176" s="393">
        <v>150000000</v>
      </c>
      <c r="K1176" s="627"/>
      <c r="L1176" s="394"/>
      <c r="M1176" s="394" t="s">
        <v>5133</v>
      </c>
      <c r="N1176" s="682">
        <v>300000000</v>
      </c>
      <c r="O1176" s="150" t="s">
        <v>2416</v>
      </c>
    </row>
    <row r="1177" spans="1:15" ht="33" customHeight="1" x14ac:dyDescent="0.35">
      <c r="A1177" s="272" t="s">
        <v>3872</v>
      </c>
      <c r="B1177" s="463" t="s">
        <v>2417</v>
      </c>
      <c r="C1177" s="457" t="s">
        <v>3284</v>
      </c>
      <c r="D1177" s="141" t="s">
        <v>4</v>
      </c>
      <c r="E1177" s="180" t="s">
        <v>2451</v>
      </c>
      <c r="F1177" s="180">
        <v>31050411</v>
      </c>
      <c r="G1177" s="180"/>
      <c r="H1177" s="180" t="s">
        <v>3241</v>
      </c>
      <c r="I1177" s="364" t="s">
        <v>168</v>
      </c>
      <c r="J1177" s="393">
        <f>150000000+150000000</f>
        <v>300000000</v>
      </c>
      <c r="K1177" s="627"/>
      <c r="L1177" s="394"/>
      <c r="M1177" s="394" t="s">
        <v>5133</v>
      </c>
      <c r="N1177" s="682">
        <v>150000000</v>
      </c>
      <c r="O1177" s="150" t="s">
        <v>2417</v>
      </c>
    </row>
    <row r="1178" spans="1:15" ht="96.75" customHeight="1" x14ac:dyDescent="0.35">
      <c r="A1178" s="272" t="s">
        <v>3873</v>
      </c>
      <c r="B1178" s="463" t="s">
        <v>2418</v>
      </c>
      <c r="C1178" s="457" t="s">
        <v>813</v>
      </c>
      <c r="D1178" s="141" t="s">
        <v>4</v>
      </c>
      <c r="E1178" s="180" t="s">
        <v>2451</v>
      </c>
      <c r="F1178" s="180">
        <v>31050411</v>
      </c>
      <c r="G1178" s="180"/>
      <c r="H1178" s="180" t="s">
        <v>3241</v>
      </c>
      <c r="I1178" s="364" t="s">
        <v>193</v>
      </c>
      <c r="J1178" s="393">
        <f>150000000+350000000</f>
        <v>500000000</v>
      </c>
      <c r="K1178" s="627"/>
      <c r="L1178" s="394"/>
      <c r="M1178" s="394" t="s">
        <v>5133</v>
      </c>
      <c r="N1178" s="682">
        <v>200000000</v>
      </c>
      <c r="O1178" s="150" t="s">
        <v>2418</v>
      </c>
    </row>
    <row r="1179" spans="1:15" ht="63.75" customHeight="1" x14ac:dyDescent="0.35">
      <c r="A1179" s="272" t="s">
        <v>3874</v>
      </c>
      <c r="B1179" s="463" t="s">
        <v>2419</v>
      </c>
      <c r="C1179" s="457">
        <v>426</v>
      </c>
      <c r="D1179" s="141" t="s">
        <v>4</v>
      </c>
      <c r="E1179" s="180" t="s">
        <v>2451</v>
      </c>
      <c r="F1179" s="180">
        <v>31050411</v>
      </c>
      <c r="G1179" s="180"/>
      <c r="H1179" s="180" t="s">
        <v>3241</v>
      </c>
      <c r="I1179" s="364" t="s">
        <v>193</v>
      </c>
      <c r="J1179" s="393">
        <f>150000000+1500000000</f>
        <v>1650000000</v>
      </c>
      <c r="K1179" s="627">
        <v>1500000000</v>
      </c>
      <c r="L1179" s="627">
        <v>1500000000</v>
      </c>
      <c r="M1179" s="394" t="s">
        <v>5123</v>
      </c>
      <c r="N1179" s="682">
        <v>100000000</v>
      </c>
      <c r="O1179" s="150" t="s">
        <v>2419</v>
      </c>
    </row>
    <row r="1180" spans="1:15" ht="66" customHeight="1" x14ac:dyDescent="0.35">
      <c r="A1180" s="272" t="s">
        <v>3875</v>
      </c>
      <c r="B1180" s="463" t="s">
        <v>2420</v>
      </c>
      <c r="C1180" s="457" t="s">
        <v>196</v>
      </c>
      <c r="D1180" s="141" t="s">
        <v>4</v>
      </c>
      <c r="E1180" s="180" t="s">
        <v>2451</v>
      </c>
      <c r="F1180" s="180">
        <v>31050411</v>
      </c>
      <c r="G1180" s="180"/>
      <c r="H1180" s="180" t="s">
        <v>3241</v>
      </c>
      <c r="I1180" s="364" t="s">
        <v>193</v>
      </c>
      <c r="J1180" s="393">
        <v>33000000</v>
      </c>
      <c r="K1180" s="627"/>
      <c r="L1180" s="394"/>
      <c r="M1180" s="394" t="s">
        <v>5133</v>
      </c>
      <c r="N1180" s="682">
        <v>400000000</v>
      </c>
      <c r="O1180" s="150" t="s">
        <v>2420</v>
      </c>
    </row>
    <row r="1181" spans="1:15" ht="64.5" customHeight="1" x14ac:dyDescent="0.35">
      <c r="A1181" s="272" t="s">
        <v>3876</v>
      </c>
      <c r="B1181" s="463" t="s">
        <v>2421</v>
      </c>
      <c r="C1181" s="457" t="s">
        <v>3253</v>
      </c>
      <c r="D1181" s="141" t="s">
        <v>4</v>
      </c>
      <c r="E1181" s="180" t="s">
        <v>2451</v>
      </c>
      <c r="F1181" s="180">
        <v>31050411</v>
      </c>
      <c r="G1181" s="180"/>
      <c r="H1181" s="180" t="s">
        <v>3241</v>
      </c>
      <c r="I1181" s="364" t="s">
        <v>193</v>
      </c>
      <c r="J1181" s="393">
        <v>100000000</v>
      </c>
      <c r="K1181" s="627"/>
      <c r="L1181" s="394"/>
      <c r="M1181" s="394" t="s">
        <v>5133</v>
      </c>
      <c r="N1181" s="682">
        <v>500000000</v>
      </c>
      <c r="O1181" s="150" t="s">
        <v>2421</v>
      </c>
    </row>
    <row r="1182" spans="1:15" ht="64.5" customHeight="1" x14ac:dyDescent="0.35">
      <c r="A1182" s="272" t="s">
        <v>3877</v>
      </c>
      <c r="B1182" s="463" t="s">
        <v>2422</v>
      </c>
      <c r="C1182" s="457">
        <v>212</v>
      </c>
      <c r="D1182" s="141" t="s">
        <v>4</v>
      </c>
      <c r="E1182" s="180" t="s">
        <v>2451</v>
      </c>
      <c r="F1182" s="180">
        <v>31050411</v>
      </c>
      <c r="G1182" s="180"/>
      <c r="H1182" s="180" t="s">
        <v>3241</v>
      </c>
      <c r="I1182" s="364" t="s">
        <v>168</v>
      </c>
      <c r="J1182" s="393">
        <v>100000000</v>
      </c>
      <c r="K1182" s="627"/>
      <c r="L1182" s="394"/>
      <c r="M1182" s="394" t="s">
        <v>5133</v>
      </c>
      <c r="N1182" s="682">
        <v>400000000</v>
      </c>
      <c r="O1182" s="150" t="s">
        <v>2422</v>
      </c>
    </row>
    <row r="1183" spans="1:15" ht="63" customHeight="1" x14ac:dyDescent="0.35">
      <c r="A1183" s="272" t="s">
        <v>3878</v>
      </c>
      <c r="B1183" s="463" t="s">
        <v>2423</v>
      </c>
      <c r="C1183" s="457" t="s">
        <v>489</v>
      </c>
      <c r="D1183" s="141" t="s">
        <v>4</v>
      </c>
      <c r="E1183" s="180" t="s">
        <v>2451</v>
      </c>
      <c r="F1183" s="180">
        <v>31050411</v>
      </c>
      <c r="G1183" s="180"/>
      <c r="H1183" s="180" t="s">
        <v>3241</v>
      </c>
      <c r="I1183" s="364" t="s">
        <v>168</v>
      </c>
      <c r="J1183" s="393">
        <v>150000000</v>
      </c>
      <c r="K1183" s="627">
        <v>200000000</v>
      </c>
      <c r="L1183" s="394"/>
      <c r="M1183" s="394" t="s">
        <v>5133</v>
      </c>
      <c r="N1183" s="682">
        <v>600000000</v>
      </c>
      <c r="O1183" s="150" t="s">
        <v>2423</v>
      </c>
    </row>
    <row r="1184" spans="1:15" ht="66" customHeight="1" x14ac:dyDescent="0.35">
      <c r="A1184" s="272" t="s">
        <v>3879</v>
      </c>
      <c r="B1184" s="463" t="s">
        <v>2424</v>
      </c>
      <c r="C1184" s="457">
        <v>106</v>
      </c>
      <c r="D1184" s="141" t="s">
        <v>4</v>
      </c>
      <c r="E1184" s="180" t="s">
        <v>2451</v>
      </c>
      <c r="F1184" s="180">
        <v>31050411</v>
      </c>
      <c r="G1184" s="180"/>
      <c r="H1184" s="180" t="s">
        <v>3241</v>
      </c>
      <c r="I1184" s="364" t="s">
        <v>168</v>
      </c>
      <c r="J1184" s="393">
        <v>13876252.425000001</v>
      </c>
      <c r="K1184" s="627"/>
      <c r="L1184" s="394"/>
      <c r="M1184" s="394" t="s">
        <v>5133</v>
      </c>
      <c r="N1184" s="682">
        <v>300000000</v>
      </c>
      <c r="O1184" s="150" t="s">
        <v>2424</v>
      </c>
    </row>
    <row r="1185" spans="1:15" ht="61.5" customHeight="1" x14ac:dyDescent="0.35">
      <c r="A1185" s="272" t="s">
        <v>3880</v>
      </c>
      <c r="B1185" s="463" t="s">
        <v>2425</v>
      </c>
      <c r="C1185" s="457" t="s">
        <v>3244</v>
      </c>
      <c r="D1185" s="141" t="s">
        <v>4</v>
      </c>
      <c r="E1185" s="180" t="s">
        <v>2451</v>
      </c>
      <c r="F1185" s="180">
        <v>31050411</v>
      </c>
      <c r="G1185" s="180"/>
      <c r="H1185" s="180" t="s">
        <v>3241</v>
      </c>
      <c r="I1185" s="364" t="s">
        <v>168</v>
      </c>
      <c r="J1185" s="393">
        <v>100000000</v>
      </c>
      <c r="K1185" s="627"/>
      <c r="L1185" s="394"/>
      <c r="M1185" s="394" t="s">
        <v>5133</v>
      </c>
      <c r="N1185" s="682">
        <v>60000000</v>
      </c>
      <c r="O1185" s="150" t="s">
        <v>2425</v>
      </c>
    </row>
    <row r="1186" spans="1:15" ht="61.5" customHeight="1" x14ac:dyDescent="0.35">
      <c r="A1186" s="272" t="s">
        <v>3881</v>
      </c>
      <c r="B1186" s="463" t="s">
        <v>2426</v>
      </c>
      <c r="C1186" s="457" t="s">
        <v>3245</v>
      </c>
      <c r="D1186" s="141" t="s">
        <v>4</v>
      </c>
      <c r="E1186" s="180" t="s">
        <v>2451</v>
      </c>
      <c r="F1186" s="180">
        <v>31050411</v>
      </c>
      <c r="G1186" s="180"/>
      <c r="H1186" s="180" t="s">
        <v>3241</v>
      </c>
      <c r="I1186" s="364" t="s">
        <v>193</v>
      </c>
      <c r="J1186" s="393">
        <v>100000000</v>
      </c>
      <c r="K1186" s="627"/>
      <c r="L1186" s="394"/>
      <c r="M1186" s="394" t="s">
        <v>5133</v>
      </c>
      <c r="N1186" s="682">
        <v>30000000</v>
      </c>
      <c r="O1186" s="150" t="s">
        <v>2426</v>
      </c>
    </row>
    <row r="1187" spans="1:15" ht="51" customHeight="1" x14ac:dyDescent="0.35">
      <c r="A1187" s="272" t="s">
        <v>3882</v>
      </c>
      <c r="B1187" s="463" t="s">
        <v>2427</v>
      </c>
      <c r="C1187" s="457" t="s">
        <v>379</v>
      </c>
      <c r="D1187" s="141" t="s">
        <v>4</v>
      </c>
      <c r="E1187" s="180" t="s">
        <v>2451</v>
      </c>
      <c r="F1187" s="180">
        <v>31050411</v>
      </c>
      <c r="G1187" s="180"/>
      <c r="H1187" s="180" t="s">
        <v>3241</v>
      </c>
      <c r="I1187" s="364" t="s">
        <v>193</v>
      </c>
      <c r="J1187" s="393">
        <v>800000000</v>
      </c>
      <c r="K1187" s="627">
        <v>400000000</v>
      </c>
      <c r="L1187" s="394"/>
      <c r="M1187" s="394" t="s">
        <v>5133</v>
      </c>
      <c r="N1187" s="682">
        <v>190000000</v>
      </c>
      <c r="O1187" s="150" t="s">
        <v>2427</v>
      </c>
    </row>
    <row r="1188" spans="1:15" ht="63" customHeight="1" x14ac:dyDescent="0.35">
      <c r="A1188" s="272" t="s">
        <v>3883</v>
      </c>
      <c r="B1188" s="463" t="s">
        <v>2428</v>
      </c>
      <c r="C1188" s="457" t="s">
        <v>635</v>
      </c>
      <c r="D1188" s="141" t="s">
        <v>4</v>
      </c>
      <c r="E1188" s="180" t="s">
        <v>2451</v>
      </c>
      <c r="F1188" s="180">
        <v>31050411</v>
      </c>
      <c r="G1188" s="180"/>
      <c r="H1188" s="180" t="s">
        <v>3241</v>
      </c>
      <c r="I1188" s="364" t="s">
        <v>193</v>
      </c>
      <c r="J1188" s="393">
        <v>80000000</v>
      </c>
      <c r="K1188" s="627"/>
      <c r="L1188" s="394"/>
      <c r="M1188" s="394" t="s">
        <v>5133</v>
      </c>
      <c r="N1188" s="682">
        <v>400000000</v>
      </c>
      <c r="O1188" s="150" t="s">
        <v>2428</v>
      </c>
    </row>
    <row r="1189" spans="1:15" ht="54.75" customHeight="1" x14ac:dyDescent="0.35">
      <c r="A1189" s="272" t="s">
        <v>3884</v>
      </c>
      <c r="B1189" s="463" t="s">
        <v>2429</v>
      </c>
      <c r="C1189" s="457" t="s">
        <v>3248</v>
      </c>
      <c r="D1189" s="141" t="s">
        <v>4</v>
      </c>
      <c r="E1189" s="180" t="s">
        <v>2451</v>
      </c>
      <c r="F1189" s="180">
        <v>31050411</v>
      </c>
      <c r="G1189" s="180"/>
      <c r="H1189" s="180" t="s">
        <v>3241</v>
      </c>
      <c r="I1189" s="364" t="s">
        <v>193</v>
      </c>
      <c r="J1189" s="393">
        <v>100000000</v>
      </c>
      <c r="K1189" s="627"/>
      <c r="L1189" s="394"/>
      <c r="M1189" s="394" t="s">
        <v>5133</v>
      </c>
      <c r="N1189" s="682">
        <v>100000000</v>
      </c>
      <c r="O1189" s="150" t="s">
        <v>2429</v>
      </c>
    </row>
    <row r="1190" spans="1:15" ht="66.75" customHeight="1" x14ac:dyDescent="0.35">
      <c r="A1190" s="272" t="s">
        <v>3885</v>
      </c>
      <c r="B1190" s="463" t="s">
        <v>2430</v>
      </c>
      <c r="C1190" s="457">
        <v>212</v>
      </c>
      <c r="D1190" s="141" t="s">
        <v>4</v>
      </c>
      <c r="E1190" s="180" t="s">
        <v>2451</v>
      </c>
      <c r="F1190" s="180">
        <v>31050411</v>
      </c>
      <c r="G1190" s="180"/>
      <c r="H1190" s="180" t="s">
        <v>3241</v>
      </c>
      <c r="I1190" s="364" t="s">
        <v>193</v>
      </c>
      <c r="J1190" s="393">
        <v>100000000</v>
      </c>
      <c r="K1190" s="627">
        <v>150000000</v>
      </c>
      <c r="L1190" s="394"/>
      <c r="M1190" s="394" t="s">
        <v>5133</v>
      </c>
      <c r="N1190" s="682">
        <v>200000000</v>
      </c>
      <c r="O1190" s="150" t="s">
        <v>2430</v>
      </c>
    </row>
    <row r="1191" spans="1:15" ht="59.25" customHeight="1" x14ac:dyDescent="0.35">
      <c r="A1191" s="272" t="s">
        <v>3886</v>
      </c>
      <c r="B1191" s="463" t="s">
        <v>2431</v>
      </c>
      <c r="C1191" s="457" t="s">
        <v>379</v>
      </c>
      <c r="D1191" s="141" t="s">
        <v>4</v>
      </c>
      <c r="E1191" s="180" t="s">
        <v>2451</v>
      </c>
      <c r="F1191" s="180">
        <v>31050411</v>
      </c>
      <c r="G1191" s="180"/>
      <c r="H1191" s="180" t="s">
        <v>3241</v>
      </c>
      <c r="I1191" s="364" t="s">
        <v>193</v>
      </c>
      <c r="J1191" s="393">
        <v>100000000</v>
      </c>
      <c r="K1191" s="627">
        <v>120000000</v>
      </c>
      <c r="L1191" s="394"/>
      <c r="M1191" s="394" t="s">
        <v>5133</v>
      </c>
      <c r="N1191" s="682">
        <v>150000000</v>
      </c>
      <c r="O1191" s="150" t="s">
        <v>2431</v>
      </c>
    </row>
    <row r="1192" spans="1:15" ht="63" customHeight="1" x14ac:dyDescent="0.35">
      <c r="A1192" s="272" t="s">
        <v>3887</v>
      </c>
      <c r="B1192" s="463" t="s">
        <v>2432</v>
      </c>
      <c r="C1192" s="457">
        <v>216</v>
      </c>
      <c r="D1192" s="141" t="s">
        <v>4</v>
      </c>
      <c r="E1192" s="180" t="s">
        <v>2451</v>
      </c>
      <c r="F1192" s="180">
        <v>31050411</v>
      </c>
      <c r="G1192" s="180"/>
      <c r="H1192" s="180" t="s">
        <v>3241</v>
      </c>
      <c r="I1192" s="364" t="s">
        <v>193</v>
      </c>
      <c r="J1192" s="393">
        <f>150000000+450000000</f>
        <v>600000000</v>
      </c>
      <c r="K1192" s="627">
        <v>500000000</v>
      </c>
      <c r="L1192" s="394"/>
      <c r="M1192" s="394" t="s">
        <v>5133</v>
      </c>
      <c r="N1192" s="682">
        <v>200000000</v>
      </c>
      <c r="O1192" s="150" t="s">
        <v>2432</v>
      </c>
    </row>
    <row r="1193" spans="1:15" ht="42" customHeight="1" x14ac:dyDescent="0.35">
      <c r="A1193" s="272" t="s">
        <v>3888</v>
      </c>
      <c r="B1193" s="463" t="s">
        <v>4696</v>
      </c>
      <c r="C1193" s="457"/>
      <c r="D1193" s="141" t="s">
        <v>4</v>
      </c>
      <c r="E1193" s="180" t="s">
        <v>2451</v>
      </c>
      <c r="F1193" s="180">
        <v>31050411</v>
      </c>
      <c r="G1193" s="180"/>
      <c r="H1193" s="180" t="s">
        <v>3241</v>
      </c>
      <c r="I1193" s="364" t="s">
        <v>193</v>
      </c>
      <c r="J1193" s="393">
        <f>70000000-2387-1000000</f>
        <v>68997613</v>
      </c>
      <c r="K1193" s="627"/>
      <c r="L1193" s="394"/>
      <c r="M1193" s="394" t="s">
        <v>5133</v>
      </c>
      <c r="N1193" s="682"/>
      <c r="O1193" s="150"/>
    </row>
    <row r="1194" spans="1:15" ht="67.5" customHeight="1" x14ac:dyDescent="0.35">
      <c r="A1194" s="272" t="s">
        <v>3889</v>
      </c>
      <c r="B1194" s="463" t="s">
        <v>2433</v>
      </c>
      <c r="C1194" s="457" t="s">
        <v>379</v>
      </c>
      <c r="D1194" s="141" t="s">
        <v>4</v>
      </c>
      <c r="E1194" s="180" t="s">
        <v>2451</v>
      </c>
      <c r="F1194" s="180">
        <v>31050411</v>
      </c>
      <c r="G1194" s="180"/>
      <c r="H1194" s="180" t="s">
        <v>3241</v>
      </c>
      <c r="I1194" s="364" t="s">
        <v>193</v>
      </c>
      <c r="J1194" s="393">
        <v>6589362.150000006</v>
      </c>
      <c r="K1194" s="627"/>
      <c r="L1194" s="394"/>
      <c r="M1194" s="394" t="s">
        <v>5133</v>
      </c>
      <c r="N1194" s="682">
        <v>90000000</v>
      </c>
      <c r="O1194" s="150" t="s">
        <v>2433</v>
      </c>
    </row>
    <row r="1195" spans="1:15" ht="60" customHeight="1" x14ac:dyDescent="0.35">
      <c r="A1195" s="272" t="s">
        <v>3890</v>
      </c>
      <c r="B1195" s="463" t="s">
        <v>2434</v>
      </c>
      <c r="C1195" s="457" t="s">
        <v>418</v>
      </c>
      <c r="D1195" s="141" t="s">
        <v>4</v>
      </c>
      <c r="E1195" s="180" t="s">
        <v>2451</v>
      </c>
      <c r="F1195" s="180">
        <v>31050411</v>
      </c>
      <c r="G1195" s="180"/>
      <c r="H1195" s="180" t="s">
        <v>3241</v>
      </c>
      <c r="I1195" s="364" t="s">
        <v>193</v>
      </c>
      <c r="J1195" s="393">
        <f>150000000+450000000</f>
        <v>600000000</v>
      </c>
      <c r="K1195" s="627">
        <v>500000000</v>
      </c>
      <c r="L1195" s="394"/>
      <c r="M1195" s="394" t="s">
        <v>5133</v>
      </c>
      <c r="N1195" s="682">
        <v>90000000</v>
      </c>
      <c r="O1195" s="150" t="s">
        <v>2434</v>
      </c>
    </row>
    <row r="1196" spans="1:15" ht="55.5" customHeight="1" x14ac:dyDescent="0.35">
      <c r="A1196" s="272" t="s">
        <v>3891</v>
      </c>
      <c r="B1196" s="463" t="s">
        <v>2435</v>
      </c>
      <c r="C1196" s="457" t="s">
        <v>3250</v>
      </c>
      <c r="D1196" s="141" t="s">
        <v>4</v>
      </c>
      <c r="E1196" s="180" t="s">
        <v>2451</v>
      </c>
      <c r="F1196" s="180">
        <v>31050411</v>
      </c>
      <c r="G1196" s="180"/>
      <c r="H1196" s="180" t="s">
        <v>3241</v>
      </c>
      <c r="I1196" s="364" t="s">
        <v>193</v>
      </c>
      <c r="J1196" s="393">
        <f>12000000+2387</f>
        <v>12002387</v>
      </c>
      <c r="K1196" s="627"/>
      <c r="L1196" s="394"/>
      <c r="M1196" s="394" t="s">
        <v>5133</v>
      </c>
      <c r="N1196" s="682">
        <v>100000000</v>
      </c>
      <c r="O1196" s="150" t="s">
        <v>2435</v>
      </c>
    </row>
    <row r="1197" spans="1:15" ht="38.25" customHeight="1" x14ac:dyDescent="0.35">
      <c r="A1197" s="272" t="s">
        <v>3892</v>
      </c>
      <c r="B1197" s="463" t="s">
        <v>2436</v>
      </c>
      <c r="C1197" s="457" t="s">
        <v>388</v>
      </c>
      <c r="D1197" s="141" t="s">
        <v>4</v>
      </c>
      <c r="E1197" s="180" t="s">
        <v>2451</v>
      </c>
      <c r="F1197" s="180">
        <v>31050411</v>
      </c>
      <c r="G1197" s="180"/>
      <c r="H1197" s="180" t="s">
        <v>3241</v>
      </c>
      <c r="I1197" s="364" t="s">
        <v>168</v>
      </c>
      <c r="J1197" s="393">
        <v>100000000</v>
      </c>
      <c r="K1197" s="627"/>
      <c r="L1197" s="394"/>
      <c r="M1197" s="394" t="s">
        <v>5133</v>
      </c>
      <c r="N1197" s="682">
        <v>150000000</v>
      </c>
      <c r="O1197" s="150" t="s">
        <v>2436</v>
      </c>
    </row>
    <row r="1198" spans="1:15" ht="63.75" customHeight="1" x14ac:dyDescent="0.35">
      <c r="A1198" s="272" t="s">
        <v>3893</v>
      </c>
      <c r="B1198" s="463" t="s">
        <v>2438</v>
      </c>
      <c r="C1198" s="457">
        <v>426</v>
      </c>
      <c r="D1198" s="141" t="s">
        <v>4</v>
      </c>
      <c r="E1198" s="180" t="s">
        <v>2451</v>
      </c>
      <c r="F1198" s="180">
        <v>31050411</v>
      </c>
      <c r="G1198" s="180"/>
      <c r="H1198" s="180" t="s">
        <v>3241</v>
      </c>
      <c r="I1198" s="364" t="s">
        <v>168</v>
      </c>
      <c r="J1198" s="393">
        <v>150000000</v>
      </c>
      <c r="K1198" s="627"/>
      <c r="L1198" s="394"/>
      <c r="M1198" s="394" t="s">
        <v>5133</v>
      </c>
      <c r="N1198" s="682">
        <v>100000000</v>
      </c>
      <c r="O1198" s="150" t="s">
        <v>2438</v>
      </c>
    </row>
    <row r="1199" spans="1:15" ht="61.5" customHeight="1" x14ac:dyDescent="0.35">
      <c r="A1199" s="272" t="s">
        <v>3894</v>
      </c>
      <c r="B1199" s="463" t="s">
        <v>2439</v>
      </c>
      <c r="C1199" s="457">
        <v>104</v>
      </c>
      <c r="D1199" s="141" t="s">
        <v>4</v>
      </c>
      <c r="E1199" s="180" t="s">
        <v>2451</v>
      </c>
      <c r="F1199" s="180">
        <v>31050411</v>
      </c>
      <c r="G1199" s="180"/>
      <c r="H1199" s="180" t="s">
        <v>3241</v>
      </c>
      <c r="I1199" s="364" t="s">
        <v>168</v>
      </c>
      <c r="J1199" s="393">
        <v>150000000</v>
      </c>
      <c r="K1199" s="627"/>
      <c r="L1199" s="394"/>
      <c r="M1199" s="394" t="s">
        <v>5133</v>
      </c>
      <c r="N1199" s="682">
        <v>100000000</v>
      </c>
      <c r="O1199" s="150" t="s">
        <v>2439</v>
      </c>
    </row>
    <row r="1200" spans="1:15" ht="40.5" customHeight="1" x14ac:dyDescent="0.35">
      <c r="A1200" s="272" t="s">
        <v>3895</v>
      </c>
      <c r="B1200" s="463" t="s">
        <v>2440</v>
      </c>
      <c r="C1200" s="457" t="s">
        <v>3259</v>
      </c>
      <c r="D1200" s="141" t="s">
        <v>4</v>
      </c>
      <c r="E1200" s="180" t="s">
        <v>2451</v>
      </c>
      <c r="F1200" s="180">
        <v>31050411</v>
      </c>
      <c r="G1200" s="180"/>
      <c r="H1200" s="180" t="s">
        <v>3241</v>
      </c>
      <c r="I1200" s="364" t="s">
        <v>193</v>
      </c>
      <c r="J1200" s="393">
        <v>100000000</v>
      </c>
      <c r="K1200" s="627"/>
      <c r="L1200" s="394"/>
      <c r="M1200" s="394" t="s">
        <v>5133</v>
      </c>
      <c r="N1200" s="682">
        <v>50000000</v>
      </c>
      <c r="O1200" s="150" t="s">
        <v>2440</v>
      </c>
    </row>
    <row r="1201" spans="1:15" ht="40.5" customHeight="1" x14ac:dyDescent="0.35">
      <c r="A1201" s="272" t="s">
        <v>3896</v>
      </c>
      <c r="B1201" s="463" t="s">
        <v>2441</v>
      </c>
      <c r="C1201" s="457">
        <v>108</v>
      </c>
      <c r="D1201" s="141" t="s">
        <v>4</v>
      </c>
      <c r="E1201" s="180" t="s">
        <v>2451</v>
      </c>
      <c r="F1201" s="180">
        <v>31050411</v>
      </c>
      <c r="G1201" s="180"/>
      <c r="H1201" s="180" t="s">
        <v>3241</v>
      </c>
      <c r="I1201" s="364" t="s">
        <v>193</v>
      </c>
      <c r="J1201" s="393">
        <v>100000000</v>
      </c>
      <c r="K1201" s="627"/>
      <c r="L1201" s="394"/>
      <c r="M1201" s="394" t="s">
        <v>5133</v>
      </c>
      <c r="N1201" s="682">
        <v>80000000</v>
      </c>
      <c r="O1201" s="150" t="s">
        <v>2441</v>
      </c>
    </row>
    <row r="1202" spans="1:15" ht="33.75" customHeight="1" x14ac:dyDescent="0.35">
      <c r="A1202" s="272" t="s">
        <v>3897</v>
      </c>
      <c r="B1202" s="463" t="s">
        <v>2442</v>
      </c>
      <c r="C1202" s="457">
        <v>426</v>
      </c>
      <c r="D1202" s="141" t="s">
        <v>4</v>
      </c>
      <c r="E1202" s="180" t="s">
        <v>2451</v>
      </c>
      <c r="F1202" s="180">
        <v>31050411</v>
      </c>
      <c r="G1202" s="180"/>
      <c r="H1202" s="180" t="s">
        <v>3241</v>
      </c>
      <c r="I1202" s="364" t="s">
        <v>168</v>
      </c>
      <c r="J1202" s="393">
        <v>50000000</v>
      </c>
      <c r="K1202" s="627"/>
      <c r="L1202" s="394"/>
      <c r="M1202" s="394" t="s">
        <v>5133</v>
      </c>
      <c r="N1202" s="683">
        <v>7481631.6523000002</v>
      </c>
      <c r="O1202" s="150" t="s">
        <v>2442</v>
      </c>
    </row>
    <row r="1203" spans="1:15" ht="62.25" customHeight="1" x14ac:dyDescent="0.35">
      <c r="A1203" s="272" t="s">
        <v>3898</v>
      </c>
      <c r="B1203" s="463" t="s">
        <v>3285</v>
      </c>
      <c r="C1203" s="457">
        <v>216</v>
      </c>
      <c r="D1203" s="141" t="s">
        <v>4</v>
      </c>
      <c r="E1203" s="180" t="s">
        <v>2451</v>
      </c>
      <c r="F1203" s="180">
        <v>31050411</v>
      </c>
      <c r="G1203" s="180"/>
      <c r="H1203" s="180" t="s">
        <v>3241</v>
      </c>
      <c r="I1203" s="364" t="s">
        <v>168</v>
      </c>
      <c r="J1203" s="393">
        <v>100000000</v>
      </c>
      <c r="K1203" s="627"/>
      <c r="L1203" s="394"/>
      <c r="M1203" s="394" t="s">
        <v>5133</v>
      </c>
      <c r="N1203" s="682">
        <v>63934872.119999997</v>
      </c>
      <c r="O1203" s="150" t="s">
        <v>3285</v>
      </c>
    </row>
    <row r="1204" spans="1:15" ht="45" customHeight="1" x14ac:dyDescent="0.35">
      <c r="A1204" s="272" t="s">
        <v>3899</v>
      </c>
      <c r="B1204" s="463" t="s">
        <v>2443</v>
      </c>
      <c r="C1204" s="457">
        <v>426</v>
      </c>
      <c r="D1204" s="141" t="s">
        <v>4</v>
      </c>
      <c r="E1204" s="180" t="s">
        <v>2451</v>
      </c>
      <c r="F1204" s="180">
        <v>31050411</v>
      </c>
      <c r="G1204" s="180"/>
      <c r="H1204" s="180" t="s">
        <v>3241</v>
      </c>
      <c r="I1204" s="364" t="s">
        <v>193</v>
      </c>
      <c r="J1204" s="393">
        <v>100000000</v>
      </c>
      <c r="K1204" s="627"/>
      <c r="L1204" s="394"/>
      <c r="M1204" s="394" t="s">
        <v>5133</v>
      </c>
      <c r="N1204" s="682">
        <v>3000000000</v>
      </c>
      <c r="O1204" s="150" t="s">
        <v>2443</v>
      </c>
    </row>
    <row r="1205" spans="1:15" ht="42" customHeight="1" x14ac:dyDescent="0.35">
      <c r="A1205" s="272" t="s">
        <v>3900</v>
      </c>
      <c r="B1205" s="463" t="s">
        <v>2444</v>
      </c>
      <c r="C1205" s="457">
        <v>325</v>
      </c>
      <c r="D1205" s="141" t="s">
        <v>4</v>
      </c>
      <c r="E1205" s="180" t="s">
        <v>2451</v>
      </c>
      <c r="F1205" s="180">
        <v>31050411</v>
      </c>
      <c r="G1205" s="180"/>
      <c r="H1205" s="180" t="s">
        <v>3241</v>
      </c>
      <c r="I1205" s="364" t="s">
        <v>193</v>
      </c>
      <c r="J1205" s="393">
        <v>20000000</v>
      </c>
      <c r="K1205" s="627"/>
      <c r="L1205" s="394"/>
      <c r="M1205" s="394" t="s">
        <v>5133</v>
      </c>
      <c r="N1205" s="682">
        <v>36260982.450000003</v>
      </c>
      <c r="O1205" s="150" t="s">
        <v>2444</v>
      </c>
    </row>
    <row r="1206" spans="1:15" ht="54.75" customHeight="1" x14ac:dyDescent="0.35">
      <c r="A1206" s="272" t="s">
        <v>3901</v>
      </c>
      <c r="B1206" s="463" t="s">
        <v>2445</v>
      </c>
      <c r="C1206" s="457">
        <v>108</v>
      </c>
      <c r="D1206" s="141" t="s">
        <v>4</v>
      </c>
      <c r="E1206" s="180" t="s">
        <v>2451</v>
      </c>
      <c r="F1206" s="180">
        <v>31050411</v>
      </c>
      <c r="G1206" s="180"/>
      <c r="H1206" s="180" t="s">
        <v>3241</v>
      </c>
      <c r="I1206" s="364" t="s">
        <v>193</v>
      </c>
      <c r="J1206" s="393">
        <v>100000000</v>
      </c>
      <c r="K1206" s="627"/>
      <c r="L1206" s="394"/>
      <c r="M1206" s="394" t="s">
        <v>5133</v>
      </c>
      <c r="N1206" s="682">
        <v>4725000</v>
      </c>
      <c r="O1206" s="150" t="s">
        <v>2445</v>
      </c>
    </row>
    <row r="1207" spans="1:15" ht="36" customHeight="1" x14ac:dyDescent="0.35">
      <c r="A1207" s="272" t="s">
        <v>3902</v>
      </c>
      <c r="B1207" s="463" t="s">
        <v>2446</v>
      </c>
      <c r="C1207" s="457" t="s">
        <v>808</v>
      </c>
      <c r="D1207" s="141" t="s">
        <v>4</v>
      </c>
      <c r="E1207" s="180" t="s">
        <v>2451</v>
      </c>
      <c r="F1207" s="180">
        <v>31050411</v>
      </c>
      <c r="G1207" s="180"/>
      <c r="H1207" s="180" t="s">
        <v>3241</v>
      </c>
      <c r="I1207" s="364" t="s">
        <v>193</v>
      </c>
      <c r="J1207" s="393">
        <f>100000000+250000000</f>
        <v>350000000</v>
      </c>
      <c r="K1207" s="627"/>
      <c r="L1207" s="394"/>
      <c r="M1207" s="394" t="s">
        <v>5133</v>
      </c>
      <c r="N1207" s="682">
        <v>126000</v>
      </c>
      <c r="O1207" s="150" t="s">
        <v>2446</v>
      </c>
    </row>
    <row r="1208" spans="1:15" ht="32.25" customHeight="1" x14ac:dyDescent="0.35">
      <c r="A1208" s="272" t="s">
        <v>3903</v>
      </c>
      <c r="B1208" s="463" t="s">
        <v>2447</v>
      </c>
      <c r="C1208" s="457">
        <v>216</v>
      </c>
      <c r="D1208" s="141" t="s">
        <v>4</v>
      </c>
      <c r="E1208" s="180" t="s">
        <v>2451</v>
      </c>
      <c r="F1208" s="180">
        <v>31050411</v>
      </c>
      <c r="G1208" s="180"/>
      <c r="H1208" s="180" t="s">
        <v>3241</v>
      </c>
      <c r="I1208" s="364" t="s">
        <v>193</v>
      </c>
      <c r="J1208" s="393">
        <v>100000000</v>
      </c>
      <c r="K1208" s="627"/>
      <c r="L1208" s="394"/>
      <c r="M1208" s="394" t="s">
        <v>5133</v>
      </c>
      <c r="N1208" s="682"/>
      <c r="O1208" s="150" t="s">
        <v>2447</v>
      </c>
    </row>
    <row r="1209" spans="1:15" ht="34.5" customHeight="1" x14ac:dyDescent="0.35">
      <c r="A1209" s="272" t="s">
        <v>3904</v>
      </c>
      <c r="B1209" s="463" t="s">
        <v>2448</v>
      </c>
      <c r="C1209" s="457">
        <v>216</v>
      </c>
      <c r="D1209" s="141" t="s">
        <v>4</v>
      </c>
      <c r="E1209" s="180" t="s">
        <v>2451</v>
      </c>
      <c r="F1209" s="180">
        <v>31050411</v>
      </c>
      <c r="G1209" s="180"/>
      <c r="H1209" s="180" t="s">
        <v>3241</v>
      </c>
      <c r="I1209" s="364" t="s">
        <v>168</v>
      </c>
      <c r="J1209" s="393">
        <v>100000000</v>
      </c>
      <c r="K1209" s="627">
        <v>100000000</v>
      </c>
      <c r="L1209" s="394"/>
      <c r="M1209" s="394" t="s">
        <v>5133</v>
      </c>
      <c r="N1209" s="682"/>
      <c r="O1209" s="150" t="s">
        <v>2448</v>
      </c>
    </row>
    <row r="1210" spans="1:15" ht="39.75" customHeight="1" x14ac:dyDescent="0.35">
      <c r="A1210" s="272" t="s">
        <v>3905</v>
      </c>
      <c r="B1210" s="463" t="s">
        <v>2449</v>
      </c>
      <c r="C1210" s="457">
        <v>216</v>
      </c>
      <c r="D1210" s="141" t="s">
        <v>4</v>
      </c>
      <c r="E1210" s="180" t="s">
        <v>2451</v>
      </c>
      <c r="F1210" s="180">
        <v>31050411</v>
      </c>
      <c r="G1210" s="180"/>
      <c r="H1210" s="180" t="s">
        <v>3241</v>
      </c>
      <c r="I1210" s="142" t="s">
        <v>910</v>
      </c>
      <c r="J1210" s="393">
        <v>50000000</v>
      </c>
      <c r="K1210" s="627">
        <v>50000000</v>
      </c>
      <c r="L1210" s="394"/>
      <c r="M1210" s="394" t="s">
        <v>5133</v>
      </c>
      <c r="N1210" s="682"/>
      <c r="O1210" s="150" t="s">
        <v>2449</v>
      </c>
    </row>
    <row r="1211" spans="1:15" ht="36.75" customHeight="1" x14ac:dyDescent="0.35">
      <c r="A1211" s="272" t="s">
        <v>3906</v>
      </c>
      <c r="B1211" s="463" t="s">
        <v>60</v>
      </c>
      <c r="C1211" s="457">
        <v>426</v>
      </c>
      <c r="D1211" s="141" t="s">
        <v>4</v>
      </c>
      <c r="E1211" s="180" t="s">
        <v>2451</v>
      </c>
      <c r="F1211" s="180">
        <v>31050411</v>
      </c>
      <c r="G1211" s="180"/>
      <c r="H1211" s="180" t="s">
        <v>3241</v>
      </c>
      <c r="I1211" s="142" t="s">
        <v>902</v>
      </c>
      <c r="J1211" s="393">
        <v>3000000</v>
      </c>
      <c r="K1211" s="627"/>
      <c r="L1211" s="394"/>
      <c r="M1211" s="394" t="s">
        <v>5133</v>
      </c>
      <c r="N1211" s="682"/>
      <c r="O1211" s="150" t="s">
        <v>60</v>
      </c>
    </row>
    <row r="1212" spans="1:15" ht="35.25" customHeight="1" x14ac:dyDescent="0.35">
      <c r="A1212" s="272" t="s">
        <v>3907</v>
      </c>
      <c r="B1212" s="463" t="s">
        <v>287</v>
      </c>
      <c r="C1212" s="457">
        <v>426</v>
      </c>
      <c r="D1212" s="141" t="s">
        <v>4</v>
      </c>
      <c r="E1212" s="180" t="s">
        <v>2451</v>
      </c>
      <c r="F1212" s="180">
        <v>31050411</v>
      </c>
      <c r="G1212" s="180"/>
      <c r="H1212" s="180" t="s">
        <v>3241</v>
      </c>
      <c r="I1212" s="142" t="s">
        <v>900</v>
      </c>
      <c r="J1212" s="393">
        <v>5000000</v>
      </c>
      <c r="K1212" s="627"/>
      <c r="L1212" s="394"/>
      <c r="M1212" s="394" t="s">
        <v>5133</v>
      </c>
      <c r="N1212" s="682"/>
      <c r="O1212" s="150" t="s">
        <v>287</v>
      </c>
    </row>
    <row r="1213" spans="1:15" ht="35.25" customHeight="1" x14ac:dyDescent="0.35">
      <c r="A1213" s="272" t="s">
        <v>3908</v>
      </c>
      <c r="B1213" s="463" t="s">
        <v>2450</v>
      </c>
      <c r="C1213" s="457">
        <v>426</v>
      </c>
      <c r="D1213" s="141" t="s">
        <v>4</v>
      </c>
      <c r="E1213" s="180" t="s">
        <v>2451</v>
      </c>
      <c r="F1213" s="180">
        <v>31050411</v>
      </c>
      <c r="G1213" s="180"/>
      <c r="H1213" s="180" t="s">
        <v>3241</v>
      </c>
      <c r="I1213" s="142" t="s">
        <v>900</v>
      </c>
      <c r="J1213" s="393">
        <v>5000000</v>
      </c>
      <c r="K1213" s="627"/>
      <c r="L1213" s="394"/>
      <c r="M1213" s="394" t="s">
        <v>5133</v>
      </c>
      <c r="N1213" s="682"/>
      <c r="O1213" s="150" t="s">
        <v>2450</v>
      </c>
    </row>
    <row r="1214" spans="1:15" ht="35.25" customHeight="1" x14ac:dyDescent="0.35">
      <c r="A1214" s="272" t="s">
        <v>3909</v>
      </c>
      <c r="B1214" s="463" t="s">
        <v>57</v>
      </c>
      <c r="C1214" s="457">
        <v>426</v>
      </c>
      <c r="D1214" s="141" t="s">
        <v>4</v>
      </c>
      <c r="E1214" s="180" t="s">
        <v>2451</v>
      </c>
      <c r="F1214" s="180">
        <v>31050411</v>
      </c>
      <c r="G1214" s="180"/>
      <c r="H1214" s="180" t="s">
        <v>3241</v>
      </c>
      <c r="I1214" s="142" t="s">
        <v>907</v>
      </c>
      <c r="J1214" s="393">
        <v>2000000</v>
      </c>
      <c r="K1214" s="627"/>
      <c r="L1214" s="394"/>
      <c r="M1214" s="394" t="s">
        <v>5133</v>
      </c>
      <c r="N1214" s="682"/>
      <c r="O1214" s="150" t="s">
        <v>57</v>
      </c>
    </row>
    <row r="1215" spans="1:15" ht="52.5" customHeight="1" x14ac:dyDescent="0.35">
      <c r="A1215" s="272" t="s">
        <v>3910</v>
      </c>
      <c r="B1215" s="463" t="s">
        <v>3286</v>
      </c>
      <c r="C1215" s="457" t="s">
        <v>379</v>
      </c>
      <c r="D1215" s="141" t="s">
        <v>4</v>
      </c>
      <c r="E1215" s="180" t="s">
        <v>2451</v>
      </c>
      <c r="F1215" s="180">
        <v>31050411</v>
      </c>
      <c r="G1215" s="180"/>
      <c r="H1215" s="180" t="s">
        <v>3241</v>
      </c>
      <c r="I1215" s="364" t="s">
        <v>168</v>
      </c>
      <c r="J1215" s="393">
        <f>150000000+200000000</f>
        <v>350000000</v>
      </c>
      <c r="K1215" s="627">
        <v>500000000</v>
      </c>
      <c r="L1215" s="394"/>
      <c r="M1215" s="394" t="s">
        <v>5133</v>
      </c>
      <c r="N1215" s="682"/>
      <c r="O1215" s="148" t="s">
        <v>3286</v>
      </c>
    </row>
    <row r="1216" spans="1:15" ht="64.5" customHeight="1" x14ac:dyDescent="0.35">
      <c r="A1216" s="272" t="s">
        <v>3911</v>
      </c>
      <c r="B1216" s="463" t="s">
        <v>3287</v>
      </c>
      <c r="C1216" s="457" t="s">
        <v>379</v>
      </c>
      <c r="D1216" s="141" t="s">
        <v>4</v>
      </c>
      <c r="E1216" s="180" t="s">
        <v>2451</v>
      </c>
      <c r="F1216" s="180">
        <v>31050411</v>
      </c>
      <c r="G1216" s="180"/>
      <c r="H1216" s="180" t="s">
        <v>3241</v>
      </c>
      <c r="I1216" s="364" t="s">
        <v>168</v>
      </c>
      <c r="J1216" s="393">
        <v>50000000</v>
      </c>
      <c r="K1216" s="627">
        <v>750000000</v>
      </c>
      <c r="L1216" s="394"/>
      <c r="M1216" s="394" t="s">
        <v>5133</v>
      </c>
      <c r="N1216" s="682"/>
      <c r="O1216" s="148" t="s">
        <v>3287</v>
      </c>
    </row>
    <row r="1217" spans="1:15" ht="59.25" customHeight="1" x14ac:dyDescent="0.35">
      <c r="A1217" s="272" t="s">
        <v>3912</v>
      </c>
      <c r="B1217" s="463" t="s">
        <v>3288</v>
      </c>
      <c r="C1217" s="457" t="s">
        <v>379</v>
      </c>
      <c r="D1217" s="141" t="s">
        <v>4</v>
      </c>
      <c r="E1217" s="180" t="s">
        <v>2451</v>
      </c>
      <c r="F1217" s="180">
        <v>31050411</v>
      </c>
      <c r="G1217" s="180"/>
      <c r="H1217" s="180" t="s">
        <v>3241</v>
      </c>
      <c r="I1217" s="364" t="s">
        <v>193</v>
      </c>
      <c r="J1217" s="393">
        <v>50000000</v>
      </c>
      <c r="K1217" s="627"/>
      <c r="L1217" s="394"/>
      <c r="M1217" s="394" t="s">
        <v>5133</v>
      </c>
      <c r="N1217" s="682"/>
      <c r="O1217" s="148" t="s">
        <v>3288</v>
      </c>
    </row>
    <row r="1218" spans="1:15" ht="48.75" customHeight="1" x14ac:dyDescent="0.35">
      <c r="A1218" s="272" t="s">
        <v>3913</v>
      </c>
      <c r="B1218" s="463" t="s">
        <v>3289</v>
      </c>
      <c r="C1218" s="331">
        <v>323</v>
      </c>
      <c r="D1218" s="141" t="s">
        <v>4</v>
      </c>
      <c r="E1218" s="180" t="s">
        <v>2451</v>
      </c>
      <c r="F1218" s="180">
        <v>31050411</v>
      </c>
      <c r="G1218" s="180"/>
      <c r="H1218" s="180" t="s">
        <v>3241</v>
      </c>
      <c r="I1218" s="364" t="s">
        <v>193</v>
      </c>
      <c r="J1218" s="393">
        <f>150000000+500000000</f>
        <v>650000000</v>
      </c>
      <c r="K1218" s="627">
        <v>500000000</v>
      </c>
      <c r="L1218" s="394"/>
      <c r="M1218" s="394" t="s">
        <v>5133</v>
      </c>
      <c r="N1218" s="682"/>
      <c r="O1218" s="148" t="s">
        <v>3289</v>
      </c>
    </row>
    <row r="1219" spans="1:15" ht="39" customHeight="1" x14ac:dyDescent="0.35">
      <c r="A1219" s="272" t="s">
        <v>3914</v>
      </c>
      <c r="B1219" s="463" t="s">
        <v>3290</v>
      </c>
      <c r="C1219" s="331">
        <v>212</v>
      </c>
      <c r="D1219" s="141" t="s">
        <v>4</v>
      </c>
      <c r="E1219" s="180" t="s">
        <v>2451</v>
      </c>
      <c r="F1219" s="180">
        <v>31050411</v>
      </c>
      <c r="G1219" s="180"/>
      <c r="H1219" s="180" t="s">
        <v>3241</v>
      </c>
      <c r="I1219" s="364" t="s">
        <v>193</v>
      </c>
      <c r="J1219" s="277">
        <v>300000000</v>
      </c>
      <c r="K1219" s="627"/>
      <c r="L1219" s="394"/>
      <c r="M1219" s="394" t="s">
        <v>5133</v>
      </c>
      <c r="N1219" s="682"/>
      <c r="O1219" s="181" t="s">
        <v>3290</v>
      </c>
    </row>
    <row r="1220" spans="1:15" ht="45.75" customHeight="1" x14ac:dyDescent="0.35">
      <c r="A1220" s="272" t="s">
        <v>3915</v>
      </c>
      <c r="B1220" s="463" t="s">
        <v>3292</v>
      </c>
      <c r="C1220" s="331" t="s">
        <v>379</v>
      </c>
      <c r="D1220" s="141" t="s">
        <v>4</v>
      </c>
      <c r="E1220" s="180" t="s">
        <v>2451</v>
      </c>
      <c r="F1220" s="180">
        <v>31050411</v>
      </c>
      <c r="G1220" s="180"/>
      <c r="H1220" s="180" t="s">
        <v>3241</v>
      </c>
      <c r="I1220" s="364" t="s">
        <v>193</v>
      </c>
      <c r="J1220" s="277">
        <v>200000000</v>
      </c>
      <c r="K1220" s="627"/>
      <c r="L1220" s="394"/>
      <c r="M1220" s="394" t="s">
        <v>5133</v>
      </c>
      <c r="N1220" s="682"/>
      <c r="O1220" s="181" t="s">
        <v>3292</v>
      </c>
    </row>
    <row r="1221" spans="1:15" ht="37.5" customHeight="1" x14ac:dyDescent="0.35">
      <c r="A1221" s="272" t="s">
        <v>3916</v>
      </c>
      <c r="B1221" s="480" t="s">
        <v>3293</v>
      </c>
      <c r="C1221" s="331">
        <v>216</v>
      </c>
      <c r="D1221" s="141" t="s">
        <v>4</v>
      </c>
      <c r="E1221" s="180" t="s">
        <v>2451</v>
      </c>
      <c r="F1221" s="180">
        <v>31050411</v>
      </c>
      <c r="G1221" s="180"/>
      <c r="H1221" s="180" t="s">
        <v>3241</v>
      </c>
      <c r="I1221" s="364" t="s">
        <v>193</v>
      </c>
      <c r="J1221" s="393">
        <v>400000000</v>
      </c>
      <c r="K1221" s="627"/>
      <c r="L1221" s="394"/>
      <c r="M1221" s="394" t="s">
        <v>5133</v>
      </c>
      <c r="N1221" s="682"/>
      <c r="O1221" s="460" t="s">
        <v>3293</v>
      </c>
    </row>
    <row r="1222" spans="1:15" ht="44.25" customHeight="1" x14ac:dyDescent="0.35">
      <c r="A1222" s="272" t="s">
        <v>3917</v>
      </c>
      <c r="B1222" s="480" t="s">
        <v>3294</v>
      </c>
      <c r="C1222" s="331">
        <v>426</v>
      </c>
      <c r="D1222" s="141" t="s">
        <v>4</v>
      </c>
      <c r="E1222" s="180" t="s">
        <v>2451</v>
      </c>
      <c r="F1222" s="180">
        <v>31050411</v>
      </c>
      <c r="G1222" s="180"/>
      <c r="H1222" s="180" t="s">
        <v>3241</v>
      </c>
      <c r="I1222" s="364" t="s">
        <v>193</v>
      </c>
      <c r="J1222" s="393">
        <v>300000000</v>
      </c>
      <c r="K1222" s="627"/>
      <c r="L1222" s="394"/>
      <c r="M1222" s="394" t="s">
        <v>5133</v>
      </c>
      <c r="N1222" s="682"/>
      <c r="O1222" s="460" t="s">
        <v>3294</v>
      </c>
    </row>
    <row r="1223" spans="1:15" ht="36.75" customHeight="1" x14ac:dyDescent="0.35">
      <c r="A1223" s="272" t="s">
        <v>3918</v>
      </c>
      <c r="B1223" s="480" t="s">
        <v>4857</v>
      </c>
      <c r="C1223" s="331">
        <v>212</v>
      </c>
      <c r="D1223" s="141" t="s">
        <v>4</v>
      </c>
      <c r="E1223" s="180" t="s">
        <v>2451</v>
      </c>
      <c r="F1223" s="180">
        <v>31050411</v>
      </c>
      <c r="G1223" s="180"/>
      <c r="H1223" s="180" t="s">
        <v>3241</v>
      </c>
      <c r="I1223" s="364" t="s">
        <v>193</v>
      </c>
      <c r="J1223" s="393">
        <f>300000000+100000000</f>
        <v>400000000</v>
      </c>
      <c r="K1223" s="627">
        <v>300000000</v>
      </c>
      <c r="L1223" s="394"/>
      <c r="M1223" s="394" t="s">
        <v>5133</v>
      </c>
      <c r="N1223" s="682"/>
      <c r="O1223" s="460" t="s">
        <v>3295</v>
      </c>
    </row>
    <row r="1224" spans="1:15" ht="36.75" customHeight="1" x14ac:dyDescent="0.35">
      <c r="A1224" s="272" t="s">
        <v>3919</v>
      </c>
      <c r="B1224" s="480" t="s">
        <v>3296</v>
      </c>
      <c r="C1224" s="331">
        <v>217</v>
      </c>
      <c r="D1224" s="141" t="s">
        <v>4</v>
      </c>
      <c r="E1224" s="180" t="s">
        <v>2451</v>
      </c>
      <c r="F1224" s="180">
        <v>31050411</v>
      </c>
      <c r="G1224" s="180"/>
      <c r="H1224" s="180" t="s">
        <v>3241</v>
      </c>
      <c r="I1224" s="364" t="s">
        <v>193</v>
      </c>
      <c r="J1224" s="393">
        <v>200000000</v>
      </c>
      <c r="K1224" s="627">
        <v>200000000</v>
      </c>
      <c r="L1224" s="394"/>
      <c r="M1224" s="394" t="s">
        <v>5133</v>
      </c>
      <c r="N1224" s="682"/>
      <c r="O1224" s="460" t="s">
        <v>3296</v>
      </c>
    </row>
    <row r="1225" spans="1:15" ht="36.75" customHeight="1" x14ac:dyDescent="0.35">
      <c r="A1225" s="272" t="s">
        <v>3920</v>
      </c>
      <c r="B1225" s="480" t="s">
        <v>3370</v>
      </c>
      <c r="C1225" s="331">
        <v>106</v>
      </c>
      <c r="D1225" s="141" t="s">
        <v>4</v>
      </c>
      <c r="E1225" s="180" t="s">
        <v>2451</v>
      </c>
      <c r="F1225" s="180">
        <v>31050411</v>
      </c>
      <c r="G1225" s="180"/>
      <c r="H1225" s="180" t="s">
        <v>3241</v>
      </c>
      <c r="I1225" s="364" t="s">
        <v>193</v>
      </c>
      <c r="J1225" s="393">
        <v>100000000</v>
      </c>
      <c r="K1225" s="627"/>
      <c r="L1225" s="394"/>
      <c r="M1225" s="394" t="s">
        <v>5133</v>
      </c>
      <c r="N1225" s="682"/>
      <c r="O1225" s="460" t="s">
        <v>3297</v>
      </c>
    </row>
    <row r="1226" spans="1:15" ht="36.75" customHeight="1" x14ac:dyDescent="0.35">
      <c r="A1226" s="272" t="s">
        <v>3921</v>
      </c>
      <c r="B1226" s="480" t="s">
        <v>3298</v>
      </c>
      <c r="C1226" s="331" t="s">
        <v>379</v>
      </c>
      <c r="D1226" s="141" t="s">
        <v>4</v>
      </c>
      <c r="E1226" s="180" t="s">
        <v>2451</v>
      </c>
      <c r="F1226" s="180">
        <v>31050411</v>
      </c>
      <c r="G1226" s="180"/>
      <c r="H1226" s="180" t="s">
        <v>3241</v>
      </c>
      <c r="I1226" s="364" t="s">
        <v>193</v>
      </c>
      <c r="J1226" s="393">
        <v>100000000</v>
      </c>
      <c r="K1226" s="627"/>
      <c r="L1226" s="394"/>
      <c r="M1226" s="394" t="s">
        <v>5133</v>
      </c>
      <c r="N1226" s="682"/>
      <c r="O1226" s="460" t="s">
        <v>3298</v>
      </c>
    </row>
    <row r="1227" spans="1:15" ht="48.75" customHeight="1" x14ac:dyDescent="0.35">
      <c r="A1227" s="272" t="s">
        <v>3922</v>
      </c>
      <c r="B1227" s="480" t="s">
        <v>3299</v>
      </c>
      <c r="C1227" s="331" t="s">
        <v>390</v>
      </c>
      <c r="D1227" s="141" t="s">
        <v>4</v>
      </c>
      <c r="E1227" s="180" t="s">
        <v>2451</v>
      </c>
      <c r="F1227" s="180">
        <v>31050411</v>
      </c>
      <c r="G1227" s="180"/>
      <c r="H1227" s="180" t="s">
        <v>3241</v>
      </c>
      <c r="I1227" s="364" t="s">
        <v>193</v>
      </c>
      <c r="J1227" s="393">
        <v>300000000</v>
      </c>
      <c r="K1227" s="627">
        <v>100000000</v>
      </c>
      <c r="L1227" s="394"/>
      <c r="M1227" s="394" t="s">
        <v>5133</v>
      </c>
      <c r="N1227" s="682"/>
      <c r="O1227" s="241" t="s">
        <v>3299</v>
      </c>
    </row>
    <row r="1228" spans="1:15" ht="36.75" customHeight="1" x14ac:dyDescent="0.35">
      <c r="A1228" s="272" t="s">
        <v>3923</v>
      </c>
      <c r="B1228" s="480" t="s">
        <v>649</v>
      </c>
      <c r="C1228" s="331">
        <v>104</v>
      </c>
      <c r="D1228" s="141" t="s">
        <v>4</v>
      </c>
      <c r="E1228" s="180" t="s">
        <v>2451</v>
      </c>
      <c r="F1228" s="180">
        <v>31050411</v>
      </c>
      <c r="G1228" s="180"/>
      <c r="H1228" s="180" t="s">
        <v>3241</v>
      </c>
      <c r="I1228" s="364" t="s">
        <v>193</v>
      </c>
      <c r="J1228" s="393">
        <v>100000000</v>
      </c>
      <c r="K1228" s="627"/>
      <c r="L1228" s="394"/>
      <c r="M1228" s="394" t="s">
        <v>5133</v>
      </c>
      <c r="N1228" s="682"/>
      <c r="O1228" s="241" t="s">
        <v>649</v>
      </c>
    </row>
    <row r="1229" spans="1:15" ht="36.75" customHeight="1" x14ac:dyDescent="0.35">
      <c r="A1229" s="272" t="s">
        <v>3924</v>
      </c>
      <c r="B1229" s="480" t="s">
        <v>654</v>
      </c>
      <c r="C1229" s="331" t="s">
        <v>3247</v>
      </c>
      <c r="D1229" s="141" t="s">
        <v>4</v>
      </c>
      <c r="E1229" s="180" t="s">
        <v>2451</v>
      </c>
      <c r="F1229" s="180">
        <v>31050411</v>
      </c>
      <c r="G1229" s="180"/>
      <c r="H1229" s="180" t="s">
        <v>3241</v>
      </c>
      <c r="I1229" s="364" t="s">
        <v>193</v>
      </c>
      <c r="J1229" s="393">
        <v>100000000</v>
      </c>
      <c r="K1229" s="627">
        <v>200000000</v>
      </c>
      <c r="L1229" s="394"/>
      <c r="M1229" s="394" t="s">
        <v>5133</v>
      </c>
      <c r="N1229" s="682"/>
      <c r="O1229" s="241" t="s">
        <v>654</v>
      </c>
    </row>
    <row r="1230" spans="1:15" ht="36.75" customHeight="1" x14ac:dyDescent="0.35">
      <c r="A1230" s="272" t="s">
        <v>3925</v>
      </c>
      <c r="B1230" s="480" t="s">
        <v>3467</v>
      </c>
      <c r="C1230" s="331" t="s">
        <v>388</v>
      </c>
      <c r="D1230" s="141" t="s">
        <v>4</v>
      </c>
      <c r="E1230" s="180" t="s">
        <v>2451</v>
      </c>
      <c r="F1230" s="180">
        <v>31050411</v>
      </c>
      <c r="G1230" s="180"/>
      <c r="H1230" s="180" t="s">
        <v>3241</v>
      </c>
      <c r="I1230" s="364" t="s">
        <v>193</v>
      </c>
      <c r="J1230" s="488">
        <v>400000000</v>
      </c>
      <c r="K1230" s="627">
        <v>200000000</v>
      </c>
      <c r="L1230" s="394"/>
      <c r="M1230" s="394" t="s">
        <v>5133</v>
      </c>
      <c r="N1230" s="682"/>
      <c r="O1230" s="241" t="s">
        <v>3300</v>
      </c>
    </row>
    <row r="1231" spans="1:15" ht="43.5" customHeight="1" x14ac:dyDescent="0.35">
      <c r="A1231" s="272" t="s">
        <v>3926</v>
      </c>
      <c r="B1231" s="480" t="s">
        <v>4863</v>
      </c>
      <c r="C1231" s="331" t="s">
        <v>634</v>
      </c>
      <c r="D1231" s="141" t="s">
        <v>4</v>
      </c>
      <c r="E1231" s="180" t="s">
        <v>2451</v>
      </c>
      <c r="F1231" s="180">
        <v>31050411</v>
      </c>
      <c r="G1231" s="180"/>
      <c r="H1231" s="180" t="s">
        <v>3241</v>
      </c>
      <c r="I1231" s="364" t="s">
        <v>193</v>
      </c>
      <c r="J1231" s="488">
        <v>400000000</v>
      </c>
      <c r="K1231" s="627">
        <v>500000000</v>
      </c>
      <c r="L1231" s="394"/>
      <c r="M1231" s="394" t="s">
        <v>5133</v>
      </c>
      <c r="N1231" s="682"/>
      <c r="O1231" s="241" t="s">
        <v>3301</v>
      </c>
    </row>
    <row r="1232" spans="1:15" ht="36.75" customHeight="1" x14ac:dyDescent="0.35">
      <c r="A1232" s="272" t="s">
        <v>3927</v>
      </c>
      <c r="B1232" s="480" t="s">
        <v>3302</v>
      </c>
      <c r="C1232" s="331" t="s">
        <v>2568</v>
      </c>
      <c r="D1232" s="141" t="s">
        <v>4</v>
      </c>
      <c r="E1232" s="180" t="s">
        <v>2451</v>
      </c>
      <c r="F1232" s="180">
        <v>31050411</v>
      </c>
      <c r="G1232" s="180"/>
      <c r="H1232" s="180" t="s">
        <v>3241</v>
      </c>
      <c r="I1232" s="364" t="s">
        <v>193</v>
      </c>
      <c r="J1232" s="488">
        <v>300000000</v>
      </c>
      <c r="K1232" s="627">
        <v>200000000</v>
      </c>
      <c r="L1232" s="394"/>
      <c r="M1232" s="394" t="s">
        <v>5133</v>
      </c>
      <c r="N1232" s="682"/>
      <c r="O1232" s="241" t="s">
        <v>3302</v>
      </c>
    </row>
    <row r="1233" spans="1:15" ht="33" customHeight="1" x14ac:dyDescent="0.35">
      <c r="A1233" s="272" t="s">
        <v>3928</v>
      </c>
      <c r="B1233" s="517" t="s">
        <v>3371</v>
      </c>
      <c r="C1233" s="331">
        <v>318</v>
      </c>
      <c r="D1233" s="141" t="s">
        <v>4</v>
      </c>
      <c r="E1233" s="180" t="s">
        <v>2451</v>
      </c>
      <c r="F1233" s="180">
        <v>31050411</v>
      </c>
      <c r="G1233" s="180"/>
      <c r="H1233" s="180" t="s">
        <v>3241</v>
      </c>
      <c r="I1233" s="364" t="s">
        <v>193</v>
      </c>
      <c r="J1233" s="518">
        <v>500000000</v>
      </c>
      <c r="K1233" s="627">
        <v>200000000</v>
      </c>
      <c r="L1233" s="394"/>
      <c r="M1233" s="394" t="s">
        <v>5133</v>
      </c>
      <c r="N1233" s="682"/>
      <c r="O1233" s="461" t="s">
        <v>3303</v>
      </c>
    </row>
    <row r="1234" spans="1:15" ht="61.5" customHeight="1" x14ac:dyDescent="0.35">
      <c r="A1234" s="272" t="s">
        <v>3929</v>
      </c>
      <c r="B1234" s="480" t="s">
        <v>3304</v>
      </c>
      <c r="C1234" s="331" t="s">
        <v>388</v>
      </c>
      <c r="D1234" s="141" t="s">
        <v>4</v>
      </c>
      <c r="E1234" s="180" t="s">
        <v>2451</v>
      </c>
      <c r="F1234" s="180">
        <v>31050411</v>
      </c>
      <c r="G1234" s="180"/>
      <c r="H1234" s="180"/>
      <c r="I1234" s="364" t="s">
        <v>193</v>
      </c>
      <c r="J1234" s="488">
        <v>150000000</v>
      </c>
      <c r="K1234" s="627"/>
      <c r="L1234" s="394"/>
      <c r="M1234" s="394" t="s">
        <v>5133</v>
      </c>
      <c r="N1234" s="682"/>
      <c r="O1234" s="241" t="s">
        <v>3304</v>
      </c>
    </row>
    <row r="1235" spans="1:15" ht="59.25" customHeight="1" x14ac:dyDescent="0.35">
      <c r="A1235" s="272" t="s">
        <v>3930</v>
      </c>
      <c r="B1235" s="519" t="s">
        <v>3305</v>
      </c>
      <c r="C1235" s="331" t="s">
        <v>1486</v>
      </c>
      <c r="D1235" s="141" t="s">
        <v>4</v>
      </c>
      <c r="E1235" s="180" t="s">
        <v>2451</v>
      </c>
      <c r="F1235" s="180">
        <v>31050411</v>
      </c>
      <c r="G1235" s="180"/>
      <c r="H1235" s="180" t="s">
        <v>3241</v>
      </c>
      <c r="I1235" s="364" t="s">
        <v>193</v>
      </c>
      <c r="J1235" s="520">
        <v>100000000</v>
      </c>
      <c r="K1235" s="627">
        <v>100000000</v>
      </c>
      <c r="L1235" s="394"/>
      <c r="M1235" s="394" t="s">
        <v>5133</v>
      </c>
      <c r="N1235" s="682"/>
      <c r="O1235" s="409" t="s">
        <v>3305</v>
      </c>
    </row>
    <row r="1236" spans="1:15" ht="33" customHeight="1" x14ac:dyDescent="0.35">
      <c r="A1236" s="272" t="s">
        <v>3931</v>
      </c>
      <c r="B1236" s="480" t="s">
        <v>3306</v>
      </c>
      <c r="C1236" s="331" t="s">
        <v>3307</v>
      </c>
      <c r="D1236" s="141" t="s">
        <v>4</v>
      </c>
      <c r="E1236" s="180" t="s">
        <v>2451</v>
      </c>
      <c r="F1236" s="180">
        <v>31050411</v>
      </c>
      <c r="G1236" s="180"/>
      <c r="H1236" s="180" t="s">
        <v>3241</v>
      </c>
      <c r="I1236" s="364" t="s">
        <v>193</v>
      </c>
      <c r="J1236" s="488">
        <v>150000000</v>
      </c>
      <c r="K1236" s="627"/>
      <c r="L1236" s="394"/>
      <c r="M1236" s="394" t="s">
        <v>5133</v>
      </c>
      <c r="N1236" s="682"/>
      <c r="O1236" s="241" t="s">
        <v>3306</v>
      </c>
    </row>
    <row r="1237" spans="1:15" ht="60" customHeight="1" x14ac:dyDescent="0.35">
      <c r="A1237" s="272" t="s">
        <v>3932</v>
      </c>
      <c r="B1237" s="480" t="s">
        <v>3308</v>
      </c>
      <c r="C1237" s="331" t="s">
        <v>418</v>
      </c>
      <c r="D1237" s="141" t="s">
        <v>4</v>
      </c>
      <c r="E1237" s="180" t="s">
        <v>2451</v>
      </c>
      <c r="F1237" s="180">
        <v>31050411</v>
      </c>
      <c r="G1237" s="180"/>
      <c r="H1237" s="180" t="s">
        <v>3241</v>
      </c>
      <c r="I1237" s="364" t="s">
        <v>193</v>
      </c>
      <c r="J1237" s="488">
        <v>300000000</v>
      </c>
      <c r="K1237" s="627"/>
      <c r="L1237" s="394"/>
      <c r="M1237" s="394" t="s">
        <v>5133</v>
      </c>
      <c r="N1237" s="682"/>
      <c r="O1237" s="241" t="s">
        <v>3308</v>
      </c>
    </row>
    <row r="1238" spans="1:15" ht="38.25" customHeight="1" x14ac:dyDescent="0.35">
      <c r="A1238" s="272" t="s">
        <v>3933</v>
      </c>
      <c r="B1238" s="480" t="s">
        <v>3309</v>
      </c>
      <c r="C1238" s="331">
        <v>318</v>
      </c>
      <c r="D1238" s="141" t="s">
        <v>4</v>
      </c>
      <c r="E1238" s="180" t="s">
        <v>2451</v>
      </c>
      <c r="F1238" s="180">
        <v>31050411</v>
      </c>
      <c r="G1238" s="180"/>
      <c r="H1238" s="180" t="s">
        <v>3241</v>
      </c>
      <c r="I1238" s="364" t="s">
        <v>193</v>
      </c>
      <c r="J1238" s="488">
        <v>400000000</v>
      </c>
      <c r="K1238" s="627"/>
      <c r="L1238" s="394"/>
      <c r="M1238" s="394" t="s">
        <v>5133</v>
      </c>
      <c r="N1238" s="682"/>
      <c r="O1238" s="241" t="s">
        <v>3309</v>
      </c>
    </row>
    <row r="1239" spans="1:15" ht="42.75" customHeight="1" x14ac:dyDescent="0.35">
      <c r="A1239" s="272" t="s">
        <v>3934</v>
      </c>
      <c r="B1239" s="480" t="s">
        <v>3478</v>
      </c>
      <c r="C1239" s="331">
        <v>426</v>
      </c>
      <c r="D1239" s="141" t="s">
        <v>4</v>
      </c>
      <c r="E1239" s="180" t="s">
        <v>2451</v>
      </c>
      <c r="F1239" s="180">
        <v>31050411</v>
      </c>
      <c r="G1239" s="180"/>
      <c r="H1239" s="180" t="s">
        <v>3241</v>
      </c>
      <c r="I1239" s="364" t="s">
        <v>193</v>
      </c>
      <c r="J1239" s="393">
        <v>1000000000</v>
      </c>
      <c r="K1239" s="627">
        <v>200000000</v>
      </c>
      <c r="L1239" s="394"/>
      <c r="M1239" s="394" t="s">
        <v>5133</v>
      </c>
      <c r="N1239" s="682"/>
      <c r="O1239" s="241" t="s">
        <v>3310</v>
      </c>
    </row>
    <row r="1240" spans="1:15" ht="42.75" customHeight="1" x14ac:dyDescent="0.35">
      <c r="A1240" s="272" t="s">
        <v>3935</v>
      </c>
      <c r="B1240" s="480" t="s">
        <v>3311</v>
      </c>
      <c r="C1240" s="331" t="s">
        <v>1717</v>
      </c>
      <c r="D1240" s="141" t="s">
        <v>4</v>
      </c>
      <c r="E1240" s="180" t="s">
        <v>2451</v>
      </c>
      <c r="F1240" s="180">
        <v>31050411</v>
      </c>
      <c r="G1240" s="180"/>
      <c r="H1240" s="180" t="s">
        <v>3241</v>
      </c>
      <c r="I1240" s="364" t="s">
        <v>193</v>
      </c>
      <c r="J1240" s="488">
        <v>250000000</v>
      </c>
      <c r="K1240" s="627">
        <v>200000000</v>
      </c>
      <c r="L1240" s="394"/>
      <c r="M1240" s="394" t="s">
        <v>5133</v>
      </c>
      <c r="N1240" s="682"/>
      <c r="O1240" s="241" t="s">
        <v>3311</v>
      </c>
    </row>
    <row r="1241" spans="1:15" ht="34.5" customHeight="1" x14ac:dyDescent="0.35">
      <c r="A1241" s="272" t="s">
        <v>3936</v>
      </c>
      <c r="B1241" s="480" t="s">
        <v>3474</v>
      </c>
      <c r="C1241" s="331">
        <v>426</v>
      </c>
      <c r="D1241" s="141" t="s">
        <v>4</v>
      </c>
      <c r="E1241" s="180" t="s">
        <v>2451</v>
      </c>
      <c r="F1241" s="180">
        <v>31050411</v>
      </c>
      <c r="G1241" s="180"/>
      <c r="H1241" s="180" t="s">
        <v>3241</v>
      </c>
      <c r="I1241" s="364" t="s">
        <v>193</v>
      </c>
      <c r="J1241" s="488">
        <v>400000000</v>
      </c>
      <c r="K1241" s="627"/>
      <c r="L1241" s="394"/>
      <c r="M1241" s="394" t="s">
        <v>5133</v>
      </c>
      <c r="N1241" s="682"/>
      <c r="O1241" s="241" t="s">
        <v>3312</v>
      </c>
    </row>
    <row r="1242" spans="1:15" ht="36" customHeight="1" x14ac:dyDescent="0.35">
      <c r="A1242" s="272" t="s">
        <v>3937</v>
      </c>
      <c r="B1242" s="480" t="s">
        <v>3313</v>
      </c>
      <c r="C1242" s="331" t="s">
        <v>191</v>
      </c>
      <c r="D1242" s="141" t="s">
        <v>4</v>
      </c>
      <c r="E1242" s="180" t="s">
        <v>2451</v>
      </c>
      <c r="F1242" s="180">
        <v>31050411</v>
      </c>
      <c r="G1242" s="180"/>
      <c r="H1242" s="180" t="s">
        <v>3241</v>
      </c>
      <c r="I1242" s="364" t="s">
        <v>193</v>
      </c>
      <c r="J1242" s="488">
        <v>200000000</v>
      </c>
      <c r="K1242" s="627">
        <v>200000000</v>
      </c>
      <c r="L1242" s="394"/>
      <c r="M1242" s="394" t="s">
        <v>5133</v>
      </c>
      <c r="N1242" s="682"/>
      <c r="O1242" s="241" t="s">
        <v>3313</v>
      </c>
    </row>
    <row r="1243" spans="1:15" ht="34.5" customHeight="1" x14ac:dyDescent="0.35">
      <c r="A1243" s="272" t="s">
        <v>3938</v>
      </c>
      <c r="B1243" s="480" t="s">
        <v>3314</v>
      </c>
      <c r="C1243" s="331" t="s">
        <v>650</v>
      </c>
      <c r="D1243" s="141" t="s">
        <v>4</v>
      </c>
      <c r="E1243" s="180" t="s">
        <v>2451</v>
      </c>
      <c r="F1243" s="180">
        <v>31050411</v>
      </c>
      <c r="G1243" s="180"/>
      <c r="H1243" s="180" t="s">
        <v>3241</v>
      </c>
      <c r="I1243" s="364" t="s">
        <v>193</v>
      </c>
      <c r="J1243" s="488">
        <v>200000000</v>
      </c>
      <c r="K1243" s="627">
        <v>100000000</v>
      </c>
      <c r="L1243" s="394"/>
      <c r="M1243" s="394" t="s">
        <v>5133</v>
      </c>
      <c r="N1243" s="682"/>
      <c r="O1243" s="241" t="s">
        <v>3314</v>
      </c>
    </row>
    <row r="1244" spans="1:15" ht="38.25" customHeight="1" x14ac:dyDescent="0.35">
      <c r="A1244" s="272" t="s">
        <v>3939</v>
      </c>
      <c r="B1244" s="480" t="s">
        <v>3315</v>
      </c>
      <c r="C1244" s="331">
        <v>215</v>
      </c>
      <c r="D1244" s="141" t="s">
        <v>4</v>
      </c>
      <c r="E1244" s="180" t="s">
        <v>2451</v>
      </c>
      <c r="F1244" s="180">
        <v>31050411</v>
      </c>
      <c r="G1244" s="180"/>
      <c r="H1244" s="180" t="s">
        <v>3241</v>
      </c>
      <c r="I1244" s="364" t="s">
        <v>193</v>
      </c>
      <c r="J1244" s="488">
        <v>500000000</v>
      </c>
      <c r="K1244" s="627"/>
      <c r="L1244" s="394"/>
      <c r="M1244" s="394" t="s">
        <v>5133</v>
      </c>
      <c r="N1244" s="682"/>
      <c r="O1244" s="241" t="s">
        <v>3315</v>
      </c>
    </row>
    <row r="1245" spans="1:15" ht="39.75" customHeight="1" x14ac:dyDescent="0.35">
      <c r="A1245" s="272" t="s">
        <v>3940</v>
      </c>
      <c r="B1245" s="480" t="s">
        <v>3473</v>
      </c>
      <c r="C1245" s="331">
        <v>215</v>
      </c>
      <c r="D1245" s="141" t="s">
        <v>4</v>
      </c>
      <c r="E1245" s="180" t="s">
        <v>2451</v>
      </c>
      <c r="F1245" s="180">
        <v>31050411</v>
      </c>
      <c r="G1245" s="180"/>
      <c r="H1245" s="180" t="s">
        <v>3241</v>
      </c>
      <c r="I1245" s="364" t="s">
        <v>193</v>
      </c>
      <c r="J1245" s="488">
        <v>300000000</v>
      </c>
      <c r="K1245" s="627">
        <v>200000000</v>
      </c>
      <c r="L1245" s="394"/>
      <c r="M1245" s="394" t="s">
        <v>5133</v>
      </c>
      <c r="N1245" s="682"/>
      <c r="O1245" s="241" t="s">
        <v>3316</v>
      </c>
    </row>
    <row r="1246" spans="1:15" ht="42.75" customHeight="1" x14ac:dyDescent="0.35">
      <c r="A1246" s="272" t="s">
        <v>3941</v>
      </c>
      <c r="B1246" s="480" t="s">
        <v>3317</v>
      </c>
      <c r="C1246" s="331" t="s">
        <v>3268</v>
      </c>
      <c r="D1246" s="141" t="s">
        <v>4</v>
      </c>
      <c r="E1246" s="180" t="s">
        <v>2451</v>
      </c>
      <c r="F1246" s="180">
        <v>31050411</v>
      </c>
      <c r="G1246" s="180"/>
      <c r="H1246" s="180" t="s">
        <v>3241</v>
      </c>
      <c r="I1246" s="364" t="s">
        <v>193</v>
      </c>
      <c r="J1246" s="488">
        <v>300000000</v>
      </c>
      <c r="K1246" s="627">
        <v>200000000</v>
      </c>
      <c r="L1246" s="394"/>
      <c r="M1246" s="394" t="s">
        <v>5133</v>
      </c>
      <c r="N1246" s="682"/>
      <c r="O1246" s="241" t="s">
        <v>3317</v>
      </c>
    </row>
    <row r="1247" spans="1:15" ht="44.25" customHeight="1" x14ac:dyDescent="0.35">
      <c r="A1247" s="272" t="s">
        <v>3942</v>
      </c>
      <c r="B1247" s="480" t="s">
        <v>3468</v>
      </c>
      <c r="C1247" s="331">
        <v>324</v>
      </c>
      <c r="D1247" s="141" t="s">
        <v>4</v>
      </c>
      <c r="E1247" s="180" t="s">
        <v>2451</v>
      </c>
      <c r="F1247" s="180">
        <v>31050411</v>
      </c>
      <c r="G1247" s="180"/>
      <c r="H1247" s="180" t="s">
        <v>3241</v>
      </c>
      <c r="I1247" s="364" t="s">
        <v>193</v>
      </c>
      <c r="J1247" s="488">
        <v>200000000</v>
      </c>
      <c r="K1247" s="627"/>
      <c r="L1247" s="394"/>
      <c r="M1247" s="394" t="s">
        <v>5133</v>
      </c>
      <c r="N1247" s="682"/>
      <c r="O1247" s="460" t="s">
        <v>3318</v>
      </c>
    </row>
    <row r="1248" spans="1:15" ht="41.25" customHeight="1" x14ac:dyDescent="0.35">
      <c r="A1248" s="272" t="s">
        <v>3943</v>
      </c>
      <c r="B1248" s="480" t="s">
        <v>3469</v>
      </c>
      <c r="C1248" s="331" t="s">
        <v>634</v>
      </c>
      <c r="D1248" s="141" t="s">
        <v>4</v>
      </c>
      <c r="E1248" s="180" t="s">
        <v>2451</v>
      </c>
      <c r="F1248" s="180">
        <v>31050411</v>
      </c>
      <c r="G1248" s="180"/>
      <c r="H1248" s="180" t="s">
        <v>3241</v>
      </c>
      <c r="I1248" s="364" t="s">
        <v>193</v>
      </c>
      <c r="J1248" s="521">
        <v>300000000</v>
      </c>
      <c r="K1248" s="627"/>
      <c r="L1248" s="394"/>
      <c r="M1248" s="394" t="s">
        <v>5133</v>
      </c>
      <c r="N1248" s="682"/>
      <c r="O1248" s="460" t="s">
        <v>3319</v>
      </c>
    </row>
    <row r="1249" spans="1:15" ht="42.75" customHeight="1" x14ac:dyDescent="0.35">
      <c r="A1249" s="272" t="s">
        <v>3944</v>
      </c>
      <c r="B1249" s="480" t="s">
        <v>3470</v>
      </c>
      <c r="C1249" s="331" t="s">
        <v>3321</v>
      </c>
      <c r="D1249" s="141" t="s">
        <v>4</v>
      </c>
      <c r="E1249" s="180" t="s">
        <v>2451</v>
      </c>
      <c r="F1249" s="180">
        <v>31050411</v>
      </c>
      <c r="G1249" s="180"/>
      <c r="H1249" s="180" t="s">
        <v>3241</v>
      </c>
      <c r="I1249" s="364" t="s">
        <v>193</v>
      </c>
      <c r="J1249" s="521">
        <v>500000000</v>
      </c>
      <c r="K1249" s="627"/>
      <c r="L1249" s="394"/>
      <c r="M1249" s="394" t="s">
        <v>5133</v>
      </c>
      <c r="N1249" s="682"/>
      <c r="O1249" s="460" t="s">
        <v>3320</v>
      </c>
    </row>
    <row r="1250" spans="1:15" ht="41.25" customHeight="1" x14ac:dyDescent="0.35">
      <c r="A1250" s="272" t="s">
        <v>3945</v>
      </c>
      <c r="B1250" s="480" t="s">
        <v>3322</v>
      </c>
      <c r="C1250" s="331" t="s">
        <v>407</v>
      </c>
      <c r="D1250" s="141" t="s">
        <v>4</v>
      </c>
      <c r="E1250" s="180" t="s">
        <v>2451</v>
      </c>
      <c r="F1250" s="180">
        <v>31050411</v>
      </c>
      <c r="G1250" s="180"/>
      <c r="H1250" s="180" t="s">
        <v>3241</v>
      </c>
      <c r="I1250" s="364" t="s">
        <v>193</v>
      </c>
      <c r="J1250" s="277">
        <v>60000000</v>
      </c>
      <c r="K1250" s="627">
        <v>75000000</v>
      </c>
      <c r="L1250" s="394"/>
      <c r="M1250" s="394" t="s">
        <v>5133</v>
      </c>
      <c r="N1250" s="682"/>
      <c r="O1250" s="460" t="s">
        <v>3322</v>
      </c>
    </row>
    <row r="1251" spans="1:15" ht="38.25" customHeight="1" x14ac:dyDescent="0.35">
      <c r="A1251" s="272" t="s">
        <v>3946</v>
      </c>
      <c r="B1251" s="480" t="s">
        <v>3411</v>
      </c>
      <c r="C1251" s="331">
        <v>107</v>
      </c>
      <c r="D1251" s="141" t="s">
        <v>4</v>
      </c>
      <c r="E1251" s="180" t="s">
        <v>2451</v>
      </c>
      <c r="F1251" s="180">
        <v>31050411</v>
      </c>
      <c r="G1251" s="180"/>
      <c r="H1251" s="180" t="s">
        <v>3241</v>
      </c>
      <c r="I1251" s="364" t="s">
        <v>193</v>
      </c>
      <c r="J1251" s="521">
        <v>700000000</v>
      </c>
      <c r="K1251" s="627"/>
      <c r="L1251" s="394"/>
      <c r="M1251" s="394" t="s">
        <v>5133</v>
      </c>
      <c r="N1251" s="682"/>
      <c r="O1251" s="460" t="s">
        <v>3323</v>
      </c>
    </row>
    <row r="1252" spans="1:15" ht="36.75" customHeight="1" x14ac:dyDescent="0.35">
      <c r="A1252" s="272" t="s">
        <v>3947</v>
      </c>
      <c r="B1252" s="480" t="s">
        <v>3471</v>
      </c>
      <c r="C1252" s="331" t="s">
        <v>378</v>
      </c>
      <c r="D1252" s="141" t="s">
        <v>4</v>
      </c>
      <c r="E1252" s="180" t="s">
        <v>2451</v>
      </c>
      <c r="F1252" s="180">
        <v>31050411</v>
      </c>
      <c r="G1252" s="180"/>
      <c r="H1252" s="180" t="s">
        <v>3241</v>
      </c>
      <c r="I1252" s="364" t="s">
        <v>193</v>
      </c>
      <c r="J1252" s="521">
        <v>500000000</v>
      </c>
      <c r="K1252" s="627">
        <v>500000000</v>
      </c>
      <c r="L1252" s="394"/>
      <c r="M1252" s="394" t="s">
        <v>5133</v>
      </c>
      <c r="N1252" s="682"/>
      <c r="O1252" s="460" t="s">
        <v>3324</v>
      </c>
    </row>
    <row r="1253" spans="1:15" ht="34.5" customHeight="1" x14ac:dyDescent="0.35">
      <c r="A1253" s="272" t="s">
        <v>3948</v>
      </c>
      <c r="B1253" s="480" t="s">
        <v>3472</v>
      </c>
      <c r="C1253" s="331" t="s">
        <v>379</v>
      </c>
      <c r="D1253" s="141" t="s">
        <v>4</v>
      </c>
      <c r="E1253" s="180" t="s">
        <v>2451</v>
      </c>
      <c r="F1253" s="180">
        <v>31050411</v>
      </c>
      <c r="G1253" s="180"/>
      <c r="H1253" s="180" t="s">
        <v>3241</v>
      </c>
      <c r="I1253" s="364" t="s">
        <v>193</v>
      </c>
      <c r="J1253" s="228">
        <v>500000000</v>
      </c>
      <c r="K1253" s="627">
        <v>200000000</v>
      </c>
      <c r="L1253" s="394"/>
      <c r="M1253" s="394" t="s">
        <v>5133</v>
      </c>
      <c r="N1253" s="682"/>
      <c r="O1253" s="239" t="s">
        <v>3325</v>
      </c>
    </row>
    <row r="1254" spans="1:15" ht="57" customHeight="1" x14ac:dyDescent="0.35">
      <c r="A1254" s="272" t="s">
        <v>3949</v>
      </c>
      <c r="B1254" s="500" t="s">
        <v>3291</v>
      </c>
      <c r="C1254" s="379" t="s">
        <v>496</v>
      </c>
      <c r="D1254" s="141" t="s">
        <v>4</v>
      </c>
      <c r="E1254" s="379" t="s">
        <v>2451</v>
      </c>
      <c r="F1254" s="379">
        <v>31050411</v>
      </c>
      <c r="G1254" s="379"/>
      <c r="H1254" s="379" t="s">
        <v>3241</v>
      </c>
      <c r="I1254" s="379" t="s">
        <v>193</v>
      </c>
      <c r="J1254" s="413">
        <v>150000000</v>
      </c>
      <c r="K1254" s="627">
        <v>150000000</v>
      </c>
      <c r="L1254" s="394"/>
      <c r="M1254" s="394" t="s">
        <v>5133</v>
      </c>
      <c r="O1254" s="236" t="s">
        <v>3291</v>
      </c>
    </row>
    <row r="1255" spans="1:15" ht="54" customHeight="1" x14ac:dyDescent="0.35">
      <c r="A1255" s="272" t="s">
        <v>3950</v>
      </c>
      <c r="B1255" s="480" t="s">
        <v>3326</v>
      </c>
      <c r="C1255" s="331" t="s">
        <v>393</v>
      </c>
      <c r="D1255" s="141" t="s">
        <v>4</v>
      </c>
      <c r="E1255" s="180" t="s">
        <v>2451</v>
      </c>
      <c r="F1255" s="180">
        <v>31050411</v>
      </c>
      <c r="G1255" s="180"/>
      <c r="H1255" s="180" t="s">
        <v>3241</v>
      </c>
      <c r="I1255" s="364" t="s">
        <v>193</v>
      </c>
      <c r="J1255" s="277">
        <v>140000000</v>
      </c>
      <c r="K1255" s="627"/>
      <c r="L1255" s="394"/>
      <c r="M1255" s="394" t="s">
        <v>5133</v>
      </c>
      <c r="N1255" s="682"/>
      <c r="O1255" s="239" t="s">
        <v>3326</v>
      </c>
    </row>
    <row r="1256" spans="1:15" ht="36" customHeight="1" x14ac:dyDescent="0.35">
      <c r="A1256" s="272" t="s">
        <v>3951</v>
      </c>
      <c r="B1256" s="480" t="s">
        <v>3327</v>
      </c>
      <c r="C1256" s="331">
        <v>108</v>
      </c>
      <c r="D1256" s="141" t="s">
        <v>4</v>
      </c>
      <c r="E1256" s="180" t="s">
        <v>2451</v>
      </c>
      <c r="F1256" s="180">
        <v>31050411</v>
      </c>
      <c r="G1256" s="180"/>
      <c r="H1256" s="180" t="s">
        <v>3241</v>
      </c>
      <c r="I1256" s="364" t="s">
        <v>193</v>
      </c>
      <c r="J1256" s="228">
        <v>100000000</v>
      </c>
      <c r="K1256" s="627">
        <v>100000000</v>
      </c>
      <c r="L1256" s="394"/>
      <c r="M1256" s="394" t="s">
        <v>5133</v>
      </c>
      <c r="N1256" s="682"/>
      <c r="O1256" s="239" t="s">
        <v>3327</v>
      </c>
    </row>
    <row r="1257" spans="1:15" ht="41.25" customHeight="1" x14ac:dyDescent="0.35">
      <c r="A1257" s="272" t="s">
        <v>3952</v>
      </c>
      <c r="B1257" s="480" t="s">
        <v>3475</v>
      </c>
      <c r="C1257" s="331" t="s">
        <v>407</v>
      </c>
      <c r="D1257" s="141" t="s">
        <v>4</v>
      </c>
      <c r="E1257" s="180" t="s">
        <v>2451</v>
      </c>
      <c r="F1257" s="180">
        <v>31050411</v>
      </c>
      <c r="G1257" s="180"/>
      <c r="H1257" s="180" t="s">
        <v>3241</v>
      </c>
      <c r="I1257" s="364" t="s">
        <v>193</v>
      </c>
      <c r="J1257" s="228">
        <v>400000000</v>
      </c>
      <c r="K1257" s="627"/>
      <c r="L1257" s="394"/>
      <c r="M1257" s="394" t="s">
        <v>5133</v>
      </c>
      <c r="N1257" s="682"/>
      <c r="O1257" s="239" t="s">
        <v>3328</v>
      </c>
    </row>
    <row r="1258" spans="1:15" ht="59.25" customHeight="1" x14ac:dyDescent="0.35">
      <c r="A1258" s="272" t="s">
        <v>3953</v>
      </c>
      <c r="B1258" s="480" t="s">
        <v>3329</v>
      </c>
      <c r="C1258" s="331" t="s">
        <v>3259</v>
      </c>
      <c r="D1258" s="141" t="s">
        <v>4</v>
      </c>
      <c r="E1258" s="180" t="s">
        <v>2451</v>
      </c>
      <c r="F1258" s="180">
        <v>31050411</v>
      </c>
      <c r="G1258" s="180"/>
      <c r="H1258" s="180" t="s">
        <v>3241</v>
      </c>
      <c r="I1258" s="364" t="s">
        <v>193</v>
      </c>
      <c r="J1258" s="228">
        <v>100000000</v>
      </c>
      <c r="K1258" s="627"/>
      <c r="L1258" s="394"/>
      <c r="M1258" s="394" t="s">
        <v>5133</v>
      </c>
      <c r="N1258" s="682"/>
      <c r="O1258" s="239" t="s">
        <v>3329</v>
      </c>
    </row>
    <row r="1259" spans="1:15" ht="54.75" customHeight="1" x14ac:dyDescent="0.35">
      <c r="A1259" s="272" t="s">
        <v>3954</v>
      </c>
      <c r="B1259" s="480" t="s">
        <v>3330</v>
      </c>
      <c r="C1259" s="331" t="s">
        <v>3263</v>
      </c>
      <c r="D1259" s="141" t="s">
        <v>4</v>
      </c>
      <c r="E1259" s="180" t="s">
        <v>2451</v>
      </c>
      <c r="F1259" s="180">
        <v>31050411</v>
      </c>
      <c r="G1259" s="180"/>
      <c r="H1259" s="180" t="s">
        <v>3241</v>
      </c>
      <c r="I1259" s="364" t="s">
        <v>193</v>
      </c>
      <c r="J1259" s="228">
        <v>146000000</v>
      </c>
      <c r="K1259" s="627">
        <v>320000000</v>
      </c>
      <c r="L1259" s="394"/>
      <c r="M1259" s="394" t="s">
        <v>5133</v>
      </c>
      <c r="N1259" s="682"/>
      <c r="O1259" s="239" t="s">
        <v>3330</v>
      </c>
    </row>
    <row r="1260" spans="1:15" ht="37.5" customHeight="1" x14ac:dyDescent="0.35">
      <c r="A1260" s="272" t="s">
        <v>3955</v>
      </c>
      <c r="B1260" s="480" t="s">
        <v>3476</v>
      </c>
      <c r="C1260" s="331">
        <v>426</v>
      </c>
      <c r="D1260" s="141" t="s">
        <v>4</v>
      </c>
      <c r="E1260" s="180" t="s">
        <v>2451</v>
      </c>
      <c r="F1260" s="180">
        <v>31050411</v>
      </c>
      <c r="G1260" s="180"/>
      <c r="H1260" s="180" t="s">
        <v>3241</v>
      </c>
      <c r="I1260" s="364" t="s">
        <v>193</v>
      </c>
      <c r="J1260" s="228">
        <v>300000000</v>
      </c>
      <c r="K1260" s="627"/>
      <c r="L1260" s="394"/>
      <c r="M1260" s="394" t="s">
        <v>5133</v>
      </c>
      <c r="N1260" s="682"/>
      <c r="O1260" s="239" t="s">
        <v>3331</v>
      </c>
    </row>
    <row r="1261" spans="1:15" ht="40.5" customHeight="1" x14ac:dyDescent="0.35">
      <c r="A1261" s="272" t="s">
        <v>3956</v>
      </c>
      <c r="B1261" s="588" t="s">
        <v>3408</v>
      </c>
      <c r="C1261" s="331">
        <v>3220</v>
      </c>
      <c r="D1261" s="141" t="s">
        <v>4</v>
      </c>
      <c r="E1261" s="180" t="s">
        <v>2451</v>
      </c>
      <c r="F1261" s="180">
        <v>31050411</v>
      </c>
      <c r="G1261" s="180"/>
      <c r="H1261" s="180" t="s">
        <v>3241</v>
      </c>
      <c r="I1261" s="364" t="s">
        <v>193</v>
      </c>
      <c r="J1261" s="228">
        <v>2500000000</v>
      </c>
      <c r="K1261" s="627">
        <v>3510061614</v>
      </c>
      <c r="L1261" s="627">
        <v>3510061614</v>
      </c>
      <c r="M1261" s="394" t="s">
        <v>5123</v>
      </c>
      <c r="N1261" s="682"/>
      <c r="O1261" s="239" t="s">
        <v>3332</v>
      </c>
    </row>
    <row r="1262" spans="1:15" ht="40.5" customHeight="1" x14ac:dyDescent="0.35">
      <c r="A1262" s="272" t="s">
        <v>3957</v>
      </c>
      <c r="B1262" s="497" t="s">
        <v>3409</v>
      </c>
      <c r="C1262" s="331">
        <v>3220</v>
      </c>
      <c r="D1262" s="141" t="s">
        <v>4</v>
      </c>
      <c r="E1262" s="180" t="s">
        <v>2451</v>
      </c>
      <c r="F1262" s="180">
        <v>31050411</v>
      </c>
      <c r="G1262" s="180"/>
      <c r="H1262" s="180" t="s">
        <v>3241</v>
      </c>
      <c r="I1262" s="364" t="s">
        <v>193</v>
      </c>
      <c r="J1262" s="228">
        <v>2500000000</v>
      </c>
      <c r="K1262" s="627">
        <v>42934962.359999999</v>
      </c>
      <c r="L1262" s="394"/>
      <c r="M1262" s="394" t="s">
        <v>5133</v>
      </c>
      <c r="N1262" s="682"/>
      <c r="O1262" s="239" t="s">
        <v>3333</v>
      </c>
    </row>
    <row r="1263" spans="1:15" ht="40.5" customHeight="1" x14ac:dyDescent="0.35">
      <c r="A1263" s="272" t="s">
        <v>3958</v>
      </c>
      <c r="B1263" s="497" t="s">
        <v>3410</v>
      </c>
      <c r="C1263" s="331">
        <v>3220</v>
      </c>
      <c r="D1263" s="141" t="s">
        <v>4</v>
      </c>
      <c r="E1263" s="180" t="s">
        <v>2451</v>
      </c>
      <c r="F1263" s="180">
        <v>31050411</v>
      </c>
      <c r="G1263" s="180"/>
      <c r="H1263" s="180" t="s">
        <v>3241</v>
      </c>
      <c r="I1263" s="364" t="s">
        <v>193</v>
      </c>
      <c r="J1263" s="228">
        <v>2500000000</v>
      </c>
      <c r="K1263" s="627">
        <v>1365447446.1700001</v>
      </c>
      <c r="L1263" s="394"/>
      <c r="M1263" s="394" t="s">
        <v>5133</v>
      </c>
      <c r="N1263" s="682"/>
      <c r="O1263" s="239" t="s">
        <v>3334</v>
      </c>
    </row>
    <row r="1264" spans="1:15" ht="40.5" customHeight="1" x14ac:dyDescent="0.35">
      <c r="A1264" s="272" t="s">
        <v>3959</v>
      </c>
      <c r="B1264" s="522" t="s">
        <v>4589</v>
      </c>
      <c r="C1264" s="331">
        <v>3220</v>
      </c>
      <c r="D1264" s="141" t="s">
        <v>4</v>
      </c>
      <c r="E1264" s="180" t="s">
        <v>2451</v>
      </c>
      <c r="F1264" s="180">
        <v>31050411</v>
      </c>
      <c r="G1264" s="180"/>
      <c r="H1264" s="180" t="s">
        <v>3241</v>
      </c>
      <c r="I1264" s="364" t="s">
        <v>193</v>
      </c>
      <c r="J1264" s="602">
        <v>500000000</v>
      </c>
      <c r="K1264" s="627">
        <v>600000000</v>
      </c>
      <c r="L1264" s="394"/>
      <c r="M1264" s="394" t="s">
        <v>5133</v>
      </c>
      <c r="N1264" s="684"/>
      <c r="O1264" s="239"/>
    </row>
    <row r="1265" spans="1:15" ht="40.5" customHeight="1" x14ac:dyDescent="0.35">
      <c r="A1265" s="272" t="s">
        <v>3960</v>
      </c>
      <c r="B1265" s="522" t="s">
        <v>4590</v>
      </c>
      <c r="C1265" s="331">
        <v>3220</v>
      </c>
      <c r="D1265" s="141" t="s">
        <v>4</v>
      </c>
      <c r="E1265" s="180" t="s">
        <v>2451</v>
      </c>
      <c r="F1265" s="180">
        <v>31050411</v>
      </c>
      <c r="G1265" s="180"/>
      <c r="H1265" s="180" t="s">
        <v>3241</v>
      </c>
      <c r="I1265" s="364" t="s">
        <v>193</v>
      </c>
      <c r="J1265" s="602">
        <v>500000000</v>
      </c>
      <c r="K1265" s="627">
        <v>300000000</v>
      </c>
      <c r="L1265" s="394"/>
      <c r="M1265" s="394" t="s">
        <v>5133</v>
      </c>
      <c r="N1265" s="684"/>
      <c r="O1265" s="239"/>
    </row>
    <row r="1266" spans="1:15" ht="40.5" customHeight="1" x14ac:dyDescent="0.35">
      <c r="A1266" s="272" t="s">
        <v>3961</v>
      </c>
      <c r="B1266" s="522" t="s">
        <v>4595</v>
      </c>
      <c r="C1266" s="331">
        <v>3220</v>
      </c>
      <c r="D1266" s="141" t="s">
        <v>4</v>
      </c>
      <c r="E1266" s="180" t="s">
        <v>2451</v>
      </c>
      <c r="F1266" s="180">
        <v>31050411</v>
      </c>
      <c r="G1266" s="180"/>
      <c r="H1266" s="180" t="s">
        <v>3241</v>
      </c>
      <c r="I1266" s="364" t="s">
        <v>193</v>
      </c>
      <c r="J1266" s="602">
        <v>500000000</v>
      </c>
      <c r="K1266" s="627">
        <v>500000000</v>
      </c>
      <c r="L1266" s="394"/>
      <c r="M1266" s="394" t="s">
        <v>5133</v>
      </c>
      <c r="N1266" s="684"/>
      <c r="O1266" s="239"/>
    </row>
    <row r="1267" spans="1:15" ht="40.5" customHeight="1" x14ac:dyDescent="0.35">
      <c r="A1267" s="272" t="s">
        <v>3962</v>
      </c>
      <c r="B1267" s="522" t="s">
        <v>4594</v>
      </c>
      <c r="C1267" s="331">
        <v>3220</v>
      </c>
      <c r="D1267" s="141" t="s">
        <v>4</v>
      </c>
      <c r="E1267" s="180" t="s">
        <v>2451</v>
      </c>
      <c r="F1267" s="180">
        <v>31050411</v>
      </c>
      <c r="G1267" s="180"/>
      <c r="H1267" s="180" t="s">
        <v>3241</v>
      </c>
      <c r="I1267" s="364" t="s">
        <v>193</v>
      </c>
      <c r="J1267" s="602">
        <v>550000000</v>
      </c>
      <c r="K1267" s="627"/>
      <c r="L1267" s="394"/>
      <c r="M1267" s="394" t="s">
        <v>5133</v>
      </c>
      <c r="N1267" s="684"/>
      <c r="O1267" s="239"/>
    </row>
    <row r="1268" spans="1:15" ht="40.5" customHeight="1" x14ac:dyDescent="0.35">
      <c r="A1268" s="272" t="s">
        <v>4601</v>
      </c>
      <c r="B1268" s="522" t="s">
        <v>4602</v>
      </c>
      <c r="C1268" s="331">
        <v>3220</v>
      </c>
      <c r="D1268" s="141" t="s">
        <v>4</v>
      </c>
      <c r="E1268" s="180" t="s">
        <v>2451</v>
      </c>
      <c r="F1268" s="180">
        <v>31050411</v>
      </c>
      <c r="G1268" s="180"/>
      <c r="H1268" s="180" t="s">
        <v>3241</v>
      </c>
      <c r="I1268" s="364" t="s">
        <v>193</v>
      </c>
      <c r="J1268" s="602">
        <v>100000000</v>
      </c>
      <c r="K1268" s="627">
        <v>100000000</v>
      </c>
      <c r="L1268" s="394"/>
      <c r="M1268" s="394" t="s">
        <v>5133</v>
      </c>
      <c r="N1268" s="684"/>
      <c r="O1268" s="239"/>
    </row>
    <row r="1269" spans="1:15" ht="33" customHeight="1" x14ac:dyDescent="0.35">
      <c r="A1269" s="272" t="s">
        <v>4697</v>
      </c>
      <c r="B1269" s="522" t="s">
        <v>4591</v>
      </c>
      <c r="C1269" s="331">
        <v>3220</v>
      </c>
      <c r="D1269" s="141" t="s">
        <v>4</v>
      </c>
      <c r="E1269" s="180" t="s">
        <v>2451</v>
      </c>
      <c r="F1269" s="180">
        <v>31050411</v>
      </c>
      <c r="G1269" s="180"/>
      <c r="H1269" s="180" t="s">
        <v>3241</v>
      </c>
      <c r="I1269" s="364" t="s">
        <v>193</v>
      </c>
      <c r="J1269" s="602">
        <v>100000000</v>
      </c>
      <c r="K1269" s="627">
        <v>125053889</v>
      </c>
      <c r="L1269" s="394"/>
      <c r="M1269" s="394" t="s">
        <v>5133</v>
      </c>
      <c r="N1269" s="684"/>
      <c r="O1269" s="239"/>
    </row>
    <row r="1270" spans="1:15" ht="34.5" customHeight="1" x14ac:dyDescent="0.35">
      <c r="A1270" s="272" t="s">
        <v>4698</v>
      </c>
      <c r="B1270" s="522" t="s">
        <v>4854</v>
      </c>
      <c r="C1270" s="331">
        <v>3220</v>
      </c>
      <c r="D1270" s="141" t="s">
        <v>4</v>
      </c>
      <c r="E1270" s="180" t="s">
        <v>2451</v>
      </c>
      <c r="F1270" s="180">
        <v>31050411</v>
      </c>
      <c r="G1270" s="180"/>
      <c r="H1270" s="180" t="s">
        <v>3241</v>
      </c>
      <c r="I1270" s="364" t="s">
        <v>193</v>
      </c>
      <c r="J1270" s="602">
        <v>250000000</v>
      </c>
      <c r="K1270" s="627">
        <v>200000000</v>
      </c>
      <c r="L1270" s="394"/>
      <c r="M1270" s="394" t="s">
        <v>5133</v>
      </c>
      <c r="N1270" s="684"/>
      <c r="O1270" s="239"/>
    </row>
    <row r="1271" spans="1:15" ht="53.25" customHeight="1" x14ac:dyDescent="0.35">
      <c r="A1271" s="272" t="s">
        <v>4815</v>
      </c>
      <c r="B1271" s="522" t="s">
        <v>4811</v>
      </c>
      <c r="C1271" s="331">
        <v>3220</v>
      </c>
      <c r="D1271" s="141" t="s">
        <v>4</v>
      </c>
      <c r="E1271" s="180" t="s">
        <v>2451</v>
      </c>
      <c r="F1271" s="180">
        <v>31050411</v>
      </c>
      <c r="G1271" s="180"/>
      <c r="H1271" s="180" t="s">
        <v>3241</v>
      </c>
      <c r="I1271" s="364" t="s">
        <v>193</v>
      </c>
      <c r="J1271" s="602">
        <v>150000000</v>
      </c>
      <c r="K1271" s="627"/>
      <c r="L1271" s="394"/>
      <c r="M1271" s="394" t="s">
        <v>5133</v>
      </c>
      <c r="N1271" s="684"/>
      <c r="O1271" s="239"/>
    </row>
    <row r="1272" spans="1:15" ht="34.5" customHeight="1" x14ac:dyDescent="0.35">
      <c r="A1272" s="272" t="s">
        <v>4816</v>
      </c>
      <c r="B1272" s="522" t="s">
        <v>4812</v>
      </c>
      <c r="C1272" s="331">
        <v>3220</v>
      </c>
      <c r="D1272" s="141" t="s">
        <v>4</v>
      </c>
      <c r="E1272" s="180" t="s">
        <v>2451</v>
      </c>
      <c r="F1272" s="180">
        <v>31050411</v>
      </c>
      <c r="G1272" s="180"/>
      <c r="H1272" s="180" t="s">
        <v>3241</v>
      </c>
      <c r="I1272" s="364" t="s">
        <v>193</v>
      </c>
      <c r="J1272" s="602">
        <v>150000000</v>
      </c>
      <c r="K1272" s="627">
        <v>150000000</v>
      </c>
      <c r="L1272" s="394"/>
      <c r="M1272" s="394" t="s">
        <v>5133</v>
      </c>
      <c r="N1272" s="684"/>
      <c r="O1272" s="239"/>
    </row>
    <row r="1273" spans="1:15" ht="49.5" customHeight="1" x14ac:dyDescent="0.35">
      <c r="A1273" s="272" t="s">
        <v>4817</v>
      </c>
      <c r="B1273" s="522" t="s">
        <v>4813</v>
      </c>
      <c r="C1273" s="331">
        <v>3220</v>
      </c>
      <c r="D1273" s="141" t="s">
        <v>4</v>
      </c>
      <c r="E1273" s="180" t="s">
        <v>2451</v>
      </c>
      <c r="F1273" s="180">
        <v>31050411</v>
      </c>
      <c r="G1273" s="180"/>
      <c r="H1273" s="180" t="s">
        <v>3241</v>
      </c>
      <c r="I1273" s="364" t="s">
        <v>193</v>
      </c>
      <c r="J1273" s="602">
        <v>250000000</v>
      </c>
      <c r="K1273" s="627">
        <v>200000000</v>
      </c>
      <c r="L1273" s="394"/>
      <c r="M1273" s="394" t="s">
        <v>5133</v>
      </c>
      <c r="N1273" s="684"/>
      <c r="O1273" s="239"/>
    </row>
    <row r="1274" spans="1:15" ht="34.5" customHeight="1" x14ac:dyDescent="0.35">
      <c r="A1274" s="272" t="s">
        <v>4818</v>
      </c>
      <c r="B1274" s="522" t="s">
        <v>4814</v>
      </c>
      <c r="C1274" s="331">
        <v>3220</v>
      </c>
      <c r="D1274" s="141" t="s">
        <v>4</v>
      </c>
      <c r="E1274" s="180" t="s">
        <v>2451</v>
      </c>
      <c r="F1274" s="180">
        <v>31050411</v>
      </c>
      <c r="G1274" s="180"/>
      <c r="H1274" s="180" t="s">
        <v>3241</v>
      </c>
      <c r="I1274" s="364" t="s">
        <v>193</v>
      </c>
      <c r="J1274" s="602">
        <v>150000000</v>
      </c>
      <c r="K1274" s="627">
        <v>150000000</v>
      </c>
      <c r="L1274" s="394"/>
      <c r="M1274" s="394" t="s">
        <v>5133</v>
      </c>
      <c r="N1274" s="684"/>
      <c r="O1274" s="239"/>
    </row>
    <row r="1275" spans="1:15" ht="53.25" customHeight="1" x14ac:dyDescent="0.35">
      <c r="A1275" s="272" t="s">
        <v>4819</v>
      </c>
      <c r="B1275" s="522" t="s">
        <v>4826</v>
      </c>
      <c r="C1275" s="331">
        <v>3220</v>
      </c>
      <c r="D1275" s="141" t="s">
        <v>4</v>
      </c>
      <c r="E1275" s="180" t="s">
        <v>2451</v>
      </c>
      <c r="F1275" s="180">
        <v>31050411</v>
      </c>
      <c r="G1275" s="180"/>
      <c r="H1275" s="180" t="s">
        <v>3241</v>
      </c>
      <c r="I1275" s="364" t="s">
        <v>193</v>
      </c>
      <c r="J1275" s="602">
        <v>250000000</v>
      </c>
      <c r="K1275" s="627">
        <v>200000000</v>
      </c>
      <c r="L1275" s="394"/>
      <c r="M1275" s="394" t="s">
        <v>5133</v>
      </c>
      <c r="N1275" s="684"/>
      <c r="O1275" s="239"/>
    </row>
    <row r="1276" spans="1:15" ht="34.5" customHeight="1" x14ac:dyDescent="0.35">
      <c r="A1276" s="272" t="s">
        <v>4820</v>
      </c>
      <c r="B1276" s="522" t="s">
        <v>4830</v>
      </c>
      <c r="C1276" s="331">
        <v>3220</v>
      </c>
      <c r="D1276" s="141" t="s">
        <v>4</v>
      </c>
      <c r="E1276" s="180" t="s">
        <v>2451</v>
      </c>
      <c r="F1276" s="180">
        <v>31050411</v>
      </c>
      <c r="G1276" s="180"/>
      <c r="H1276" s="180" t="s">
        <v>3241</v>
      </c>
      <c r="I1276" s="364" t="s">
        <v>193</v>
      </c>
      <c r="J1276" s="602">
        <v>150000000</v>
      </c>
      <c r="K1276" s="627"/>
      <c r="L1276" s="394"/>
      <c r="M1276" s="394" t="s">
        <v>5133</v>
      </c>
      <c r="N1276" s="684"/>
      <c r="O1276" s="239"/>
    </row>
    <row r="1277" spans="1:15" ht="34.5" customHeight="1" x14ac:dyDescent="0.35">
      <c r="A1277" s="272" t="s">
        <v>4821</v>
      </c>
      <c r="B1277" s="522" t="s">
        <v>4831</v>
      </c>
      <c r="C1277" s="331">
        <v>3220</v>
      </c>
      <c r="D1277" s="141" t="s">
        <v>4</v>
      </c>
      <c r="E1277" s="180" t="s">
        <v>2451</v>
      </c>
      <c r="F1277" s="180">
        <v>31050411</v>
      </c>
      <c r="G1277" s="180"/>
      <c r="H1277" s="180" t="s">
        <v>3241</v>
      </c>
      <c r="I1277" s="364" t="s">
        <v>193</v>
      </c>
      <c r="J1277" s="602">
        <v>150000000</v>
      </c>
      <c r="K1277" s="627"/>
      <c r="L1277" s="394"/>
      <c r="M1277" s="394" t="s">
        <v>5133</v>
      </c>
      <c r="N1277" s="684"/>
      <c r="O1277" s="239"/>
    </row>
    <row r="1278" spans="1:15" ht="34.5" customHeight="1" x14ac:dyDescent="0.35">
      <c r="A1278" s="272" t="s">
        <v>4822</v>
      </c>
      <c r="B1278" s="522" t="s">
        <v>4827</v>
      </c>
      <c r="C1278" s="331">
        <v>3220</v>
      </c>
      <c r="D1278" s="141" t="s">
        <v>4</v>
      </c>
      <c r="E1278" s="180" t="s">
        <v>2451</v>
      </c>
      <c r="F1278" s="180">
        <v>31050411</v>
      </c>
      <c r="G1278" s="180"/>
      <c r="H1278" s="180" t="s">
        <v>3241</v>
      </c>
      <c r="I1278" s="364" t="s">
        <v>193</v>
      </c>
      <c r="J1278" s="602">
        <v>150000000</v>
      </c>
      <c r="K1278" s="627"/>
      <c r="L1278" s="394"/>
      <c r="M1278" s="394" t="s">
        <v>5133</v>
      </c>
      <c r="N1278" s="684"/>
      <c r="O1278" s="239"/>
    </row>
    <row r="1279" spans="1:15" ht="34.5" customHeight="1" x14ac:dyDescent="0.35">
      <c r="A1279" s="272" t="s">
        <v>4829</v>
      </c>
      <c r="B1279" s="522" t="s">
        <v>4828</v>
      </c>
      <c r="C1279" s="331">
        <v>3220</v>
      </c>
      <c r="D1279" s="141" t="s">
        <v>4</v>
      </c>
      <c r="E1279" s="180" t="s">
        <v>2451</v>
      </c>
      <c r="F1279" s="180">
        <v>31050411</v>
      </c>
      <c r="G1279" s="180"/>
      <c r="H1279" s="180" t="s">
        <v>3241</v>
      </c>
      <c r="I1279" s="364" t="s">
        <v>193</v>
      </c>
      <c r="J1279" s="602">
        <v>150000000</v>
      </c>
      <c r="K1279" s="627"/>
      <c r="L1279" s="394"/>
      <c r="M1279" s="394" t="s">
        <v>5133</v>
      </c>
      <c r="N1279" s="684"/>
      <c r="O1279" s="239"/>
    </row>
    <row r="1280" spans="1:15" ht="34.5" customHeight="1" x14ac:dyDescent="0.35">
      <c r="A1280" s="272" t="s">
        <v>4833</v>
      </c>
      <c r="B1280" s="522" t="s">
        <v>4855</v>
      </c>
      <c r="C1280" s="331">
        <v>3220</v>
      </c>
      <c r="D1280" s="141" t="s">
        <v>4</v>
      </c>
      <c r="E1280" s="180" t="s">
        <v>2451</v>
      </c>
      <c r="F1280" s="180">
        <v>31050411</v>
      </c>
      <c r="G1280" s="180"/>
      <c r="H1280" s="180" t="s">
        <v>3241</v>
      </c>
      <c r="I1280" s="364" t="s">
        <v>193</v>
      </c>
      <c r="J1280" s="602">
        <v>250000000</v>
      </c>
      <c r="K1280" s="627"/>
      <c r="L1280" s="394"/>
      <c r="M1280" s="394" t="s">
        <v>5133</v>
      </c>
      <c r="N1280" s="684"/>
      <c r="O1280" s="239"/>
    </row>
    <row r="1281" spans="1:16" ht="34.5" customHeight="1" x14ac:dyDescent="0.35">
      <c r="A1281" s="272" t="s">
        <v>4834</v>
      </c>
      <c r="B1281" s="522" t="s">
        <v>5088</v>
      </c>
      <c r="C1281" s="331">
        <v>3220</v>
      </c>
      <c r="D1281" s="141" t="s">
        <v>4</v>
      </c>
      <c r="E1281" s="180" t="s">
        <v>2451</v>
      </c>
      <c r="F1281" s="180">
        <v>31050411</v>
      </c>
      <c r="G1281" s="180"/>
      <c r="H1281" s="180" t="s">
        <v>3241</v>
      </c>
      <c r="I1281" s="364" t="s">
        <v>193</v>
      </c>
      <c r="J1281" s="602">
        <v>400000000</v>
      </c>
      <c r="K1281" s="602">
        <v>1372530738</v>
      </c>
      <c r="L1281" s="394"/>
      <c r="M1281" s="394" t="s">
        <v>5133</v>
      </c>
      <c r="N1281" s="160"/>
      <c r="O1281" s="239"/>
    </row>
    <row r="1282" spans="1:16" ht="31.5" customHeight="1" x14ac:dyDescent="0.35">
      <c r="A1282" s="245"/>
      <c r="B1282" s="604" t="s">
        <v>1008</v>
      </c>
      <c r="C1282" s="188"/>
      <c r="D1282" s="257"/>
      <c r="E1282" s="273"/>
      <c r="F1282" s="257"/>
      <c r="G1282" s="414"/>
      <c r="H1282" s="171"/>
      <c r="I1282" s="546"/>
      <c r="J1282" s="385">
        <f>SUM(J944:J1281)</f>
        <v>73663414998.101013</v>
      </c>
      <c r="K1282" s="385">
        <f>SUM(K944:K1281)</f>
        <v>34121032913.529999</v>
      </c>
      <c r="L1282" s="711"/>
      <c r="M1282" s="711"/>
      <c r="N1282" s="680">
        <f>SUM(N944:N1214)</f>
        <v>65986794770.602989</v>
      </c>
      <c r="O1282" s="415" t="s">
        <v>1008</v>
      </c>
      <c r="P1282" s="691">
        <v>34101032913</v>
      </c>
    </row>
    <row r="1283" spans="1:16" s="247" customFormat="1" ht="30.75" customHeight="1" x14ac:dyDescent="0.35">
      <c r="A1283" s="342"/>
      <c r="B1283" s="603"/>
      <c r="C1283" s="338"/>
      <c r="D1283" s="339"/>
      <c r="E1283" s="340"/>
      <c r="F1283" s="339"/>
      <c r="G1283" s="416"/>
      <c r="H1283" s="159"/>
      <c r="I1283" s="417"/>
      <c r="J1283" s="418"/>
      <c r="K1283" s="602"/>
      <c r="L1283" s="698"/>
      <c r="M1283" s="698"/>
      <c r="N1283" s="418"/>
      <c r="O1283" s="370"/>
      <c r="P1283" s="685">
        <v>34101032913.459999</v>
      </c>
    </row>
    <row r="1284" spans="1:16" s="247" customFormat="1" ht="16.5" customHeight="1" x14ac:dyDescent="0.35">
      <c r="A1284" s="286"/>
      <c r="B1284" s="492"/>
      <c r="C1284" s="282"/>
      <c r="D1284" s="283"/>
      <c r="E1284" s="330"/>
      <c r="F1284" s="283"/>
      <c r="G1284" s="330"/>
      <c r="H1284" s="283"/>
      <c r="I1284" s="330"/>
      <c r="J1284" s="285"/>
      <c r="K1284" s="628"/>
      <c r="L1284" s="706"/>
      <c r="M1284" s="706"/>
      <c r="N1284" s="285"/>
      <c r="O1284" s="286"/>
      <c r="P1284" s="246"/>
    </row>
    <row r="1285" spans="1:16" ht="26.25" customHeight="1" x14ac:dyDescent="0.35">
      <c r="A1285" s="401" t="s">
        <v>1458</v>
      </c>
      <c r="B1285" s="716"/>
      <c r="C1285" s="402"/>
      <c r="D1285" s="403"/>
      <c r="E1285" s="404"/>
      <c r="F1285" s="403"/>
      <c r="G1285" s="404"/>
      <c r="H1285" s="403"/>
      <c r="I1285" s="404"/>
      <c r="J1285" s="405"/>
      <c r="K1285" s="458"/>
      <c r="L1285" s="704"/>
      <c r="M1285" s="704"/>
      <c r="N1285" s="405"/>
      <c r="O1285" s="600"/>
      <c r="P1285" s="231">
        <f>K1282-P1283</f>
        <v>20000000.069999695</v>
      </c>
    </row>
    <row r="1286" spans="1:16" ht="27.75" hidden="1" customHeight="1" x14ac:dyDescent="0.35">
      <c r="A1286" s="428" t="s">
        <v>655</v>
      </c>
      <c r="B1286" s="583"/>
      <c r="C1286" s="429"/>
      <c r="D1286" s="430"/>
      <c r="E1286" s="494"/>
      <c r="F1286" s="430"/>
      <c r="G1286" s="494"/>
      <c r="H1286" s="430"/>
      <c r="I1286" s="494"/>
      <c r="J1286" s="495"/>
      <c r="K1286" s="458"/>
      <c r="L1286" s="704"/>
      <c r="M1286" s="704"/>
      <c r="N1286" s="495"/>
      <c r="O1286" s="357"/>
    </row>
    <row r="1287" spans="1:16" ht="87" customHeight="1" x14ac:dyDescent="0.35">
      <c r="A1287" s="187" t="s">
        <v>1007</v>
      </c>
      <c r="B1287" s="360" t="s">
        <v>50</v>
      </c>
      <c r="C1287" s="175" t="s">
        <v>898</v>
      </c>
      <c r="D1287" s="188" t="s">
        <v>52</v>
      </c>
      <c r="E1287" s="232" t="s">
        <v>49</v>
      </c>
      <c r="F1287" s="188" t="s">
        <v>1</v>
      </c>
      <c r="G1287" s="187"/>
      <c r="H1287" s="175" t="s">
        <v>51</v>
      </c>
      <c r="I1287" s="187" t="s">
        <v>2</v>
      </c>
      <c r="J1287" s="189" t="s">
        <v>4862</v>
      </c>
      <c r="K1287" s="189" t="s">
        <v>5140</v>
      </c>
      <c r="L1287" s="623" t="s">
        <v>5132</v>
      </c>
      <c r="M1287" s="623" t="s">
        <v>5132</v>
      </c>
      <c r="N1287" s="189" t="s">
        <v>932</v>
      </c>
      <c r="O1287" s="178" t="s">
        <v>50</v>
      </c>
    </row>
    <row r="1288" spans="1:16" s="235" customFormat="1" ht="39.75" customHeight="1" x14ac:dyDescent="0.35">
      <c r="A1288" s="272" t="s">
        <v>3973</v>
      </c>
      <c r="B1288" s="497" t="s">
        <v>4708</v>
      </c>
      <c r="C1288" s="364" t="s">
        <v>666</v>
      </c>
      <c r="D1288" s="237" t="s">
        <v>4</v>
      </c>
      <c r="E1288" s="237" t="s">
        <v>42</v>
      </c>
      <c r="F1288" s="237" t="s">
        <v>700</v>
      </c>
      <c r="G1288" s="364"/>
      <c r="H1288" s="364">
        <v>70610</v>
      </c>
      <c r="I1288" s="142" t="s">
        <v>909</v>
      </c>
      <c r="J1288" s="144">
        <v>5000000</v>
      </c>
      <c r="K1288" s="394"/>
      <c r="L1288" s="394"/>
      <c r="M1288" s="394" t="s">
        <v>5133</v>
      </c>
      <c r="N1288" s="166">
        <v>20000000</v>
      </c>
      <c r="O1288" s="162" t="s">
        <v>699</v>
      </c>
      <c r="P1288" s="234"/>
    </row>
    <row r="1289" spans="1:16" ht="51.75" customHeight="1" x14ac:dyDescent="0.35">
      <c r="A1289" s="272" t="s">
        <v>3974</v>
      </c>
      <c r="B1289" s="497" t="s">
        <v>659</v>
      </c>
      <c r="C1289" s="364" t="s">
        <v>309</v>
      </c>
      <c r="D1289" s="237" t="s">
        <v>4</v>
      </c>
      <c r="E1289" s="237" t="s">
        <v>42</v>
      </c>
      <c r="F1289" s="237" t="s">
        <v>982</v>
      </c>
      <c r="G1289" s="164"/>
      <c r="H1289" s="364">
        <v>70610</v>
      </c>
      <c r="I1289" s="164" t="s">
        <v>978</v>
      </c>
      <c r="J1289" s="160">
        <v>773749.97</v>
      </c>
      <c r="K1289" s="627"/>
      <c r="L1289" s="394"/>
      <c r="M1289" s="394" t="s">
        <v>5133</v>
      </c>
      <c r="N1289" s="166">
        <v>3125000</v>
      </c>
      <c r="O1289" s="162" t="s">
        <v>659</v>
      </c>
    </row>
    <row r="1290" spans="1:16" ht="57" customHeight="1" x14ac:dyDescent="0.35">
      <c r="A1290" s="272" t="s">
        <v>3975</v>
      </c>
      <c r="B1290" s="497" t="s">
        <v>660</v>
      </c>
      <c r="C1290" s="364" t="s">
        <v>309</v>
      </c>
      <c r="D1290" s="237" t="s">
        <v>4</v>
      </c>
      <c r="E1290" s="237" t="s">
        <v>42</v>
      </c>
      <c r="F1290" s="237" t="s">
        <v>982</v>
      </c>
      <c r="G1290" s="164"/>
      <c r="H1290" s="364">
        <v>70610</v>
      </c>
      <c r="I1290" s="364" t="s">
        <v>979</v>
      </c>
      <c r="J1290" s="166">
        <v>250000</v>
      </c>
      <c r="K1290" s="627"/>
      <c r="L1290" s="394"/>
      <c r="M1290" s="394" t="s">
        <v>5133</v>
      </c>
      <c r="N1290" s="166">
        <v>250000</v>
      </c>
      <c r="O1290" s="162" t="s">
        <v>660</v>
      </c>
    </row>
    <row r="1291" spans="1:16" ht="64.5" customHeight="1" x14ac:dyDescent="0.35">
      <c r="A1291" s="272" t="s">
        <v>3976</v>
      </c>
      <c r="B1291" s="497" t="s">
        <v>661</v>
      </c>
      <c r="C1291" s="364" t="s">
        <v>309</v>
      </c>
      <c r="D1291" s="237" t="s">
        <v>4</v>
      </c>
      <c r="E1291" s="237" t="s">
        <v>42</v>
      </c>
      <c r="F1291" s="237" t="s">
        <v>982</v>
      </c>
      <c r="G1291" s="164"/>
      <c r="H1291" s="364">
        <v>70610</v>
      </c>
      <c r="I1291" s="364" t="s">
        <v>979</v>
      </c>
      <c r="J1291" s="166">
        <v>7807825.6600000001</v>
      </c>
      <c r="K1291" s="627"/>
      <c r="L1291" s="394"/>
      <c r="M1291" s="394" t="s">
        <v>5133</v>
      </c>
      <c r="N1291" s="166">
        <v>7807825.6600000001</v>
      </c>
      <c r="O1291" s="162" t="s">
        <v>661</v>
      </c>
    </row>
    <row r="1292" spans="1:16" ht="108" customHeight="1" x14ac:dyDescent="0.35">
      <c r="A1292" s="272" t="s">
        <v>3977</v>
      </c>
      <c r="B1292" s="497" t="s">
        <v>664</v>
      </c>
      <c r="C1292" s="364" t="s">
        <v>309</v>
      </c>
      <c r="D1292" s="237" t="s">
        <v>4</v>
      </c>
      <c r="E1292" s="237" t="s">
        <v>42</v>
      </c>
      <c r="F1292" s="237" t="s">
        <v>982</v>
      </c>
      <c r="G1292" s="164"/>
      <c r="H1292" s="364">
        <v>70610</v>
      </c>
      <c r="I1292" s="364" t="s">
        <v>979</v>
      </c>
      <c r="J1292" s="166">
        <v>3700000</v>
      </c>
      <c r="K1292" s="627"/>
      <c r="L1292" s="394"/>
      <c r="M1292" s="394" t="s">
        <v>5133</v>
      </c>
      <c r="N1292" s="166">
        <v>3700000</v>
      </c>
      <c r="O1292" s="162" t="s">
        <v>664</v>
      </c>
    </row>
    <row r="1293" spans="1:16" ht="49.5" customHeight="1" x14ac:dyDescent="0.35">
      <c r="A1293" s="272" t="s">
        <v>3978</v>
      </c>
      <c r="B1293" s="497" t="s">
        <v>665</v>
      </c>
      <c r="C1293" s="364" t="s">
        <v>666</v>
      </c>
      <c r="D1293" s="237" t="s">
        <v>4</v>
      </c>
      <c r="E1293" s="237" t="s">
        <v>42</v>
      </c>
      <c r="F1293" s="237" t="s">
        <v>982</v>
      </c>
      <c r="G1293" s="164"/>
      <c r="H1293" s="364">
        <v>70610</v>
      </c>
      <c r="I1293" s="364" t="s">
        <v>979</v>
      </c>
      <c r="J1293" s="166">
        <v>12211910.449999999</v>
      </c>
      <c r="K1293" s="627"/>
      <c r="L1293" s="394"/>
      <c r="M1293" s="394" t="s">
        <v>5133</v>
      </c>
      <c r="N1293" s="166">
        <v>12211910.449999999</v>
      </c>
      <c r="O1293" s="162" t="s">
        <v>665</v>
      </c>
    </row>
    <row r="1294" spans="1:16" ht="63" customHeight="1" x14ac:dyDescent="0.35">
      <c r="A1294" s="272" t="s">
        <v>3979</v>
      </c>
      <c r="B1294" s="497" t="s">
        <v>667</v>
      </c>
      <c r="C1294" s="364" t="s">
        <v>309</v>
      </c>
      <c r="D1294" s="237" t="s">
        <v>4</v>
      </c>
      <c r="E1294" s="237" t="s">
        <v>42</v>
      </c>
      <c r="F1294" s="237" t="s">
        <v>982</v>
      </c>
      <c r="G1294" s="364"/>
      <c r="H1294" s="364">
        <v>70610</v>
      </c>
      <c r="I1294" s="364" t="s">
        <v>979</v>
      </c>
      <c r="J1294" s="166" t="s">
        <v>3340</v>
      </c>
      <c r="K1294" s="627"/>
      <c r="L1294" s="394"/>
      <c r="M1294" s="394" t="s">
        <v>5133</v>
      </c>
      <c r="N1294" s="166" t="s">
        <v>3340</v>
      </c>
      <c r="O1294" s="162" t="s">
        <v>667</v>
      </c>
    </row>
    <row r="1295" spans="1:16" ht="40.5" customHeight="1" x14ac:dyDescent="0.35">
      <c r="A1295" s="272" t="s">
        <v>3980</v>
      </c>
      <c r="B1295" s="497" t="s">
        <v>668</v>
      </c>
      <c r="C1295" s="364" t="s">
        <v>309</v>
      </c>
      <c r="D1295" s="237" t="s">
        <v>4</v>
      </c>
      <c r="E1295" s="237" t="s">
        <v>42</v>
      </c>
      <c r="F1295" s="237" t="s">
        <v>982</v>
      </c>
      <c r="G1295" s="364"/>
      <c r="H1295" s="364">
        <v>70610</v>
      </c>
      <c r="I1295" s="364" t="s">
        <v>979</v>
      </c>
      <c r="J1295" s="166">
        <v>500000</v>
      </c>
      <c r="K1295" s="627"/>
      <c r="L1295" s="394"/>
      <c r="M1295" s="394" t="s">
        <v>5133</v>
      </c>
      <c r="N1295" s="166">
        <v>500000</v>
      </c>
      <c r="O1295" s="162" t="s">
        <v>668</v>
      </c>
    </row>
    <row r="1296" spans="1:16" ht="42.75" customHeight="1" x14ac:dyDescent="0.35">
      <c r="A1296" s="272" t="s">
        <v>3981</v>
      </c>
      <c r="B1296" s="497" t="s">
        <v>669</v>
      </c>
      <c r="C1296" s="364" t="s">
        <v>309</v>
      </c>
      <c r="D1296" s="237" t="s">
        <v>4</v>
      </c>
      <c r="E1296" s="237" t="s">
        <v>42</v>
      </c>
      <c r="F1296" s="237" t="s">
        <v>982</v>
      </c>
      <c r="G1296" s="364"/>
      <c r="H1296" s="364">
        <v>70610</v>
      </c>
      <c r="I1296" s="364" t="s">
        <v>979</v>
      </c>
      <c r="J1296" s="166">
        <v>250000</v>
      </c>
      <c r="K1296" s="627"/>
      <c r="L1296" s="394"/>
      <c r="M1296" s="394" t="s">
        <v>5133</v>
      </c>
      <c r="N1296" s="166">
        <v>250000</v>
      </c>
      <c r="O1296" s="162" t="s">
        <v>669</v>
      </c>
    </row>
    <row r="1297" spans="1:15" ht="78" customHeight="1" x14ac:dyDescent="0.35">
      <c r="A1297" s="272" t="s">
        <v>3982</v>
      </c>
      <c r="B1297" s="497" t="s">
        <v>670</v>
      </c>
      <c r="C1297" s="364" t="s">
        <v>309</v>
      </c>
      <c r="D1297" s="237" t="s">
        <v>4</v>
      </c>
      <c r="E1297" s="237" t="s">
        <v>42</v>
      </c>
      <c r="F1297" s="237" t="s">
        <v>982</v>
      </c>
      <c r="G1297" s="364"/>
      <c r="H1297" s="364">
        <v>70610</v>
      </c>
      <c r="I1297" s="364" t="s">
        <v>979</v>
      </c>
      <c r="J1297" s="166">
        <v>1021787.5</v>
      </c>
      <c r="K1297" s="627"/>
      <c r="L1297" s="394"/>
      <c r="M1297" s="394" t="s">
        <v>5133</v>
      </c>
      <c r="N1297" s="166">
        <v>1021787.5</v>
      </c>
      <c r="O1297" s="162" t="s">
        <v>670</v>
      </c>
    </row>
    <row r="1298" spans="1:15" ht="66.75" customHeight="1" x14ac:dyDescent="0.35">
      <c r="A1298" s="272" t="s">
        <v>3983</v>
      </c>
      <c r="B1298" s="497" t="s">
        <v>671</v>
      </c>
      <c r="C1298" s="364" t="s">
        <v>309</v>
      </c>
      <c r="D1298" s="237" t="s">
        <v>4</v>
      </c>
      <c r="E1298" s="237" t="s">
        <v>42</v>
      </c>
      <c r="F1298" s="237" t="s">
        <v>982</v>
      </c>
      <c r="G1298" s="364"/>
      <c r="H1298" s="364">
        <v>70610</v>
      </c>
      <c r="I1298" s="364" t="s">
        <v>979</v>
      </c>
      <c r="J1298" s="166">
        <v>273401.59999999998</v>
      </c>
      <c r="K1298" s="627"/>
      <c r="L1298" s="394"/>
      <c r="M1298" s="394" t="s">
        <v>5133</v>
      </c>
      <c r="N1298" s="166">
        <v>5468032</v>
      </c>
      <c r="O1298" s="162" t="s">
        <v>671</v>
      </c>
    </row>
    <row r="1299" spans="1:15" ht="55.5" customHeight="1" x14ac:dyDescent="0.35">
      <c r="A1299" s="272" t="s">
        <v>3984</v>
      </c>
      <c r="B1299" s="497" t="s">
        <v>672</v>
      </c>
      <c r="C1299" s="364" t="s">
        <v>309</v>
      </c>
      <c r="D1299" s="237" t="s">
        <v>4</v>
      </c>
      <c r="E1299" s="237" t="s">
        <v>42</v>
      </c>
      <c r="F1299" s="237" t="s">
        <v>982</v>
      </c>
      <c r="G1299" s="364"/>
      <c r="H1299" s="364">
        <v>70610</v>
      </c>
      <c r="I1299" s="364" t="s">
        <v>979</v>
      </c>
      <c r="J1299" s="166">
        <v>745449.84</v>
      </c>
      <c r="K1299" s="627"/>
      <c r="L1299" s="394"/>
      <c r="M1299" s="394" t="s">
        <v>5133</v>
      </c>
      <c r="N1299" s="166">
        <v>2460217</v>
      </c>
      <c r="O1299" s="162" t="s">
        <v>672</v>
      </c>
    </row>
    <row r="1300" spans="1:15" ht="50.25" customHeight="1" x14ac:dyDescent="0.35">
      <c r="A1300" s="272" t="s">
        <v>3985</v>
      </c>
      <c r="B1300" s="497" t="s">
        <v>673</v>
      </c>
      <c r="C1300" s="364" t="s">
        <v>666</v>
      </c>
      <c r="D1300" s="237" t="s">
        <v>4</v>
      </c>
      <c r="E1300" s="237" t="s">
        <v>42</v>
      </c>
      <c r="F1300" s="237" t="s">
        <v>982</v>
      </c>
      <c r="G1300" s="364"/>
      <c r="H1300" s="364">
        <v>70610</v>
      </c>
      <c r="I1300" s="364" t="s">
        <v>979</v>
      </c>
      <c r="J1300" s="166">
        <v>1700000</v>
      </c>
      <c r="K1300" s="627"/>
      <c r="L1300" s="394"/>
      <c r="M1300" s="394" t="s">
        <v>5133</v>
      </c>
      <c r="N1300" s="166">
        <v>1700000</v>
      </c>
      <c r="O1300" s="162" t="s">
        <v>673</v>
      </c>
    </row>
    <row r="1301" spans="1:15" ht="49.5" customHeight="1" x14ac:dyDescent="0.35">
      <c r="A1301" s="272" t="s">
        <v>3986</v>
      </c>
      <c r="B1301" s="497" t="s">
        <v>674</v>
      </c>
      <c r="C1301" s="364" t="s">
        <v>309</v>
      </c>
      <c r="D1301" s="237" t="s">
        <v>4</v>
      </c>
      <c r="E1301" s="237" t="s">
        <v>42</v>
      </c>
      <c r="F1301" s="237" t="s">
        <v>982</v>
      </c>
      <c r="G1301" s="364"/>
      <c r="H1301" s="364">
        <v>70610</v>
      </c>
      <c r="I1301" s="364" t="s">
        <v>979</v>
      </c>
      <c r="J1301" s="166">
        <v>159856.49</v>
      </c>
      <c r="K1301" s="627"/>
      <c r="L1301" s="394"/>
      <c r="M1301" s="394" t="s">
        <v>5133</v>
      </c>
      <c r="N1301" s="166">
        <v>159856.49</v>
      </c>
      <c r="O1301" s="162" t="s">
        <v>674</v>
      </c>
    </row>
    <row r="1302" spans="1:15" ht="52.5" customHeight="1" x14ac:dyDescent="0.35">
      <c r="A1302" s="272" t="s">
        <v>3987</v>
      </c>
      <c r="B1302" s="497" t="s">
        <v>675</v>
      </c>
      <c r="C1302" s="364" t="s">
        <v>309</v>
      </c>
      <c r="D1302" s="237" t="s">
        <v>4</v>
      </c>
      <c r="E1302" s="237" t="s">
        <v>42</v>
      </c>
      <c r="F1302" s="237" t="s">
        <v>982</v>
      </c>
      <c r="G1302" s="364"/>
      <c r="H1302" s="364">
        <v>70610</v>
      </c>
      <c r="I1302" s="364" t="s">
        <v>979</v>
      </c>
      <c r="J1302" s="166">
        <v>145102.1</v>
      </c>
      <c r="K1302" s="627"/>
      <c r="L1302" s="394"/>
      <c r="M1302" s="394" t="s">
        <v>5133</v>
      </c>
      <c r="N1302" s="166">
        <v>145102.1</v>
      </c>
      <c r="O1302" s="162" t="s">
        <v>675</v>
      </c>
    </row>
    <row r="1303" spans="1:15" ht="38.25" customHeight="1" x14ac:dyDescent="0.35">
      <c r="A1303" s="272" t="s">
        <v>3988</v>
      </c>
      <c r="B1303" s="497" t="s">
        <v>676</v>
      </c>
      <c r="C1303" s="364" t="s">
        <v>309</v>
      </c>
      <c r="D1303" s="237" t="s">
        <v>4</v>
      </c>
      <c r="E1303" s="237" t="s">
        <v>42</v>
      </c>
      <c r="F1303" s="237" t="s">
        <v>982</v>
      </c>
      <c r="G1303" s="364"/>
      <c r="H1303" s="364">
        <v>70610</v>
      </c>
      <c r="I1303" s="364" t="s">
        <v>979</v>
      </c>
      <c r="J1303" s="166">
        <v>173454.74</v>
      </c>
      <c r="K1303" s="627"/>
      <c r="L1303" s="394"/>
      <c r="M1303" s="394" t="s">
        <v>5133</v>
      </c>
      <c r="N1303" s="166">
        <v>173454.74</v>
      </c>
      <c r="O1303" s="162" t="s">
        <v>676</v>
      </c>
    </row>
    <row r="1304" spans="1:15" ht="64.5" customHeight="1" x14ac:dyDescent="0.35">
      <c r="A1304" s="272" t="s">
        <v>3989</v>
      </c>
      <c r="B1304" s="497" t="s">
        <v>678</v>
      </c>
      <c r="C1304" s="364" t="s">
        <v>309</v>
      </c>
      <c r="D1304" s="237" t="s">
        <v>4</v>
      </c>
      <c r="E1304" s="237" t="s">
        <v>42</v>
      </c>
      <c r="F1304" s="237" t="s">
        <v>982</v>
      </c>
      <c r="G1304" s="364"/>
      <c r="H1304" s="364">
        <v>70610</v>
      </c>
      <c r="I1304" s="364" t="s">
        <v>979</v>
      </c>
      <c r="J1304" s="166">
        <v>2112818.5699999998</v>
      </c>
      <c r="K1304" s="627"/>
      <c r="L1304" s="394"/>
      <c r="M1304" s="394" t="s">
        <v>5133</v>
      </c>
      <c r="N1304" s="166">
        <v>2112818.5699999998</v>
      </c>
      <c r="O1304" s="162" t="s">
        <v>678</v>
      </c>
    </row>
    <row r="1305" spans="1:15" ht="53.25" customHeight="1" x14ac:dyDescent="0.35">
      <c r="A1305" s="272" t="s">
        <v>3990</v>
      </c>
      <c r="B1305" s="497" t="s">
        <v>680</v>
      </c>
      <c r="C1305" s="364" t="s">
        <v>309</v>
      </c>
      <c r="D1305" s="237" t="s">
        <v>4</v>
      </c>
      <c r="E1305" s="237" t="s">
        <v>42</v>
      </c>
      <c r="F1305" s="237" t="s">
        <v>982</v>
      </c>
      <c r="G1305" s="364"/>
      <c r="H1305" s="364">
        <v>70610</v>
      </c>
      <c r="I1305" s="364" t="s">
        <v>979</v>
      </c>
      <c r="J1305" s="166">
        <v>727113.41</v>
      </c>
      <c r="K1305" s="627"/>
      <c r="L1305" s="394"/>
      <c r="M1305" s="394" t="s">
        <v>5133</v>
      </c>
      <c r="N1305" s="166">
        <v>727113.41</v>
      </c>
      <c r="O1305" s="162" t="s">
        <v>680</v>
      </c>
    </row>
    <row r="1306" spans="1:15" ht="36.75" customHeight="1" x14ac:dyDescent="0.35">
      <c r="A1306" s="272" t="s">
        <v>3991</v>
      </c>
      <c r="B1306" s="497" t="s">
        <v>682</v>
      </c>
      <c r="C1306" s="364" t="s">
        <v>309</v>
      </c>
      <c r="D1306" s="237" t="s">
        <v>4</v>
      </c>
      <c r="E1306" s="237" t="s">
        <v>42</v>
      </c>
      <c r="F1306" s="237" t="s">
        <v>982</v>
      </c>
      <c r="G1306" s="364"/>
      <c r="H1306" s="364">
        <v>70610</v>
      </c>
      <c r="I1306" s="364" t="s">
        <v>979</v>
      </c>
      <c r="J1306" s="166">
        <v>125000</v>
      </c>
      <c r="K1306" s="627"/>
      <c r="L1306" s="394"/>
      <c r="M1306" s="394" t="s">
        <v>5133</v>
      </c>
      <c r="N1306" s="166">
        <v>75000</v>
      </c>
      <c r="O1306" s="162" t="s">
        <v>682</v>
      </c>
    </row>
    <row r="1307" spans="1:15" ht="60" customHeight="1" x14ac:dyDescent="0.35">
      <c r="A1307" s="272" t="s">
        <v>3992</v>
      </c>
      <c r="B1307" s="497" t="s">
        <v>686</v>
      </c>
      <c r="C1307" s="364" t="s">
        <v>309</v>
      </c>
      <c r="D1307" s="237" t="s">
        <v>4</v>
      </c>
      <c r="E1307" s="237" t="s">
        <v>42</v>
      </c>
      <c r="F1307" s="237" t="s">
        <v>982</v>
      </c>
      <c r="G1307" s="364"/>
      <c r="H1307" s="364">
        <v>70610</v>
      </c>
      <c r="I1307" s="364" t="s">
        <v>979</v>
      </c>
      <c r="J1307" s="166">
        <v>796996.59</v>
      </c>
      <c r="K1307" s="627"/>
      <c r="L1307" s="394"/>
      <c r="M1307" s="394" t="s">
        <v>5133</v>
      </c>
      <c r="N1307" s="166">
        <v>318799</v>
      </c>
      <c r="O1307" s="162" t="s">
        <v>686</v>
      </c>
    </row>
    <row r="1308" spans="1:15" ht="43.5" customHeight="1" x14ac:dyDescent="0.35">
      <c r="A1308" s="272" t="s">
        <v>3993</v>
      </c>
      <c r="B1308" s="497" t="s">
        <v>687</v>
      </c>
      <c r="C1308" s="364" t="s">
        <v>309</v>
      </c>
      <c r="D1308" s="237" t="s">
        <v>4</v>
      </c>
      <c r="E1308" s="237" t="s">
        <v>42</v>
      </c>
      <c r="F1308" s="237" t="s">
        <v>982</v>
      </c>
      <c r="G1308" s="364"/>
      <c r="H1308" s="364">
        <v>70610</v>
      </c>
      <c r="I1308" s="364" t="s">
        <v>979</v>
      </c>
      <c r="J1308" s="166">
        <v>80237.11</v>
      </c>
      <c r="K1308" s="627"/>
      <c r="L1308" s="394"/>
      <c r="M1308" s="394" t="s">
        <v>5133</v>
      </c>
      <c r="N1308" s="166">
        <v>152055</v>
      </c>
      <c r="O1308" s="162" t="s">
        <v>687</v>
      </c>
    </row>
    <row r="1309" spans="1:15" ht="55.5" customHeight="1" x14ac:dyDescent="0.35">
      <c r="A1309" s="272" t="s">
        <v>3994</v>
      </c>
      <c r="B1309" s="497" t="s">
        <v>691</v>
      </c>
      <c r="C1309" s="364" t="s">
        <v>309</v>
      </c>
      <c r="D1309" s="237" t="s">
        <v>4</v>
      </c>
      <c r="E1309" s="237" t="s">
        <v>42</v>
      </c>
      <c r="F1309" s="237" t="s">
        <v>982</v>
      </c>
      <c r="G1309" s="364"/>
      <c r="H1309" s="364">
        <v>70610</v>
      </c>
      <c r="I1309" s="364" t="s">
        <v>979</v>
      </c>
      <c r="J1309" s="166">
        <v>6300000</v>
      </c>
      <c r="K1309" s="627"/>
      <c r="L1309" s="394"/>
      <c r="M1309" s="394" t="s">
        <v>5133</v>
      </c>
      <c r="N1309" s="166">
        <v>2400000</v>
      </c>
      <c r="O1309" s="162" t="s">
        <v>691</v>
      </c>
    </row>
    <row r="1310" spans="1:15" ht="37.5" customHeight="1" x14ac:dyDescent="0.35">
      <c r="A1310" s="272" t="s">
        <v>3995</v>
      </c>
      <c r="B1310" s="497" t="s">
        <v>694</v>
      </c>
      <c r="C1310" s="364" t="s">
        <v>309</v>
      </c>
      <c r="D1310" s="237" t="s">
        <v>4</v>
      </c>
      <c r="E1310" s="237" t="s">
        <v>42</v>
      </c>
      <c r="F1310" s="237" t="s">
        <v>982</v>
      </c>
      <c r="G1310" s="364"/>
      <c r="H1310" s="364">
        <v>70610</v>
      </c>
      <c r="I1310" s="364" t="s">
        <v>979</v>
      </c>
      <c r="J1310" s="166">
        <v>6456239.6799999997</v>
      </c>
      <c r="K1310" s="627"/>
      <c r="L1310" s="394"/>
      <c r="M1310" s="394" t="s">
        <v>5133</v>
      </c>
      <c r="N1310" s="166">
        <v>6692429</v>
      </c>
      <c r="O1310" s="162" t="s">
        <v>694</v>
      </c>
    </row>
    <row r="1311" spans="1:15" ht="39.75" customHeight="1" x14ac:dyDescent="0.35">
      <c r="A1311" s="272" t="s">
        <v>3996</v>
      </c>
      <c r="B1311" s="497" t="s">
        <v>696</v>
      </c>
      <c r="C1311" s="364" t="s">
        <v>5</v>
      </c>
      <c r="D1311" s="237" t="s">
        <v>4</v>
      </c>
      <c r="E1311" s="237" t="s">
        <v>42</v>
      </c>
      <c r="F1311" s="237" t="s">
        <v>982</v>
      </c>
      <c r="G1311" s="364"/>
      <c r="H1311" s="364">
        <v>70610</v>
      </c>
      <c r="I1311" s="364" t="s">
        <v>979</v>
      </c>
      <c r="J1311" s="166">
        <v>500000000</v>
      </c>
      <c r="K1311" s="627">
        <v>300000000</v>
      </c>
      <c r="L1311" s="394"/>
      <c r="M1311" s="394" t="s">
        <v>5133</v>
      </c>
      <c r="N1311" s="166">
        <v>510000000</v>
      </c>
      <c r="O1311" s="162" t="s">
        <v>696</v>
      </c>
    </row>
    <row r="1312" spans="1:15" ht="73.5" customHeight="1" x14ac:dyDescent="0.35">
      <c r="A1312" s="272" t="s">
        <v>3997</v>
      </c>
      <c r="B1312" s="497" t="s">
        <v>656</v>
      </c>
      <c r="C1312" s="364" t="s">
        <v>309</v>
      </c>
      <c r="D1312" s="237" t="s">
        <v>4</v>
      </c>
      <c r="E1312" s="237" t="s">
        <v>42</v>
      </c>
      <c r="F1312" s="237" t="s">
        <v>997</v>
      </c>
      <c r="G1312" s="164"/>
      <c r="H1312" s="364">
        <v>70610</v>
      </c>
      <c r="I1312" s="364" t="s">
        <v>657</v>
      </c>
      <c r="J1312" s="166">
        <v>1498749.97</v>
      </c>
      <c r="K1312" s="627"/>
      <c r="L1312" s="394"/>
      <c r="M1312" s="394" t="s">
        <v>5133</v>
      </c>
      <c r="N1312" s="166">
        <v>1498749.97</v>
      </c>
      <c r="O1312" s="162" t="s">
        <v>656</v>
      </c>
    </row>
    <row r="1313" spans="1:15" ht="66.75" customHeight="1" x14ac:dyDescent="0.35">
      <c r="A1313" s="272" t="s">
        <v>3998</v>
      </c>
      <c r="B1313" s="497" t="s">
        <v>662</v>
      </c>
      <c r="C1313" s="364" t="s">
        <v>309</v>
      </c>
      <c r="D1313" s="237" t="s">
        <v>4</v>
      </c>
      <c r="E1313" s="237" t="s">
        <v>42</v>
      </c>
      <c r="F1313" s="237" t="s">
        <v>997</v>
      </c>
      <c r="G1313" s="364"/>
      <c r="H1313" s="364">
        <v>70610</v>
      </c>
      <c r="I1313" s="164" t="s">
        <v>657</v>
      </c>
      <c r="J1313" s="160">
        <v>189787.08</v>
      </c>
      <c r="K1313" s="627"/>
      <c r="L1313" s="394"/>
      <c r="M1313" s="394" t="s">
        <v>5133</v>
      </c>
      <c r="N1313" s="166">
        <v>61389788</v>
      </c>
      <c r="O1313" s="162" t="s">
        <v>662</v>
      </c>
    </row>
    <row r="1314" spans="1:15" ht="59.25" customHeight="1" x14ac:dyDescent="0.35">
      <c r="A1314" s="272" t="s">
        <v>3999</v>
      </c>
      <c r="B1314" s="497" t="s">
        <v>663</v>
      </c>
      <c r="C1314" s="364" t="s">
        <v>309</v>
      </c>
      <c r="D1314" s="237" t="s">
        <v>4</v>
      </c>
      <c r="E1314" s="237" t="s">
        <v>42</v>
      </c>
      <c r="F1314" s="237" t="s">
        <v>997</v>
      </c>
      <c r="G1314" s="364"/>
      <c r="H1314" s="364">
        <v>70610</v>
      </c>
      <c r="I1314" s="364" t="s">
        <v>657</v>
      </c>
      <c r="J1314" s="166">
        <v>302900</v>
      </c>
      <c r="K1314" s="627"/>
      <c r="L1314" s="394"/>
      <c r="M1314" s="394" t="s">
        <v>5133</v>
      </c>
      <c r="N1314" s="166">
        <v>302900</v>
      </c>
      <c r="O1314" s="162" t="s">
        <v>663</v>
      </c>
    </row>
    <row r="1315" spans="1:15" ht="56.25" customHeight="1" x14ac:dyDescent="0.35">
      <c r="A1315" s="272" t="s">
        <v>4000</v>
      </c>
      <c r="B1315" s="497" t="s">
        <v>681</v>
      </c>
      <c r="C1315" s="364" t="s">
        <v>309</v>
      </c>
      <c r="D1315" s="237" t="s">
        <v>4</v>
      </c>
      <c r="E1315" s="237" t="s">
        <v>42</v>
      </c>
      <c r="F1315" s="237" t="s">
        <v>997</v>
      </c>
      <c r="G1315" s="364"/>
      <c r="H1315" s="364">
        <v>70610</v>
      </c>
      <c r="I1315" s="364" t="s">
        <v>657</v>
      </c>
      <c r="J1315" s="166">
        <v>227849.73</v>
      </c>
      <c r="K1315" s="627"/>
      <c r="L1315" s="394"/>
      <c r="M1315" s="394" t="s">
        <v>5133</v>
      </c>
      <c r="N1315" s="166">
        <v>227849.73</v>
      </c>
      <c r="O1315" s="162" t="s">
        <v>681</v>
      </c>
    </row>
    <row r="1316" spans="1:15" ht="68.25" customHeight="1" x14ac:dyDescent="0.35">
      <c r="A1316" s="272" t="s">
        <v>4001</v>
      </c>
      <c r="B1316" s="497" t="s">
        <v>692</v>
      </c>
      <c r="C1316" s="364" t="s">
        <v>309</v>
      </c>
      <c r="D1316" s="237" t="s">
        <v>4</v>
      </c>
      <c r="E1316" s="237" t="s">
        <v>42</v>
      </c>
      <c r="F1316" s="237" t="s">
        <v>994</v>
      </c>
      <c r="G1316" s="164"/>
      <c r="H1316" s="364">
        <v>70610</v>
      </c>
      <c r="I1316" s="364" t="s">
        <v>160</v>
      </c>
      <c r="J1316" s="166">
        <v>200000</v>
      </c>
      <c r="K1316" s="627">
        <v>150000000</v>
      </c>
      <c r="L1316" s="394"/>
      <c r="M1316" s="394" t="s">
        <v>5133</v>
      </c>
      <c r="N1316" s="166">
        <v>1600000</v>
      </c>
      <c r="O1316" s="162" t="s">
        <v>692</v>
      </c>
    </row>
    <row r="1317" spans="1:15" ht="61.5" customHeight="1" x14ac:dyDescent="0.35">
      <c r="A1317" s="272" t="s">
        <v>4002</v>
      </c>
      <c r="B1317" s="497" t="s">
        <v>658</v>
      </c>
      <c r="C1317" s="364" t="s">
        <v>309</v>
      </c>
      <c r="D1317" s="237" t="s">
        <v>4</v>
      </c>
      <c r="E1317" s="237" t="s">
        <v>42</v>
      </c>
      <c r="F1317" s="237" t="s">
        <v>983</v>
      </c>
      <c r="G1317" s="164"/>
      <c r="H1317" s="364">
        <v>70610</v>
      </c>
      <c r="I1317" s="142" t="s">
        <v>931</v>
      </c>
      <c r="J1317" s="144">
        <v>1458138.54</v>
      </c>
      <c r="K1317" s="627"/>
      <c r="L1317" s="394"/>
      <c r="M1317" s="394" t="s">
        <v>5133</v>
      </c>
      <c r="N1317" s="166"/>
      <c r="O1317" s="162" t="s">
        <v>658</v>
      </c>
    </row>
    <row r="1318" spans="1:15" ht="46.5" customHeight="1" x14ac:dyDescent="0.35">
      <c r="A1318" s="272" t="s">
        <v>4003</v>
      </c>
      <c r="B1318" s="497" t="s">
        <v>677</v>
      </c>
      <c r="C1318" s="364" t="s">
        <v>309</v>
      </c>
      <c r="D1318" s="237" t="s">
        <v>4</v>
      </c>
      <c r="E1318" s="237" t="s">
        <v>42</v>
      </c>
      <c r="F1318" s="237" t="s">
        <v>983</v>
      </c>
      <c r="G1318" s="164"/>
      <c r="H1318" s="364">
        <v>70610</v>
      </c>
      <c r="I1318" s="142" t="s">
        <v>931</v>
      </c>
      <c r="J1318" s="144">
        <v>118901906.14</v>
      </c>
      <c r="K1318" s="627">
        <v>118901906</v>
      </c>
      <c r="L1318" s="394"/>
      <c r="M1318" s="394" t="s">
        <v>5133</v>
      </c>
      <c r="N1318" s="166">
        <v>240000000</v>
      </c>
      <c r="O1318" s="162" t="s">
        <v>677</v>
      </c>
    </row>
    <row r="1319" spans="1:15" ht="72" customHeight="1" x14ac:dyDescent="0.35">
      <c r="A1319" s="272" t="s">
        <v>4004</v>
      </c>
      <c r="B1319" s="497" t="s">
        <v>684</v>
      </c>
      <c r="C1319" s="364" t="s">
        <v>309</v>
      </c>
      <c r="D1319" s="237" t="s">
        <v>4</v>
      </c>
      <c r="E1319" s="237" t="s">
        <v>42</v>
      </c>
      <c r="F1319" s="237" t="s">
        <v>983</v>
      </c>
      <c r="G1319" s="364"/>
      <c r="H1319" s="364">
        <v>70610</v>
      </c>
      <c r="I1319" s="142" t="s">
        <v>931</v>
      </c>
      <c r="J1319" s="144">
        <v>7230680.5499999998</v>
      </c>
      <c r="K1319" s="627"/>
      <c r="L1319" s="394"/>
      <c r="M1319" s="394" t="s">
        <v>5133</v>
      </c>
      <c r="N1319" s="166">
        <v>4338408</v>
      </c>
      <c r="O1319" s="162" t="s">
        <v>684</v>
      </c>
    </row>
    <row r="1320" spans="1:15" ht="75" customHeight="1" x14ac:dyDescent="0.35">
      <c r="A1320" s="272" t="s">
        <v>4005</v>
      </c>
      <c r="B1320" s="497" t="s">
        <v>688</v>
      </c>
      <c r="C1320" s="364" t="s">
        <v>309</v>
      </c>
      <c r="D1320" s="237" t="s">
        <v>4</v>
      </c>
      <c r="E1320" s="237" t="s">
        <v>42</v>
      </c>
      <c r="F1320" s="237" t="s">
        <v>983</v>
      </c>
      <c r="G1320" s="364"/>
      <c r="H1320" s="364">
        <v>70610</v>
      </c>
      <c r="I1320" s="142" t="s">
        <v>931</v>
      </c>
      <c r="J1320" s="144">
        <v>250000</v>
      </c>
      <c r="K1320" s="627"/>
      <c r="L1320" s="394"/>
      <c r="M1320" s="394" t="s">
        <v>5133</v>
      </c>
      <c r="N1320" s="166">
        <v>2000000</v>
      </c>
      <c r="O1320" s="162" t="s">
        <v>688</v>
      </c>
    </row>
    <row r="1321" spans="1:15" ht="57.75" customHeight="1" x14ac:dyDescent="0.35">
      <c r="A1321" s="272" t="s">
        <v>4006</v>
      </c>
      <c r="B1321" s="497" t="s">
        <v>690</v>
      </c>
      <c r="C1321" s="364" t="s">
        <v>309</v>
      </c>
      <c r="D1321" s="237" t="s">
        <v>4</v>
      </c>
      <c r="E1321" s="237" t="s">
        <v>42</v>
      </c>
      <c r="F1321" s="237" t="s">
        <v>983</v>
      </c>
      <c r="G1321" s="364"/>
      <c r="H1321" s="364">
        <v>70610</v>
      </c>
      <c r="I1321" s="142" t="s">
        <v>931</v>
      </c>
      <c r="J1321" s="144">
        <v>13935840.92</v>
      </c>
      <c r="K1321" s="627"/>
      <c r="L1321" s="394"/>
      <c r="M1321" s="394" t="s">
        <v>5133</v>
      </c>
      <c r="N1321" s="166">
        <v>21868817</v>
      </c>
      <c r="O1321" s="162" t="s">
        <v>690</v>
      </c>
    </row>
    <row r="1322" spans="1:15" ht="84" customHeight="1" x14ac:dyDescent="0.35">
      <c r="A1322" s="272" t="s">
        <v>4007</v>
      </c>
      <c r="B1322" s="497" t="s">
        <v>693</v>
      </c>
      <c r="C1322" s="364" t="s">
        <v>615</v>
      </c>
      <c r="D1322" s="237" t="s">
        <v>4</v>
      </c>
      <c r="E1322" s="237" t="s">
        <v>42</v>
      </c>
      <c r="F1322" s="237" t="s">
        <v>983</v>
      </c>
      <c r="G1322" s="364"/>
      <c r="H1322" s="364">
        <v>70610</v>
      </c>
      <c r="I1322" s="142" t="s">
        <v>931</v>
      </c>
      <c r="J1322" s="144">
        <v>1824133.41</v>
      </c>
      <c r="K1322" s="627"/>
      <c r="L1322" s="394"/>
      <c r="M1322" s="394" t="s">
        <v>5133</v>
      </c>
      <c r="N1322" s="166">
        <v>7296534</v>
      </c>
      <c r="O1322" s="162" t="s">
        <v>693</v>
      </c>
    </row>
    <row r="1323" spans="1:15" ht="48.75" customHeight="1" x14ac:dyDescent="0.35">
      <c r="A1323" s="272" t="s">
        <v>4008</v>
      </c>
      <c r="B1323" s="497" t="s">
        <v>702</v>
      </c>
      <c r="C1323" s="364" t="s">
        <v>309</v>
      </c>
      <c r="D1323" s="237" t="s">
        <v>4</v>
      </c>
      <c r="E1323" s="237" t="s">
        <v>42</v>
      </c>
      <c r="F1323" s="237" t="s">
        <v>983</v>
      </c>
      <c r="G1323" s="364"/>
      <c r="H1323" s="364">
        <v>70610</v>
      </c>
      <c r="I1323" s="142" t="s">
        <v>931</v>
      </c>
      <c r="J1323" s="144"/>
      <c r="K1323" s="627"/>
      <c r="L1323" s="394"/>
      <c r="M1323" s="394" t="s">
        <v>5133</v>
      </c>
      <c r="N1323" s="166">
        <v>300000000</v>
      </c>
      <c r="O1323" s="162" t="s">
        <v>702</v>
      </c>
    </row>
    <row r="1324" spans="1:15" ht="61.5" customHeight="1" x14ac:dyDescent="0.35">
      <c r="A1324" s="272" t="s">
        <v>4009</v>
      </c>
      <c r="B1324" s="497" t="s">
        <v>3392</v>
      </c>
      <c r="C1324" s="364" t="s">
        <v>309</v>
      </c>
      <c r="D1324" s="237" t="s">
        <v>4</v>
      </c>
      <c r="E1324" s="237" t="s">
        <v>42</v>
      </c>
      <c r="F1324" s="237" t="s">
        <v>131</v>
      </c>
      <c r="G1324" s="164"/>
      <c r="H1324" s="364">
        <v>70610</v>
      </c>
      <c r="I1324" s="364" t="s">
        <v>695</v>
      </c>
      <c r="J1324" s="166">
        <v>4500000000</v>
      </c>
      <c r="K1324" s="627">
        <v>3500000000</v>
      </c>
      <c r="L1324" s="627">
        <v>3500000000</v>
      </c>
      <c r="M1324" s="394" t="s">
        <v>5123</v>
      </c>
      <c r="N1324" s="166">
        <v>1863772325</v>
      </c>
      <c r="O1324" s="162" t="s">
        <v>685</v>
      </c>
    </row>
    <row r="1325" spans="1:15" ht="101.25" customHeight="1" x14ac:dyDescent="0.35">
      <c r="A1325" s="272" t="s">
        <v>4010</v>
      </c>
      <c r="B1325" s="497" t="s">
        <v>4943</v>
      </c>
      <c r="C1325" s="364" t="s">
        <v>619</v>
      </c>
      <c r="D1325" s="237" t="s">
        <v>4</v>
      </c>
      <c r="E1325" s="237" t="s">
        <v>42</v>
      </c>
      <c r="F1325" s="237" t="s">
        <v>131</v>
      </c>
      <c r="G1325" s="164"/>
      <c r="H1325" s="364">
        <v>70610</v>
      </c>
      <c r="I1325" s="364" t="s">
        <v>695</v>
      </c>
      <c r="J1325" s="166">
        <v>500000000</v>
      </c>
      <c r="K1325" s="627">
        <v>100000000</v>
      </c>
      <c r="L1325" s="394"/>
      <c r="M1325" s="394" t="s">
        <v>5133</v>
      </c>
      <c r="N1325" s="166">
        <v>1470400000</v>
      </c>
      <c r="O1325" s="162" t="s">
        <v>3341</v>
      </c>
    </row>
    <row r="1326" spans="1:15" ht="77.25" customHeight="1" x14ac:dyDescent="0.35">
      <c r="A1326" s="272" t="s">
        <v>4011</v>
      </c>
      <c r="B1326" s="497" t="s">
        <v>3342</v>
      </c>
      <c r="C1326" s="364" t="s">
        <v>309</v>
      </c>
      <c r="D1326" s="237" t="s">
        <v>4</v>
      </c>
      <c r="E1326" s="237" t="s">
        <v>42</v>
      </c>
      <c r="F1326" s="237" t="s">
        <v>131</v>
      </c>
      <c r="G1326" s="164"/>
      <c r="H1326" s="364">
        <v>70610</v>
      </c>
      <c r="I1326" s="364" t="s">
        <v>695</v>
      </c>
      <c r="J1326" s="166">
        <v>70000000</v>
      </c>
      <c r="K1326" s="627">
        <v>36000000</v>
      </c>
      <c r="L1326" s="394"/>
      <c r="M1326" s="394" t="s">
        <v>5133</v>
      </c>
      <c r="N1326" s="166"/>
      <c r="O1326" s="162" t="s">
        <v>3342</v>
      </c>
    </row>
    <row r="1327" spans="1:15" ht="56.25" customHeight="1" x14ac:dyDescent="0.35">
      <c r="A1327" s="272" t="s">
        <v>4012</v>
      </c>
      <c r="B1327" s="497" t="s">
        <v>697</v>
      </c>
      <c r="C1327" s="364" t="s">
        <v>5</v>
      </c>
      <c r="D1327" s="237" t="s">
        <v>4</v>
      </c>
      <c r="E1327" s="237" t="s">
        <v>42</v>
      </c>
      <c r="F1327" s="237" t="s">
        <v>131</v>
      </c>
      <c r="G1327" s="164"/>
      <c r="H1327" s="364">
        <v>70610</v>
      </c>
      <c r="I1327" s="364" t="s">
        <v>695</v>
      </c>
      <c r="J1327" s="166">
        <v>481423096.25999999</v>
      </c>
      <c r="K1327" s="627">
        <v>281000000</v>
      </c>
      <c r="L1327" s="394"/>
      <c r="M1327" s="394" t="s">
        <v>5133</v>
      </c>
      <c r="N1327" s="166">
        <v>427385384</v>
      </c>
      <c r="O1327" s="162" t="s">
        <v>697</v>
      </c>
    </row>
    <row r="1328" spans="1:15" ht="56.25" customHeight="1" x14ac:dyDescent="0.35">
      <c r="A1328" s="272" t="s">
        <v>4013</v>
      </c>
      <c r="B1328" s="497" t="s">
        <v>698</v>
      </c>
      <c r="C1328" s="364" t="s">
        <v>309</v>
      </c>
      <c r="D1328" s="237" t="s">
        <v>4</v>
      </c>
      <c r="E1328" s="237" t="s">
        <v>42</v>
      </c>
      <c r="F1328" s="237" t="s">
        <v>131</v>
      </c>
      <c r="G1328" s="164"/>
      <c r="H1328" s="364">
        <v>70610</v>
      </c>
      <c r="I1328" s="364" t="s">
        <v>695</v>
      </c>
      <c r="J1328" s="166">
        <v>595908225.79999995</v>
      </c>
      <c r="K1328" s="627">
        <v>495000000</v>
      </c>
      <c r="L1328" s="394"/>
      <c r="M1328" s="394" t="s">
        <v>5133</v>
      </c>
      <c r="N1328" s="166">
        <v>400000000</v>
      </c>
      <c r="O1328" s="162" t="s">
        <v>698</v>
      </c>
    </row>
    <row r="1329" spans="1:15" ht="79.5" customHeight="1" x14ac:dyDescent="0.35">
      <c r="A1329" s="272" t="s">
        <v>4014</v>
      </c>
      <c r="B1329" s="497" t="s">
        <v>3343</v>
      </c>
      <c r="C1329" s="364" t="s">
        <v>309</v>
      </c>
      <c r="D1329" s="237" t="s">
        <v>4</v>
      </c>
      <c r="E1329" s="237" t="s">
        <v>42</v>
      </c>
      <c r="F1329" s="237" t="s">
        <v>131</v>
      </c>
      <c r="G1329" s="164"/>
      <c r="H1329" s="364">
        <v>70610</v>
      </c>
      <c r="I1329" s="364" t="s">
        <v>695</v>
      </c>
      <c r="J1329" s="166">
        <v>228286693.05000001</v>
      </c>
      <c r="K1329" s="627"/>
      <c r="L1329" s="394"/>
      <c r="M1329" s="394" t="s">
        <v>5133</v>
      </c>
      <c r="N1329" s="166">
        <v>180000000</v>
      </c>
      <c r="O1329" s="162" t="s">
        <v>3343</v>
      </c>
    </row>
    <row r="1330" spans="1:15" ht="53.25" customHeight="1" x14ac:dyDescent="0.35">
      <c r="A1330" s="272" t="s">
        <v>4015</v>
      </c>
      <c r="B1330" s="497" t="s">
        <v>701</v>
      </c>
      <c r="C1330" s="364" t="s">
        <v>309</v>
      </c>
      <c r="D1330" s="237" t="s">
        <v>4</v>
      </c>
      <c r="E1330" s="237" t="s">
        <v>42</v>
      </c>
      <c r="F1330" s="237" t="s">
        <v>131</v>
      </c>
      <c r="G1330" s="164"/>
      <c r="H1330" s="364">
        <v>70610</v>
      </c>
      <c r="I1330" s="364" t="s">
        <v>695</v>
      </c>
      <c r="J1330" s="144">
        <v>206994677.00999999</v>
      </c>
      <c r="K1330" s="627">
        <v>206994677</v>
      </c>
      <c r="L1330" s="394"/>
      <c r="M1330" s="394" t="s">
        <v>5133</v>
      </c>
      <c r="N1330" s="166">
        <v>200000000</v>
      </c>
      <c r="O1330" s="162" t="s">
        <v>701</v>
      </c>
    </row>
    <row r="1331" spans="1:15" ht="42.75" customHeight="1" x14ac:dyDescent="0.35">
      <c r="A1331" s="272" t="s">
        <v>4016</v>
      </c>
      <c r="B1331" s="497" t="s">
        <v>703</v>
      </c>
      <c r="C1331" s="364" t="s">
        <v>188</v>
      </c>
      <c r="D1331" s="237" t="s">
        <v>4</v>
      </c>
      <c r="E1331" s="237" t="s">
        <v>42</v>
      </c>
      <c r="F1331" s="237" t="s">
        <v>131</v>
      </c>
      <c r="G1331" s="164"/>
      <c r="H1331" s="164">
        <v>70610</v>
      </c>
      <c r="I1331" s="364" t="s">
        <v>695</v>
      </c>
      <c r="J1331" s="166">
        <v>145885330.77000001</v>
      </c>
      <c r="K1331" s="627">
        <v>145885331</v>
      </c>
      <c r="L1331" s="394"/>
      <c r="M1331" s="394" t="s">
        <v>5133</v>
      </c>
      <c r="N1331" s="166">
        <v>100000000</v>
      </c>
      <c r="O1331" s="162" t="s">
        <v>703</v>
      </c>
    </row>
    <row r="1332" spans="1:15" ht="54" customHeight="1" x14ac:dyDescent="0.35">
      <c r="A1332" s="272" t="s">
        <v>4017</v>
      </c>
      <c r="B1332" s="497" t="s">
        <v>705</v>
      </c>
      <c r="C1332" s="364" t="s">
        <v>309</v>
      </c>
      <c r="D1332" s="237" t="s">
        <v>4</v>
      </c>
      <c r="E1332" s="237" t="s">
        <v>42</v>
      </c>
      <c r="F1332" s="237" t="s">
        <v>144</v>
      </c>
      <c r="G1332" s="164"/>
      <c r="H1332" s="364">
        <v>70610</v>
      </c>
      <c r="I1332" s="364" t="s">
        <v>706</v>
      </c>
      <c r="J1332" s="166">
        <v>73221874.140000001</v>
      </c>
      <c r="K1332" s="627"/>
      <c r="L1332" s="394"/>
      <c r="M1332" s="394" t="s">
        <v>5133</v>
      </c>
      <c r="N1332" s="166">
        <v>50000000</v>
      </c>
      <c r="O1332" s="162" t="s">
        <v>705</v>
      </c>
    </row>
    <row r="1333" spans="1:15" ht="83.25" customHeight="1" x14ac:dyDescent="0.35">
      <c r="A1333" s="272" t="s">
        <v>4018</v>
      </c>
      <c r="B1333" s="497" t="s">
        <v>689</v>
      </c>
      <c r="C1333" s="364" t="s">
        <v>309</v>
      </c>
      <c r="D1333" s="237" t="s">
        <v>4</v>
      </c>
      <c r="E1333" s="237" t="s">
        <v>42</v>
      </c>
      <c r="F1333" s="237" t="s">
        <v>63</v>
      </c>
      <c r="G1333" s="364"/>
      <c r="H1333" s="364">
        <v>70610</v>
      </c>
      <c r="I1333" s="142" t="s">
        <v>59</v>
      </c>
      <c r="J1333" s="144">
        <v>16979736.84</v>
      </c>
      <c r="K1333" s="627"/>
      <c r="L1333" s="394"/>
      <c r="M1333" s="394" t="s">
        <v>5133</v>
      </c>
      <c r="N1333" s="166">
        <v>17600000</v>
      </c>
      <c r="O1333" s="162" t="s">
        <v>689</v>
      </c>
    </row>
    <row r="1334" spans="1:15" ht="58.5" customHeight="1" x14ac:dyDescent="0.35">
      <c r="A1334" s="272" t="s">
        <v>4019</v>
      </c>
      <c r="B1334" s="497" t="s">
        <v>679</v>
      </c>
      <c r="C1334" s="364" t="s">
        <v>309</v>
      </c>
      <c r="D1334" s="237" t="s">
        <v>4</v>
      </c>
      <c r="E1334" s="237" t="s">
        <v>42</v>
      </c>
      <c r="F1334" s="237" t="s">
        <v>62</v>
      </c>
      <c r="G1334" s="364"/>
      <c r="H1334" s="364">
        <v>70610</v>
      </c>
      <c r="I1334" s="142" t="s">
        <v>904</v>
      </c>
      <c r="J1334" s="144">
        <v>3481999.63</v>
      </c>
      <c r="K1334" s="627"/>
      <c r="L1334" s="394"/>
      <c r="M1334" s="394" t="s">
        <v>5133</v>
      </c>
      <c r="N1334" s="144">
        <v>3481999.63</v>
      </c>
      <c r="O1334" s="162" t="s">
        <v>679</v>
      </c>
    </row>
    <row r="1335" spans="1:15" ht="54.75" customHeight="1" x14ac:dyDescent="0.35">
      <c r="A1335" s="272" t="s">
        <v>4020</v>
      </c>
      <c r="B1335" s="497" t="s">
        <v>683</v>
      </c>
      <c r="C1335" s="364" t="s">
        <v>309</v>
      </c>
      <c r="D1335" s="237" t="s">
        <v>4</v>
      </c>
      <c r="E1335" s="237" t="s">
        <v>42</v>
      </c>
      <c r="F1335" s="237" t="s">
        <v>62</v>
      </c>
      <c r="G1335" s="364"/>
      <c r="H1335" s="364">
        <v>70610</v>
      </c>
      <c r="I1335" s="142" t="s">
        <v>904</v>
      </c>
      <c r="J1335" s="144">
        <v>21167000</v>
      </c>
      <c r="K1335" s="627"/>
      <c r="L1335" s="394"/>
      <c r="M1335" s="394" t="s">
        <v>5133</v>
      </c>
      <c r="N1335" s="166">
        <v>12700200</v>
      </c>
      <c r="O1335" s="162" t="s">
        <v>683</v>
      </c>
    </row>
    <row r="1336" spans="1:15" ht="76.5" customHeight="1" x14ac:dyDescent="0.35">
      <c r="A1336" s="272" t="s">
        <v>4021</v>
      </c>
      <c r="B1336" s="497" t="s">
        <v>3344</v>
      </c>
      <c r="C1336" s="364" t="s">
        <v>419</v>
      </c>
      <c r="D1336" s="237" t="s">
        <v>4</v>
      </c>
      <c r="E1336" s="237" t="s">
        <v>42</v>
      </c>
      <c r="F1336" s="237" t="s">
        <v>983</v>
      </c>
      <c r="G1336" s="364"/>
      <c r="H1336" s="364">
        <v>70610</v>
      </c>
      <c r="I1336" s="142" t="s">
        <v>931</v>
      </c>
      <c r="J1336" s="144">
        <v>300000</v>
      </c>
      <c r="K1336" s="627"/>
      <c r="L1336" s="394"/>
      <c r="M1336" s="394" t="s">
        <v>5133</v>
      </c>
      <c r="N1336" s="166">
        <v>0</v>
      </c>
      <c r="O1336" s="162" t="s">
        <v>3344</v>
      </c>
    </row>
    <row r="1337" spans="1:15" ht="56.25" customHeight="1" x14ac:dyDescent="0.35">
      <c r="A1337" s="272" t="s">
        <v>4022</v>
      </c>
      <c r="B1337" s="497" t="s">
        <v>3345</v>
      </c>
      <c r="C1337" s="364" t="s">
        <v>309</v>
      </c>
      <c r="D1337" s="237" t="s">
        <v>4</v>
      </c>
      <c r="E1337" s="237" t="s">
        <v>42</v>
      </c>
      <c r="F1337" s="237" t="s">
        <v>131</v>
      </c>
      <c r="G1337" s="164"/>
      <c r="H1337" s="364">
        <v>70610</v>
      </c>
      <c r="I1337" s="364" t="s">
        <v>695</v>
      </c>
      <c r="J1337" s="144">
        <v>4815832.28</v>
      </c>
      <c r="K1337" s="627"/>
      <c r="L1337" s="394"/>
      <c r="M1337" s="394" t="s">
        <v>5133</v>
      </c>
      <c r="N1337" s="166"/>
      <c r="O1337" s="162" t="s">
        <v>3345</v>
      </c>
    </row>
    <row r="1338" spans="1:15" ht="47.25" customHeight="1" x14ac:dyDescent="0.35">
      <c r="A1338" s="272" t="s">
        <v>4023</v>
      </c>
      <c r="B1338" s="497" t="s">
        <v>3346</v>
      </c>
      <c r="C1338" s="364" t="s">
        <v>419</v>
      </c>
      <c r="D1338" s="237" t="s">
        <v>4</v>
      </c>
      <c r="E1338" s="237" t="s">
        <v>42</v>
      </c>
      <c r="F1338" s="237" t="s">
        <v>983</v>
      </c>
      <c r="G1338" s="364"/>
      <c r="H1338" s="364">
        <v>70610</v>
      </c>
      <c r="I1338" s="142" t="s">
        <v>931</v>
      </c>
      <c r="J1338" s="144">
        <v>1706262.07</v>
      </c>
      <c r="K1338" s="627"/>
      <c r="L1338" s="394"/>
      <c r="M1338" s="394" t="s">
        <v>5133</v>
      </c>
      <c r="N1338" s="166"/>
      <c r="O1338" s="162" t="s">
        <v>3346</v>
      </c>
    </row>
    <row r="1339" spans="1:15" ht="47.25" customHeight="1" x14ac:dyDescent="0.35">
      <c r="A1339" s="272" t="s">
        <v>4024</v>
      </c>
      <c r="B1339" s="497" t="s">
        <v>3393</v>
      </c>
      <c r="C1339" s="364" t="s">
        <v>309</v>
      </c>
      <c r="D1339" s="237" t="s">
        <v>4</v>
      </c>
      <c r="E1339" s="237" t="s">
        <v>42</v>
      </c>
      <c r="F1339" s="237" t="s">
        <v>131</v>
      </c>
      <c r="G1339" s="164"/>
      <c r="H1339" s="364">
        <v>70610</v>
      </c>
      <c r="I1339" s="364" t="s">
        <v>695</v>
      </c>
      <c r="J1339" s="144">
        <v>100000000</v>
      </c>
      <c r="K1339" s="627"/>
      <c r="L1339" s="394"/>
      <c r="M1339" s="394" t="s">
        <v>5133</v>
      </c>
      <c r="N1339" s="166"/>
      <c r="O1339" s="162" t="s">
        <v>3347</v>
      </c>
    </row>
    <row r="1340" spans="1:15" ht="47.25" customHeight="1" x14ac:dyDescent="0.35">
      <c r="A1340" s="272" t="s">
        <v>4025</v>
      </c>
      <c r="B1340" s="497" t="s">
        <v>3394</v>
      </c>
      <c r="C1340" s="364" t="s">
        <v>309</v>
      </c>
      <c r="D1340" s="237" t="s">
        <v>4</v>
      </c>
      <c r="E1340" s="237" t="s">
        <v>42</v>
      </c>
      <c r="F1340" s="237" t="s">
        <v>131</v>
      </c>
      <c r="G1340" s="164"/>
      <c r="H1340" s="364">
        <v>70610</v>
      </c>
      <c r="I1340" s="364" t="s">
        <v>695</v>
      </c>
      <c r="J1340" s="144">
        <v>500000000</v>
      </c>
      <c r="K1340" s="627">
        <v>400000000</v>
      </c>
      <c r="L1340" s="394"/>
      <c r="M1340" s="394" t="s">
        <v>5133</v>
      </c>
      <c r="N1340" s="166"/>
      <c r="O1340" s="162" t="s">
        <v>3348</v>
      </c>
    </row>
    <row r="1341" spans="1:15" ht="51.75" customHeight="1" x14ac:dyDescent="0.35">
      <c r="A1341" s="272" t="s">
        <v>4026</v>
      </c>
      <c r="B1341" s="463" t="s">
        <v>3349</v>
      </c>
      <c r="C1341" s="364" t="s">
        <v>309</v>
      </c>
      <c r="D1341" s="237" t="s">
        <v>4</v>
      </c>
      <c r="E1341" s="237" t="s">
        <v>42</v>
      </c>
      <c r="F1341" s="237" t="s">
        <v>131</v>
      </c>
      <c r="G1341" s="164"/>
      <c r="H1341" s="364">
        <v>70610</v>
      </c>
      <c r="I1341" s="364" t="s">
        <v>695</v>
      </c>
      <c r="J1341" s="144">
        <v>25000000</v>
      </c>
      <c r="K1341" s="627">
        <v>26302086</v>
      </c>
      <c r="L1341" s="394"/>
      <c r="M1341" s="394" t="s">
        <v>5133</v>
      </c>
      <c r="N1341" s="166"/>
      <c r="O1341" s="162" t="s">
        <v>3349</v>
      </c>
    </row>
    <row r="1342" spans="1:15" ht="56.25" customHeight="1" x14ac:dyDescent="0.35">
      <c r="A1342" s="272" t="s">
        <v>4027</v>
      </c>
      <c r="B1342" s="463" t="s">
        <v>3350</v>
      </c>
      <c r="C1342" s="364" t="s">
        <v>309</v>
      </c>
      <c r="D1342" s="237" t="s">
        <v>4</v>
      </c>
      <c r="E1342" s="237" t="s">
        <v>42</v>
      </c>
      <c r="F1342" s="237" t="s">
        <v>131</v>
      </c>
      <c r="G1342" s="164"/>
      <c r="H1342" s="364">
        <v>70610</v>
      </c>
      <c r="I1342" s="364" t="s">
        <v>695</v>
      </c>
      <c r="J1342" s="144">
        <v>2247367.9300000002</v>
      </c>
      <c r="K1342" s="627"/>
      <c r="L1342" s="394"/>
      <c r="M1342" s="394" t="s">
        <v>5133</v>
      </c>
      <c r="N1342" s="166"/>
      <c r="O1342" s="162" t="s">
        <v>3350</v>
      </c>
    </row>
    <row r="1343" spans="1:15" ht="48.75" customHeight="1" x14ac:dyDescent="0.35">
      <c r="A1343" s="272" t="s">
        <v>4028</v>
      </c>
      <c r="B1343" s="463" t="s">
        <v>4944</v>
      </c>
      <c r="C1343" s="364" t="s">
        <v>419</v>
      </c>
      <c r="D1343" s="237" t="s">
        <v>4</v>
      </c>
      <c r="E1343" s="237" t="s">
        <v>42</v>
      </c>
      <c r="F1343" s="237" t="s">
        <v>983</v>
      </c>
      <c r="G1343" s="364"/>
      <c r="H1343" s="364">
        <v>70610</v>
      </c>
      <c r="I1343" s="142" t="s">
        <v>931</v>
      </c>
      <c r="J1343" s="144">
        <v>2850854.86</v>
      </c>
      <c r="K1343" s="627">
        <v>50000000</v>
      </c>
      <c r="L1343" s="394"/>
      <c r="M1343" s="394" t="s">
        <v>5133</v>
      </c>
      <c r="N1343" s="166"/>
      <c r="O1343" s="162" t="s">
        <v>3351</v>
      </c>
    </row>
    <row r="1344" spans="1:15" ht="54.75" customHeight="1" x14ac:dyDescent="0.35">
      <c r="A1344" s="272" t="s">
        <v>4029</v>
      </c>
      <c r="B1344" s="463" t="s">
        <v>3352</v>
      </c>
      <c r="C1344" s="364" t="s">
        <v>419</v>
      </c>
      <c r="D1344" s="237" t="s">
        <v>4</v>
      </c>
      <c r="E1344" s="237" t="s">
        <v>42</v>
      </c>
      <c r="F1344" s="237" t="s">
        <v>983</v>
      </c>
      <c r="G1344" s="364"/>
      <c r="H1344" s="364">
        <v>70610</v>
      </c>
      <c r="I1344" s="142" t="s">
        <v>931</v>
      </c>
      <c r="J1344" s="144">
        <v>5244035.74</v>
      </c>
      <c r="K1344" s="627"/>
      <c r="L1344" s="394"/>
      <c r="M1344" s="394" t="s">
        <v>5133</v>
      </c>
      <c r="N1344" s="166"/>
      <c r="O1344" s="162" t="s">
        <v>3352</v>
      </c>
    </row>
    <row r="1345" spans="1:16" ht="56.25" customHeight="1" x14ac:dyDescent="0.35">
      <c r="A1345" s="272" t="s">
        <v>4030</v>
      </c>
      <c r="B1345" s="463" t="s">
        <v>3353</v>
      </c>
      <c r="C1345" s="364" t="s">
        <v>309</v>
      </c>
      <c r="D1345" s="237" t="s">
        <v>4</v>
      </c>
      <c r="E1345" s="237" t="s">
        <v>42</v>
      </c>
      <c r="F1345" s="237" t="s">
        <v>131</v>
      </c>
      <c r="G1345" s="164"/>
      <c r="H1345" s="364">
        <v>70610</v>
      </c>
      <c r="I1345" s="364" t="s">
        <v>695</v>
      </c>
      <c r="J1345" s="144">
        <v>987251.95</v>
      </c>
      <c r="K1345" s="627"/>
      <c r="L1345" s="394"/>
      <c r="M1345" s="394" t="s">
        <v>5133</v>
      </c>
      <c r="N1345" s="166"/>
      <c r="O1345" s="162" t="s">
        <v>3353</v>
      </c>
    </row>
    <row r="1346" spans="1:16" ht="51" customHeight="1" x14ac:dyDescent="0.35">
      <c r="A1346" s="272" t="s">
        <v>4031</v>
      </c>
      <c r="B1346" s="463" t="s">
        <v>3354</v>
      </c>
      <c r="C1346" s="364" t="s">
        <v>309</v>
      </c>
      <c r="D1346" s="237" t="s">
        <v>4</v>
      </c>
      <c r="E1346" s="237" t="s">
        <v>42</v>
      </c>
      <c r="F1346" s="237" t="s">
        <v>131</v>
      </c>
      <c r="G1346" s="164"/>
      <c r="H1346" s="364">
        <v>70610</v>
      </c>
      <c r="I1346" s="364" t="s">
        <v>695</v>
      </c>
      <c r="J1346" s="144">
        <v>44007486.049999997</v>
      </c>
      <c r="K1346" s="627"/>
      <c r="L1346" s="394"/>
      <c r="M1346" s="394" t="s">
        <v>5133</v>
      </c>
      <c r="N1346" s="166"/>
      <c r="O1346" s="162" t="s">
        <v>3354</v>
      </c>
    </row>
    <row r="1347" spans="1:16" ht="55.5" customHeight="1" x14ac:dyDescent="0.35">
      <c r="A1347" s="272" t="s">
        <v>4032</v>
      </c>
      <c r="B1347" s="463" t="s">
        <v>3355</v>
      </c>
      <c r="C1347" s="364" t="s">
        <v>419</v>
      </c>
      <c r="D1347" s="237" t="s">
        <v>4</v>
      </c>
      <c r="E1347" s="237" t="s">
        <v>42</v>
      </c>
      <c r="F1347" s="237" t="s">
        <v>983</v>
      </c>
      <c r="G1347" s="364"/>
      <c r="H1347" s="364">
        <v>70610</v>
      </c>
      <c r="I1347" s="142" t="s">
        <v>931</v>
      </c>
      <c r="J1347" s="144">
        <v>2750000</v>
      </c>
      <c r="K1347" s="627"/>
      <c r="L1347" s="394"/>
      <c r="M1347" s="394" t="s">
        <v>5133</v>
      </c>
      <c r="N1347" s="166"/>
      <c r="O1347" s="162" t="s">
        <v>3355</v>
      </c>
    </row>
    <row r="1348" spans="1:16" ht="49.5" customHeight="1" x14ac:dyDescent="0.35">
      <c r="A1348" s="272" t="s">
        <v>4033</v>
      </c>
      <c r="B1348" s="463" t="s">
        <v>3356</v>
      </c>
      <c r="C1348" s="364" t="s">
        <v>309</v>
      </c>
      <c r="D1348" s="237" t="s">
        <v>4</v>
      </c>
      <c r="E1348" s="237" t="s">
        <v>42</v>
      </c>
      <c r="F1348" s="237" t="s">
        <v>131</v>
      </c>
      <c r="G1348" s="164"/>
      <c r="H1348" s="364">
        <v>70610</v>
      </c>
      <c r="I1348" s="364" t="s">
        <v>695</v>
      </c>
      <c r="J1348" s="144">
        <v>999500</v>
      </c>
      <c r="K1348" s="627"/>
      <c r="L1348" s="394"/>
      <c r="M1348" s="394" t="s">
        <v>5133</v>
      </c>
      <c r="N1348" s="166"/>
      <c r="O1348" s="162" t="s">
        <v>3356</v>
      </c>
    </row>
    <row r="1349" spans="1:16" ht="45" customHeight="1" x14ac:dyDescent="0.35">
      <c r="A1349" s="272" t="s">
        <v>4034</v>
      </c>
      <c r="B1349" s="463" t="s">
        <v>3357</v>
      </c>
      <c r="C1349" s="364" t="s">
        <v>309</v>
      </c>
      <c r="D1349" s="237" t="s">
        <v>4</v>
      </c>
      <c r="E1349" s="237" t="s">
        <v>42</v>
      </c>
      <c r="F1349" s="237" t="s">
        <v>131</v>
      </c>
      <c r="G1349" s="164"/>
      <c r="H1349" s="364">
        <v>70610</v>
      </c>
      <c r="I1349" s="364" t="s">
        <v>695</v>
      </c>
      <c r="J1349" s="144">
        <v>153394011.63</v>
      </c>
      <c r="K1349" s="627"/>
      <c r="L1349" s="394"/>
      <c r="M1349" s="394" t="s">
        <v>5133</v>
      </c>
      <c r="N1349" s="166"/>
      <c r="O1349" s="162" t="s">
        <v>3357</v>
      </c>
    </row>
    <row r="1350" spans="1:16" ht="42" customHeight="1" x14ac:dyDescent="0.35">
      <c r="A1350" s="272" t="s">
        <v>4035</v>
      </c>
      <c r="B1350" s="463" t="s">
        <v>3358</v>
      </c>
      <c r="C1350" s="462" t="s">
        <v>309</v>
      </c>
      <c r="D1350" s="163" t="s">
        <v>4</v>
      </c>
      <c r="E1350" s="463" t="s">
        <v>34</v>
      </c>
      <c r="F1350" s="464" t="s">
        <v>62</v>
      </c>
      <c r="G1350" s="153"/>
      <c r="H1350" s="464">
        <v>70411</v>
      </c>
      <c r="I1350" s="142" t="s">
        <v>168</v>
      </c>
      <c r="J1350" s="144">
        <v>99409922.829999998</v>
      </c>
      <c r="K1350" s="627"/>
      <c r="L1350" s="394"/>
      <c r="M1350" s="394" t="s">
        <v>5133</v>
      </c>
      <c r="N1350" s="166"/>
      <c r="O1350" s="162" t="s">
        <v>3358</v>
      </c>
    </row>
    <row r="1351" spans="1:16" ht="42" customHeight="1" x14ac:dyDescent="0.35">
      <c r="A1351" s="272" t="s">
        <v>4036</v>
      </c>
      <c r="B1351" s="463" t="s">
        <v>3359</v>
      </c>
      <c r="C1351" s="364" t="s">
        <v>309</v>
      </c>
      <c r="D1351" s="237" t="s">
        <v>4</v>
      </c>
      <c r="E1351" s="237" t="s">
        <v>42</v>
      </c>
      <c r="F1351" s="237" t="s">
        <v>131</v>
      </c>
      <c r="G1351" s="164"/>
      <c r="H1351" s="364">
        <v>70610</v>
      </c>
      <c r="I1351" s="364" t="s">
        <v>695</v>
      </c>
      <c r="J1351" s="144">
        <v>135000000</v>
      </c>
      <c r="K1351" s="627"/>
      <c r="L1351" s="394"/>
      <c r="M1351" s="394" t="s">
        <v>5133</v>
      </c>
      <c r="N1351" s="166"/>
      <c r="O1351" s="162" t="s">
        <v>3359</v>
      </c>
    </row>
    <row r="1352" spans="1:16" ht="48" customHeight="1" x14ac:dyDescent="0.35">
      <c r="A1352" s="272" t="s">
        <v>4037</v>
      </c>
      <c r="B1352" s="463" t="s">
        <v>3360</v>
      </c>
      <c r="C1352" s="364" t="s">
        <v>309</v>
      </c>
      <c r="D1352" s="237" t="s">
        <v>4</v>
      </c>
      <c r="E1352" s="237" t="s">
        <v>42</v>
      </c>
      <c r="F1352" s="237" t="s">
        <v>131</v>
      </c>
      <c r="G1352" s="164"/>
      <c r="H1352" s="364">
        <v>70610</v>
      </c>
      <c r="I1352" s="364" t="s">
        <v>695</v>
      </c>
      <c r="J1352" s="144">
        <f>95000000+130000000</f>
        <v>225000000</v>
      </c>
      <c r="K1352" s="627">
        <v>125000000</v>
      </c>
      <c r="L1352" s="394"/>
      <c r="M1352" s="394" t="s">
        <v>5133</v>
      </c>
      <c r="N1352" s="166"/>
      <c r="O1352" s="162" t="s">
        <v>3360</v>
      </c>
    </row>
    <row r="1353" spans="1:16" ht="53.25" customHeight="1" x14ac:dyDescent="0.35">
      <c r="A1353" s="272" t="s">
        <v>4038</v>
      </c>
      <c r="B1353" s="497" t="s">
        <v>3395</v>
      </c>
      <c r="C1353" s="364" t="s">
        <v>309</v>
      </c>
      <c r="D1353" s="237" t="s">
        <v>4</v>
      </c>
      <c r="E1353" s="237" t="s">
        <v>42</v>
      </c>
      <c r="F1353" s="237" t="s">
        <v>131</v>
      </c>
      <c r="G1353" s="164"/>
      <c r="H1353" s="364">
        <v>70610</v>
      </c>
      <c r="I1353" s="364" t="s">
        <v>695</v>
      </c>
      <c r="J1353" s="144">
        <v>500000000</v>
      </c>
      <c r="K1353" s="627">
        <v>400000000</v>
      </c>
      <c r="L1353" s="394"/>
      <c r="M1353" s="394" t="s">
        <v>5133</v>
      </c>
      <c r="N1353" s="166"/>
      <c r="O1353" s="162" t="s">
        <v>3361</v>
      </c>
    </row>
    <row r="1354" spans="1:16" ht="75" customHeight="1" x14ac:dyDescent="0.35">
      <c r="A1354" s="272" t="s">
        <v>4039</v>
      </c>
      <c r="B1354" s="463" t="s">
        <v>3400</v>
      </c>
      <c r="C1354" s="364" t="s">
        <v>309</v>
      </c>
      <c r="D1354" s="237" t="s">
        <v>4</v>
      </c>
      <c r="E1354" s="237" t="s">
        <v>42</v>
      </c>
      <c r="F1354" s="237" t="s">
        <v>131</v>
      </c>
      <c r="G1354" s="164"/>
      <c r="H1354" s="364">
        <v>70610</v>
      </c>
      <c r="I1354" s="364" t="s">
        <v>695</v>
      </c>
      <c r="J1354" s="144">
        <f>550000000+114916000</f>
        <v>664916000</v>
      </c>
      <c r="K1354" s="627">
        <v>264916000</v>
      </c>
      <c r="L1354" s="394"/>
      <c r="M1354" s="394" t="s">
        <v>5133</v>
      </c>
      <c r="N1354" s="166"/>
      <c r="O1354" s="180" t="s">
        <v>3362</v>
      </c>
    </row>
    <row r="1355" spans="1:16" ht="34.5" customHeight="1" x14ac:dyDescent="0.35">
      <c r="A1355" s="245"/>
      <c r="B1355" s="360" t="s">
        <v>1008</v>
      </c>
      <c r="C1355" s="188"/>
      <c r="D1355" s="257"/>
      <c r="E1355" s="273"/>
      <c r="F1355" s="257"/>
      <c r="G1355" s="273"/>
      <c r="H1355" s="257"/>
      <c r="I1355" s="273"/>
      <c r="J1355" s="259">
        <f>SUM(J1288:J1354)</f>
        <v>10009308088.890001</v>
      </c>
      <c r="K1355" s="259">
        <f>SUM(K1288:K1354)</f>
        <v>6600000000</v>
      </c>
      <c r="L1355" s="707"/>
      <c r="M1355" s="707"/>
      <c r="N1355" s="259">
        <f>SUM(N1288:N1335)</f>
        <v>5947314356.25</v>
      </c>
      <c r="O1355" s="245" t="s">
        <v>1008</v>
      </c>
    </row>
    <row r="1356" spans="1:16" s="247" customFormat="1" ht="15.75" customHeight="1" x14ac:dyDescent="0.35">
      <c r="A1356" s="286"/>
      <c r="B1356" s="492"/>
      <c r="C1356" s="282"/>
      <c r="D1356" s="283"/>
      <c r="E1356" s="330"/>
      <c r="F1356" s="283"/>
      <c r="G1356" s="330"/>
      <c r="H1356" s="283"/>
      <c r="I1356" s="330"/>
      <c r="J1356" s="285"/>
      <c r="K1356" s="628"/>
      <c r="L1356" s="706"/>
      <c r="M1356" s="706"/>
      <c r="N1356" s="285"/>
      <c r="O1356" s="286"/>
      <c r="P1356" s="246"/>
    </row>
    <row r="1357" spans="1:16" ht="30" hidden="1" customHeight="1" x14ac:dyDescent="0.35">
      <c r="A1357" s="401"/>
      <c r="B1357" s="716"/>
      <c r="C1357" s="402"/>
      <c r="D1357" s="403"/>
      <c r="E1357" s="404"/>
      <c r="F1357" s="403"/>
      <c r="G1357" s="404"/>
      <c r="H1357" s="403"/>
      <c r="I1357" s="404"/>
      <c r="J1357" s="405"/>
      <c r="K1357" s="458"/>
      <c r="L1357" s="704"/>
      <c r="M1357" s="704"/>
      <c r="N1357" s="405"/>
      <c r="O1357" s="600"/>
    </row>
    <row r="1358" spans="1:16" ht="38.25" customHeight="1" x14ac:dyDescent="0.35">
      <c r="A1358" s="428" t="s">
        <v>1376</v>
      </c>
      <c r="B1358" s="583"/>
      <c r="C1358" s="429"/>
      <c r="D1358" s="430"/>
      <c r="E1358" s="494"/>
      <c r="F1358" s="430"/>
      <c r="G1358" s="494"/>
      <c r="H1358" s="430"/>
      <c r="I1358" s="494"/>
      <c r="J1358" s="495"/>
      <c r="K1358" s="458"/>
      <c r="L1358" s="704"/>
      <c r="M1358" s="704"/>
      <c r="N1358" s="495"/>
      <c r="O1358" s="357"/>
    </row>
    <row r="1359" spans="1:16" s="235" customFormat="1" ht="83.25" customHeight="1" x14ac:dyDescent="0.35">
      <c r="A1359" s="187" t="s">
        <v>1007</v>
      </c>
      <c r="B1359" s="360" t="s">
        <v>50</v>
      </c>
      <c r="C1359" s="175" t="s">
        <v>898</v>
      </c>
      <c r="D1359" s="188" t="s">
        <v>52</v>
      </c>
      <c r="E1359" s="232" t="s">
        <v>49</v>
      </c>
      <c r="F1359" s="188" t="s">
        <v>1</v>
      </c>
      <c r="G1359" s="187"/>
      <c r="H1359" s="175" t="s">
        <v>51</v>
      </c>
      <c r="I1359" s="187" t="s">
        <v>2</v>
      </c>
      <c r="J1359" s="189" t="s">
        <v>4862</v>
      </c>
      <c r="K1359" s="189" t="s">
        <v>5140</v>
      </c>
      <c r="L1359" s="623" t="s">
        <v>5132</v>
      </c>
      <c r="M1359" s="623" t="s">
        <v>5132</v>
      </c>
      <c r="N1359" s="189" t="s">
        <v>932</v>
      </c>
      <c r="O1359" s="187" t="s">
        <v>50</v>
      </c>
      <c r="P1359" s="234"/>
    </row>
    <row r="1360" spans="1:16" ht="42" customHeight="1" x14ac:dyDescent="0.35">
      <c r="A1360" s="419" t="s">
        <v>3101</v>
      </c>
      <c r="B1360" s="497" t="s">
        <v>3070</v>
      </c>
      <c r="C1360" s="435" t="s">
        <v>5</v>
      </c>
      <c r="D1360" s="163" t="s">
        <v>4</v>
      </c>
      <c r="E1360" s="463" t="s">
        <v>34</v>
      </c>
      <c r="F1360" s="185" t="s">
        <v>192</v>
      </c>
      <c r="G1360" s="164"/>
      <c r="H1360" s="464">
        <v>70411</v>
      </c>
      <c r="I1360" s="142" t="s">
        <v>901</v>
      </c>
      <c r="J1360" s="393">
        <f>6000000+80000000</f>
        <v>86000000</v>
      </c>
      <c r="K1360" s="393">
        <v>16120000</v>
      </c>
      <c r="L1360" s="394"/>
      <c r="M1360" s="394" t="s">
        <v>5133</v>
      </c>
      <c r="N1360" s="160">
        <v>1407999.3</v>
      </c>
      <c r="O1360" s="162" t="s">
        <v>3070</v>
      </c>
    </row>
    <row r="1361" spans="1:15" ht="51" customHeight="1" x14ac:dyDescent="0.35">
      <c r="A1361" s="419" t="s">
        <v>3102</v>
      </c>
      <c r="B1361" s="497" t="s">
        <v>3071</v>
      </c>
      <c r="C1361" s="462" t="s">
        <v>5</v>
      </c>
      <c r="D1361" s="163" t="s">
        <v>4</v>
      </c>
      <c r="E1361" s="163" t="s">
        <v>34</v>
      </c>
      <c r="F1361" s="465" t="s">
        <v>3087</v>
      </c>
      <c r="G1361" s="164"/>
      <c r="H1361" s="466">
        <v>70451</v>
      </c>
      <c r="I1361" s="142" t="s">
        <v>900</v>
      </c>
      <c r="J1361" s="393">
        <v>1650000</v>
      </c>
      <c r="K1361" s="393">
        <v>1650000</v>
      </c>
      <c r="L1361" s="394"/>
      <c r="M1361" s="394" t="s">
        <v>5133</v>
      </c>
      <c r="N1361" s="160">
        <v>1000000</v>
      </c>
      <c r="O1361" s="162" t="s">
        <v>3071</v>
      </c>
    </row>
    <row r="1362" spans="1:15" ht="39" customHeight="1" x14ac:dyDescent="0.35">
      <c r="A1362" s="419" t="s">
        <v>3103</v>
      </c>
      <c r="B1362" s="497" t="s">
        <v>3072</v>
      </c>
      <c r="C1362" s="462" t="s">
        <v>5</v>
      </c>
      <c r="D1362" s="163" t="s">
        <v>4</v>
      </c>
      <c r="E1362" s="163" t="s">
        <v>34</v>
      </c>
      <c r="F1362" s="467" t="s">
        <v>911</v>
      </c>
      <c r="G1362" s="164"/>
      <c r="H1362" s="466">
        <v>70451</v>
      </c>
      <c r="I1362" s="364" t="s">
        <v>708</v>
      </c>
      <c r="J1362" s="393">
        <f>8000000+5000000</f>
        <v>13000000</v>
      </c>
      <c r="K1362" s="393">
        <v>7569000</v>
      </c>
      <c r="L1362" s="394"/>
      <c r="M1362" s="394" t="s">
        <v>5133</v>
      </c>
      <c r="N1362" s="160">
        <v>16800000</v>
      </c>
      <c r="O1362" s="162" t="s">
        <v>3072</v>
      </c>
    </row>
    <row r="1363" spans="1:15" ht="56.25" customHeight="1" x14ac:dyDescent="0.35">
      <c r="A1363" s="419" t="s">
        <v>3104</v>
      </c>
      <c r="B1363" s="497" t="s">
        <v>3073</v>
      </c>
      <c r="C1363" s="435" t="s">
        <v>5</v>
      </c>
      <c r="D1363" s="163" t="s">
        <v>4</v>
      </c>
      <c r="E1363" s="463" t="s">
        <v>34</v>
      </c>
      <c r="F1363" s="381" t="s">
        <v>1000</v>
      </c>
      <c r="G1363" s="164"/>
      <c r="H1363" s="464">
        <v>70411</v>
      </c>
      <c r="I1363" s="142" t="s">
        <v>711</v>
      </c>
      <c r="J1363" s="393">
        <f>10000000+15000000</f>
        <v>25000000</v>
      </c>
      <c r="K1363" s="393">
        <v>10200000</v>
      </c>
      <c r="L1363" s="394"/>
      <c r="M1363" s="394" t="s">
        <v>5133</v>
      </c>
      <c r="N1363" s="161">
        <v>500000000</v>
      </c>
      <c r="O1363" s="162" t="s">
        <v>3073</v>
      </c>
    </row>
    <row r="1364" spans="1:15" ht="44.25" customHeight="1" x14ac:dyDescent="0.35">
      <c r="A1364" s="419" t="s">
        <v>4040</v>
      </c>
      <c r="B1364" s="497" t="s">
        <v>60</v>
      </c>
      <c r="C1364" s="462" t="s">
        <v>5</v>
      </c>
      <c r="D1364" s="163" t="s">
        <v>4</v>
      </c>
      <c r="E1364" s="463" t="s">
        <v>34</v>
      </c>
      <c r="F1364" s="467" t="s">
        <v>983</v>
      </c>
      <c r="G1364" s="364"/>
      <c r="H1364" s="464">
        <v>70411</v>
      </c>
      <c r="I1364" s="364" t="s">
        <v>707</v>
      </c>
      <c r="J1364" s="393">
        <v>4000000</v>
      </c>
      <c r="K1364" s="393">
        <v>1680000</v>
      </c>
      <c r="L1364" s="394"/>
      <c r="M1364" s="394" t="s">
        <v>5133</v>
      </c>
      <c r="N1364" s="160">
        <v>1000000</v>
      </c>
      <c r="O1364" s="162" t="s">
        <v>60</v>
      </c>
    </row>
    <row r="1365" spans="1:15" ht="45.75" customHeight="1" x14ac:dyDescent="0.35">
      <c r="A1365" s="419" t="s">
        <v>4041</v>
      </c>
      <c r="B1365" s="497" t="s">
        <v>709</v>
      </c>
      <c r="C1365" s="435" t="s">
        <v>5</v>
      </c>
      <c r="D1365" s="163" t="s">
        <v>4</v>
      </c>
      <c r="E1365" s="463" t="s">
        <v>34</v>
      </c>
      <c r="F1365" s="185" t="s">
        <v>192</v>
      </c>
      <c r="G1365" s="164"/>
      <c r="H1365" s="464">
        <v>70411</v>
      </c>
      <c r="I1365" s="364" t="s">
        <v>707</v>
      </c>
      <c r="J1365" s="393">
        <f>10000000+60000000</f>
        <v>70000000</v>
      </c>
      <c r="K1365" s="393">
        <v>29400000</v>
      </c>
      <c r="L1365" s="394"/>
      <c r="M1365" s="394" t="s">
        <v>5133</v>
      </c>
      <c r="N1365" s="160">
        <v>80000000</v>
      </c>
      <c r="O1365" s="162" t="s">
        <v>709</v>
      </c>
    </row>
    <row r="1366" spans="1:15" ht="51" customHeight="1" x14ac:dyDescent="0.35">
      <c r="A1366" s="419" t="s">
        <v>3105</v>
      </c>
      <c r="B1366" s="497" t="s">
        <v>3075</v>
      </c>
      <c r="C1366" s="435" t="s">
        <v>188</v>
      </c>
      <c r="D1366" s="163" t="s">
        <v>4</v>
      </c>
      <c r="E1366" s="463" t="s">
        <v>34</v>
      </c>
      <c r="F1366" s="185" t="s">
        <v>192</v>
      </c>
      <c r="G1366" s="142"/>
      <c r="H1366" s="464">
        <v>70411</v>
      </c>
      <c r="I1366" s="364" t="s">
        <v>707</v>
      </c>
      <c r="J1366" s="393">
        <v>6900000</v>
      </c>
      <c r="K1366" s="393">
        <v>2900000</v>
      </c>
      <c r="L1366" s="394"/>
      <c r="M1366" s="394" t="s">
        <v>5133</v>
      </c>
      <c r="N1366" s="160">
        <v>2000000</v>
      </c>
      <c r="O1366" s="162" t="s">
        <v>3075</v>
      </c>
    </row>
    <row r="1367" spans="1:15" ht="55.5" customHeight="1" x14ac:dyDescent="0.35">
      <c r="A1367" s="419" t="s">
        <v>3106</v>
      </c>
      <c r="B1367" s="497" t="s">
        <v>3076</v>
      </c>
      <c r="C1367" s="435" t="s">
        <v>5</v>
      </c>
      <c r="D1367" s="163" t="s">
        <v>4</v>
      </c>
      <c r="E1367" s="463" t="s">
        <v>34</v>
      </c>
      <c r="F1367" s="381" t="s">
        <v>1000</v>
      </c>
      <c r="G1367" s="164"/>
      <c r="H1367" s="464">
        <v>70411</v>
      </c>
      <c r="I1367" s="142" t="s">
        <v>907</v>
      </c>
      <c r="J1367" s="393">
        <f>16100000+110000000</f>
        <v>126100000</v>
      </c>
      <c r="K1367" s="393">
        <v>32962000</v>
      </c>
      <c r="L1367" s="394"/>
      <c r="M1367" s="394" t="s">
        <v>5133</v>
      </c>
      <c r="N1367" s="160">
        <v>500000</v>
      </c>
      <c r="O1367" s="162" t="s">
        <v>3076</v>
      </c>
    </row>
    <row r="1368" spans="1:15" ht="60" customHeight="1" x14ac:dyDescent="0.35">
      <c r="A1368" s="419" t="s">
        <v>3107</v>
      </c>
      <c r="B1368" s="497" t="s">
        <v>713</v>
      </c>
      <c r="C1368" s="435" t="s">
        <v>615</v>
      </c>
      <c r="D1368" s="163" t="s">
        <v>4</v>
      </c>
      <c r="E1368" s="463" t="s">
        <v>34</v>
      </c>
      <c r="F1368" s="381" t="s">
        <v>1000</v>
      </c>
      <c r="G1368" s="164"/>
      <c r="H1368" s="464">
        <v>70411</v>
      </c>
      <c r="I1368" s="364" t="s">
        <v>523</v>
      </c>
      <c r="J1368" s="393">
        <v>1000000</v>
      </c>
      <c r="K1368" s="393"/>
      <c r="L1368" s="394"/>
      <c r="M1368" s="394" t="s">
        <v>5133</v>
      </c>
      <c r="N1368" s="160">
        <v>257064005.44</v>
      </c>
      <c r="O1368" s="162" t="s">
        <v>713</v>
      </c>
    </row>
    <row r="1369" spans="1:15" ht="54.75" customHeight="1" x14ac:dyDescent="0.35">
      <c r="A1369" s="419" t="s">
        <v>3108</v>
      </c>
      <c r="B1369" s="497" t="s">
        <v>3077</v>
      </c>
      <c r="C1369" s="462" t="s">
        <v>5</v>
      </c>
      <c r="D1369" s="163" t="s">
        <v>4</v>
      </c>
      <c r="E1369" s="463" t="s">
        <v>34</v>
      </c>
      <c r="F1369" s="467" t="s">
        <v>998</v>
      </c>
      <c r="G1369" s="142"/>
      <c r="H1369" s="464">
        <v>70411</v>
      </c>
      <c r="I1369" s="142" t="s">
        <v>168</v>
      </c>
      <c r="J1369" s="393">
        <v>1000000</v>
      </c>
      <c r="K1369" s="393">
        <v>420000</v>
      </c>
      <c r="L1369" s="394"/>
      <c r="M1369" s="394" t="s">
        <v>5133</v>
      </c>
      <c r="N1369" s="160">
        <v>98936362</v>
      </c>
      <c r="O1369" s="162" t="s">
        <v>3077</v>
      </c>
    </row>
    <row r="1370" spans="1:15" ht="54" customHeight="1" x14ac:dyDescent="0.35">
      <c r="A1370" s="419" t="s">
        <v>3109</v>
      </c>
      <c r="B1370" s="497" t="s">
        <v>3078</v>
      </c>
      <c r="C1370" s="462" t="s">
        <v>309</v>
      </c>
      <c r="D1370" s="163" t="s">
        <v>4</v>
      </c>
      <c r="E1370" s="463" t="s">
        <v>34</v>
      </c>
      <c r="F1370" s="465" t="s">
        <v>110</v>
      </c>
      <c r="G1370" s="164"/>
      <c r="H1370" s="466">
        <v>70451</v>
      </c>
      <c r="I1370" s="142" t="s">
        <v>168</v>
      </c>
      <c r="J1370" s="393">
        <v>350000</v>
      </c>
      <c r="K1370" s="393"/>
      <c r="L1370" s="394"/>
      <c r="M1370" s="394" t="s">
        <v>5133</v>
      </c>
      <c r="N1370" s="160">
        <v>17898191.699999999</v>
      </c>
      <c r="O1370" s="162" t="s">
        <v>3078</v>
      </c>
    </row>
    <row r="1371" spans="1:15" ht="52.5" customHeight="1" x14ac:dyDescent="0.35">
      <c r="A1371" s="419" t="s">
        <v>3110</v>
      </c>
      <c r="B1371" s="497" t="s">
        <v>970</v>
      </c>
      <c r="C1371" s="462" t="s">
        <v>309</v>
      </c>
      <c r="D1371" s="163" t="s">
        <v>4</v>
      </c>
      <c r="E1371" s="463" t="s">
        <v>34</v>
      </c>
      <c r="F1371" s="464" t="s">
        <v>62</v>
      </c>
      <c r="G1371" s="153"/>
      <c r="H1371" s="464">
        <v>70411</v>
      </c>
      <c r="I1371" s="142" t="s">
        <v>168</v>
      </c>
      <c r="J1371" s="393">
        <v>7000000</v>
      </c>
      <c r="K1371" s="393"/>
      <c r="L1371" s="394"/>
      <c r="M1371" s="394" t="s">
        <v>5133</v>
      </c>
      <c r="N1371" s="160">
        <v>100000000</v>
      </c>
      <c r="O1371" s="162" t="s">
        <v>970</v>
      </c>
    </row>
    <row r="1372" spans="1:15" ht="45" customHeight="1" x14ac:dyDescent="0.35">
      <c r="A1372" s="419" t="s">
        <v>3111</v>
      </c>
      <c r="B1372" s="497" t="s">
        <v>714</v>
      </c>
      <c r="C1372" s="462" t="s">
        <v>309</v>
      </c>
      <c r="D1372" s="163" t="s">
        <v>4</v>
      </c>
      <c r="E1372" s="463" t="s">
        <v>34</v>
      </c>
      <c r="F1372" s="467" t="s">
        <v>3088</v>
      </c>
      <c r="G1372" s="164"/>
      <c r="H1372" s="464">
        <v>70411</v>
      </c>
      <c r="I1372" s="142" t="s">
        <v>168</v>
      </c>
      <c r="J1372" s="393">
        <v>4500000</v>
      </c>
      <c r="K1372" s="393">
        <v>1890000</v>
      </c>
      <c r="L1372" s="394"/>
      <c r="M1372" s="394" t="s">
        <v>5133</v>
      </c>
      <c r="N1372" s="161">
        <v>200000000</v>
      </c>
      <c r="O1372" s="162" t="s">
        <v>714</v>
      </c>
    </row>
    <row r="1373" spans="1:15" ht="32.25" customHeight="1" x14ac:dyDescent="0.35">
      <c r="A1373" s="419" t="s">
        <v>3112</v>
      </c>
      <c r="B1373" s="497" t="s">
        <v>57</v>
      </c>
      <c r="C1373" s="462" t="s">
        <v>309</v>
      </c>
      <c r="D1373" s="163" t="s">
        <v>4</v>
      </c>
      <c r="E1373" s="463" t="s">
        <v>34</v>
      </c>
      <c r="F1373" s="467" t="s">
        <v>988</v>
      </c>
      <c r="G1373" s="164"/>
      <c r="H1373" s="464">
        <v>70411</v>
      </c>
      <c r="I1373" s="142" t="s">
        <v>168</v>
      </c>
      <c r="J1373" s="393">
        <v>500000</v>
      </c>
      <c r="K1373" s="393">
        <v>500000</v>
      </c>
      <c r="L1373" s="394"/>
      <c r="M1373" s="394" t="s">
        <v>5133</v>
      </c>
      <c r="N1373" s="161">
        <v>31000000</v>
      </c>
      <c r="O1373" s="162" t="s">
        <v>57</v>
      </c>
    </row>
    <row r="1374" spans="1:15" ht="51.75" customHeight="1" x14ac:dyDescent="0.35">
      <c r="A1374" s="419" t="s">
        <v>3113</v>
      </c>
      <c r="B1374" s="497" t="s">
        <v>3079</v>
      </c>
      <c r="C1374" s="462" t="s">
        <v>5</v>
      </c>
      <c r="D1374" s="163" t="s">
        <v>4</v>
      </c>
      <c r="E1374" s="463" t="s">
        <v>34</v>
      </c>
      <c r="F1374" s="381" t="s">
        <v>985</v>
      </c>
      <c r="G1374" s="142"/>
      <c r="H1374" s="464">
        <v>70411</v>
      </c>
      <c r="I1374" s="142" t="s">
        <v>906</v>
      </c>
      <c r="J1374" s="393">
        <v>7000000</v>
      </c>
      <c r="K1374" s="393">
        <v>4038534</v>
      </c>
      <c r="L1374" s="394"/>
      <c r="M1374" s="394" t="s">
        <v>5133</v>
      </c>
      <c r="N1374" s="160">
        <v>21700000</v>
      </c>
      <c r="O1374" s="162" t="s">
        <v>3079</v>
      </c>
    </row>
    <row r="1375" spans="1:15" ht="58.5" customHeight="1" x14ac:dyDescent="0.35">
      <c r="A1375" s="419" t="s">
        <v>3114</v>
      </c>
      <c r="B1375" s="497" t="s">
        <v>3080</v>
      </c>
      <c r="C1375" s="462" t="s">
        <v>5</v>
      </c>
      <c r="D1375" s="163" t="s">
        <v>4</v>
      </c>
      <c r="E1375" s="463" t="s">
        <v>34</v>
      </c>
      <c r="F1375" s="467" t="s">
        <v>983</v>
      </c>
      <c r="G1375" s="164"/>
      <c r="H1375" s="464">
        <v>70411</v>
      </c>
      <c r="I1375" s="364" t="s">
        <v>707</v>
      </c>
      <c r="J1375" s="393">
        <v>6000000</v>
      </c>
      <c r="K1375" s="393"/>
      <c r="L1375" s="394"/>
      <c r="M1375" s="394" t="s">
        <v>5133</v>
      </c>
      <c r="N1375" s="160">
        <v>1000000</v>
      </c>
      <c r="O1375" s="162" t="s">
        <v>3080</v>
      </c>
    </row>
    <row r="1376" spans="1:15" ht="56.25" customHeight="1" x14ac:dyDescent="0.35">
      <c r="A1376" s="419" t="s">
        <v>3115</v>
      </c>
      <c r="B1376" s="497" t="s">
        <v>3081</v>
      </c>
      <c r="C1376" s="462" t="s">
        <v>5</v>
      </c>
      <c r="D1376" s="163" t="s">
        <v>4</v>
      </c>
      <c r="E1376" s="463" t="s">
        <v>34</v>
      </c>
      <c r="F1376" s="185" t="s">
        <v>105</v>
      </c>
      <c r="G1376" s="164"/>
      <c r="H1376" s="464">
        <v>70411</v>
      </c>
      <c r="I1376" s="364" t="s">
        <v>715</v>
      </c>
      <c r="J1376" s="393">
        <f>2000000+1227240</f>
        <v>3227240</v>
      </c>
      <c r="K1376" s="393"/>
      <c r="L1376" s="394"/>
      <c r="M1376" s="394" t="s">
        <v>5133</v>
      </c>
      <c r="N1376" s="160">
        <v>500000</v>
      </c>
      <c r="O1376" s="162" t="s">
        <v>3081</v>
      </c>
    </row>
    <row r="1377" spans="1:16" ht="60" customHeight="1" x14ac:dyDescent="0.35">
      <c r="A1377" s="419" t="s">
        <v>3116</v>
      </c>
      <c r="B1377" s="497" t="s">
        <v>3082</v>
      </c>
      <c r="C1377" s="462" t="s">
        <v>5</v>
      </c>
      <c r="D1377" s="163" t="s">
        <v>4</v>
      </c>
      <c r="E1377" s="463" t="s">
        <v>34</v>
      </c>
      <c r="F1377" s="185" t="s">
        <v>110</v>
      </c>
      <c r="G1377" s="164"/>
      <c r="H1377" s="464">
        <v>70411</v>
      </c>
      <c r="I1377" s="364" t="s">
        <v>715</v>
      </c>
      <c r="J1377" s="393">
        <v>1000000</v>
      </c>
      <c r="K1377" s="393">
        <v>3175000</v>
      </c>
      <c r="L1377" s="394"/>
      <c r="M1377" s="394" t="s">
        <v>5133</v>
      </c>
      <c r="N1377" s="160">
        <v>691100</v>
      </c>
      <c r="O1377" s="162" t="s">
        <v>3082</v>
      </c>
    </row>
    <row r="1378" spans="1:16" ht="61.5" customHeight="1" x14ac:dyDescent="0.35">
      <c r="A1378" s="419" t="s">
        <v>3117</v>
      </c>
      <c r="B1378" s="497" t="s">
        <v>3083</v>
      </c>
      <c r="C1378" s="462" t="s">
        <v>5</v>
      </c>
      <c r="D1378" s="163" t="s">
        <v>4</v>
      </c>
      <c r="E1378" s="463" t="s">
        <v>34</v>
      </c>
      <c r="F1378" s="185" t="s">
        <v>54</v>
      </c>
      <c r="G1378" s="164"/>
      <c r="H1378" s="464">
        <v>70411</v>
      </c>
      <c r="I1378" s="142" t="s">
        <v>906</v>
      </c>
      <c r="J1378" s="393">
        <v>2000000</v>
      </c>
      <c r="K1378" s="393">
        <v>1700000</v>
      </c>
      <c r="L1378" s="394"/>
      <c r="M1378" s="394" t="s">
        <v>5133</v>
      </c>
      <c r="N1378" s="160">
        <v>36058207.5</v>
      </c>
      <c r="O1378" s="162" t="s">
        <v>3083</v>
      </c>
    </row>
    <row r="1379" spans="1:16" ht="45" customHeight="1" x14ac:dyDescent="0.35">
      <c r="A1379" s="419" t="s">
        <v>3118</v>
      </c>
      <c r="B1379" s="497" t="s">
        <v>3084</v>
      </c>
      <c r="C1379" s="462" t="s">
        <v>5</v>
      </c>
      <c r="D1379" s="163" t="s">
        <v>4</v>
      </c>
      <c r="E1379" s="463" t="s">
        <v>34</v>
      </c>
      <c r="F1379" s="185" t="s">
        <v>110</v>
      </c>
      <c r="G1379" s="164"/>
      <c r="H1379" s="464">
        <v>70411</v>
      </c>
      <c r="I1379" s="364" t="s">
        <v>707</v>
      </c>
      <c r="J1379" s="393">
        <v>2000000</v>
      </c>
      <c r="K1379" s="393"/>
      <c r="L1379" s="394"/>
      <c r="M1379" s="394" t="s">
        <v>5133</v>
      </c>
      <c r="N1379" s="160">
        <v>146133137</v>
      </c>
      <c r="O1379" s="162" t="s">
        <v>3084</v>
      </c>
    </row>
    <row r="1380" spans="1:16" ht="42" customHeight="1" x14ac:dyDescent="0.35">
      <c r="A1380" s="419" t="s">
        <v>3119</v>
      </c>
      <c r="B1380" s="497" t="s">
        <v>3085</v>
      </c>
      <c r="C1380" s="462" t="s">
        <v>5</v>
      </c>
      <c r="D1380" s="163" t="s">
        <v>4</v>
      </c>
      <c r="E1380" s="463" t="s">
        <v>34</v>
      </c>
      <c r="F1380" s="185" t="s">
        <v>245</v>
      </c>
      <c r="G1380" s="164"/>
      <c r="H1380" s="468">
        <v>70411</v>
      </c>
      <c r="I1380" s="164" t="s">
        <v>900</v>
      </c>
      <c r="J1380" s="393">
        <v>50000000</v>
      </c>
      <c r="K1380" s="393">
        <v>19502293</v>
      </c>
      <c r="L1380" s="394"/>
      <c r="M1380" s="394" t="s">
        <v>5133</v>
      </c>
      <c r="N1380" s="160">
        <v>146133137</v>
      </c>
      <c r="O1380" s="162" t="s">
        <v>3085</v>
      </c>
    </row>
    <row r="1381" spans="1:16" ht="39.75" customHeight="1" x14ac:dyDescent="0.35">
      <c r="A1381" s="419" t="s">
        <v>3120</v>
      </c>
      <c r="B1381" s="497" t="s">
        <v>3086</v>
      </c>
      <c r="C1381" s="451" t="s">
        <v>309</v>
      </c>
      <c r="D1381" s="163" t="s">
        <v>4</v>
      </c>
      <c r="E1381" s="463" t="s">
        <v>34</v>
      </c>
      <c r="F1381" s="185" t="s">
        <v>105</v>
      </c>
      <c r="G1381" s="364"/>
      <c r="H1381" s="468">
        <v>70411</v>
      </c>
      <c r="I1381" s="142" t="s">
        <v>904</v>
      </c>
      <c r="J1381" s="393">
        <v>500000</v>
      </c>
      <c r="K1381" s="393"/>
      <c r="L1381" s="394"/>
      <c r="M1381" s="394" t="s">
        <v>5133</v>
      </c>
      <c r="N1381" s="160">
        <v>559600</v>
      </c>
      <c r="O1381" s="162" t="s">
        <v>3086</v>
      </c>
    </row>
    <row r="1382" spans="1:16" ht="32.25" customHeight="1" x14ac:dyDescent="0.35">
      <c r="A1382" s="419" t="s">
        <v>3121</v>
      </c>
      <c r="B1382" s="497" t="s">
        <v>712</v>
      </c>
      <c r="C1382" s="420" t="s">
        <v>475</v>
      </c>
      <c r="D1382" s="332" t="s">
        <v>4</v>
      </c>
      <c r="E1382" s="452" t="s">
        <v>34</v>
      </c>
      <c r="F1382" s="452" t="s">
        <v>522</v>
      </c>
      <c r="G1382" s="365"/>
      <c r="H1382" s="467">
        <v>70451</v>
      </c>
      <c r="I1382" s="364" t="s">
        <v>523</v>
      </c>
      <c r="J1382" s="393">
        <f>40000000+190000000</f>
        <v>230000000</v>
      </c>
      <c r="K1382" s="393">
        <v>66000000</v>
      </c>
      <c r="L1382" s="394"/>
      <c r="M1382" s="394" t="s">
        <v>5133</v>
      </c>
      <c r="N1382" s="160">
        <v>257064005.44</v>
      </c>
      <c r="O1382" s="162" t="s">
        <v>712</v>
      </c>
    </row>
    <row r="1383" spans="1:16" ht="43.5" customHeight="1" x14ac:dyDescent="0.35">
      <c r="A1383" s="419" t="s">
        <v>3122</v>
      </c>
      <c r="B1383" s="497" t="s">
        <v>4660</v>
      </c>
      <c r="C1383" s="420" t="s">
        <v>5</v>
      </c>
      <c r="D1383" s="332" t="s">
        <v>4</v>
      </c>
      <c r="E1383" s="452" t="s">
        <v>34</v>
      </c>
      <c r="F1383" s="452" t="s">
        <v>192</v>
      </c>
      <c r="G1383" s="469"/>
      <c r="H1383" s="467">
        <v>70452</v>
      </c>
      <c r="I1383" s="142" t="s">
        <v>168</v>
      </c>
      <c r="J1383" s="393">
        <v>15000000</v>
      </c>
      <c r="K1383" s="393"/>
      <c r="L1383" s="394"/>
      <c r="M1383" s="394" t="s">
        <v>5133</v>
      </c>
      <c r="N1383" s="160">
        <v>100000000</v>
      </c>
      <c r="O1383" s="162" t="s">
        <v>710</v>
      </c>
      <c r="P1383" s="231" t="s">
        <v>5084</v>
      </c>
    </row>
    <row r="1384" spans="1:16" ht="37.5" customHeight="1" x14ac:dyDescent="0.35">
      <c r="A1384" s="419" t="s">
        <v>3123</v>
      </c>
      <c r="B1384" s="523" t="s">
        <v>4692</v>
      </c>
      <c r="C1384" s="420" t="s">
        <v>5</v>
      </c>
      <c r="D1384" s="332" t="s">
        <v>4</v>
      </c>
      <c r="E1384" s="452" t="s">
        <v>34</v>
      </c>
      <c r="F1384" s="452" t="s">
        <v>192</v>
      </c>
      <c r="G1384" s="469"/>
      <c r="H1384" s="467">
        <v>70452</v>
      </c>
      <c r="I1384" s="142" t="s">
        <v>168</v>
      </c>
      <c r="J1384" s="393">
        <v>250000000</v>
      </c>
      <c r="K1384" s="393">
        <v>170000000</v>
      </c>
      <c r="L1384" s="394"/>
      <c r="M1384" s="394" t="s">
        <v>5133</v>
      </c>
      <c r="N1384" s="413"/>
      <c r="O1384" s="419"/>
    </row>
    <row r="1385" spans="1:16" ht="66" customHeight="1" x14ac:dyDescent="0.35">
      <c r="A1385" s="419" t="s">
        <v>3124</v>
      </c>
      <c r="B1385" s="523" t="s">
        <v>4656</v>
      </c>
      <c r="C1385" s="420" t="s">
        <v>5</v>
      </c>
      <c r="D1385" s="332" t="s">
        <v>4</v>
      </c>
      <c r="E1385" s="452" t="s">
        <v>34</v>
      </c>
      <c r="F1385" s="452" t="s">
        <v>192</v>
      </c>
      <c r="G1385" s="469"/>
      <c r="H1385" s="467">
        <v>70452</v>
      </c>
      <c r="I1385" s="142" t="s">
        <v>168</v>
      </c>
      <c r="J1385" s="393">
        <v>75000000</v>
      </c>
      <c r="K1385" s="393">
        <v>48000000</v>
      </c>
      <c r="L1385" s="394"/>
      <c r="M1385" s="394" t="s">
        <v>5133</v>
      </c>
      <c r="N1385" s="413"/>
      <c r="O1385" s="419"/>
    </row>
    <row r="1386" spans="1:16" ht="39" customHeight="1" x14ac:dyDescent="0.35">
      <c r="A1386" s="419" t="s">
        <v>4042</v>
      </c>
      <c r="B1386" s="523" t="s">
        <v>4658</v>
      </c>
      <c r="C1386" s="420" t="s">
        <v>5</v>
      </c>
      <c r="D1386" s="332" t="s">
        <v>4</v>
      </c>
      <c r="E1386" s="452" t="s">
        <v>34</v>
      </c>
      <c r="F1386" s="452" t="s">
        <v>192</v>
      </c>
      <c r="G1386" s="469"/>
      <c r="H1386" s="467">
        <v>70452</v>
      </c>
      <c r="I1386" s="142" t="s">
        <v>168</v>
      </c>
      <c r="J1386" s="393">
        <v>75000000</v>
      </c>
      <c r="K1386" s="393">
        <v>48000000</v>
      </c>
      <c r="L1386" s="394"/>
      <c r="M1386" s="394" t="s">
        <v>5133</v>
      </c>
      <c r="N1386" s="413"/>
      <c r="O1386" s="419"/>
    </row>
    <row r="1387" spans="1:16" ht="39" customHeight="1" x14ac:dyDescent="0.35">
      <c r="A1387" s="419"/>
      <c r="B1387" s="523" t="s">
        <v>4659</v>
      </c>
      <c r="C1387" s="420" t="s">
        <v>5</v>
      </c>
      <c r="D1387" s="332" t="s">
        <v>4</v>
      </c>
      <c r="E1387" s="452" t="s">
        <v>34</v>
      </c>
      <c r="F1387" s="452" t="s">
        <v>192</v>
      </c>
      <c r="G1387" s="469"/>
      <c r="H1387" s="467">
        <v>70452</v>
      </c>
      <c r="I1387" s="142" t="s">
        <v>168</v>
      </c>
      <c r="J1387" s="393">
        <v>75000000</v>
      </c>
      <c r="K1387" s="393">
        <v>48000000</v>
      </c>
      <c r="L1387" s="394"/>
      <c r="M1387" s="394" t="s">
        <v>5133</v>
      </c>
      <c r="N1387" s="413"/>
      <c r="O1387" s="419"/>
    </row>
    <row r="1388" spans="1:16" ht="39" customHeight="1" x14ac:dyDescent="0.35">
      <c r="A1388" s="419" t="s">
        <v>4043</v>
      </c>
      <c r="B1388" s="523" t="s">
        <v>4824</v>
      </c>
      <c r="C1388" s="420" t="s">
        <v>5</v>
      </c>
      <c r="D1388" s="332" t="s">
        <v>4</v>
      </c>
      <c r="E1388" s="452" t="s">
        <v>34</v>
      </c>
      <c r="F1388" s="452" t="s">
        <v>192</v>
      </c>
      <c r="G1388" s="469"/>
      <c r="H1388" s="467">
        <v>70452</v>
      </c>
      <c r="I1388" s="142" t="s">
        <v>168</v>
      </c>
      <c r="J1388" s="393">
        <v>200000000</v>
      </c>
      <c r="K1388" s="393">
        <v>50000000</v>
      </c>
      <c r="L1388" s="394"/>
      <c r="M1388" s="394" t="s">
        <v>5133</v>
      </c>
      <c r="N1388" s="413"/>
      <c r="O1388" s="419"/>
    </row>
    <row r="1389" spans="1:16" ht="39" customHeight="1" x14ac:dyDescent="0.35">
      <c r="A1389" s="419" t="s">
        <v>4654</v>
      </c>
      <c r="B1389" s="523" t="s">
        <v>3611</v>
      </c>
      <c r="C1389" s="457">
        <v>216</v>
      </c>
      <c r="D1389" s="141" t="s">
        <v>4</v>
      </c>
      <c r="E1389" s="452" t="s">
        <v>34</v>
      </c>
      <c r="F1389" s="180">
        <v>31050411</v>
      </c>
      <c r="G1389" s="180"/>
      <c r="H1389" s="180">
        <v>70443</v>
      </c>
      <c r="I1389" s="142" t="s">
        <v>168</v>
      </c>
      <c r="J1389" s="393">
        <v>50000000</v>
      </c>
      <c r="K1389" s="393"/>
      <c r="L1389" s="394"/>
      <c r="M1389" s="394" t="s">
        <v>5133</v>
      </c>
      <c r="N1389" s="413"/>
      <c r="O1389" s="419"/>
    </row>
    <row r="1390" spans="1:16" ht="61.5" customHeight="1" x14ac:dyDescent="0.35">
      <c r="A1390" s="419" t="s">
        <v>4655</v>
      </c>
      <c r="B1390" s="523" t="s">
        <v>3612</v>
      </c>
      <c r="C1390" s="165" t="s">
        <v>5</v>
      </c>
      <c r="D1390" s="141" t="s">
        <v>4</v>
      </c>
      <c r="E1390" s="463" t="s">
        <v>34</v>
      </c>
      <c r="F1390" s="163" t="s">
        <v>110</v>
      </c>
      <c r="G1390" s="238"/>
      <c r="H1390" s="141" t="s">
        <v>19</v>
      </c>
      <c r="I1390" s="142" t="s">
        <v>906</v>
      </c>
      <c r="J1390" s="393">
        <v>50000000</v>
      </c>
      <c r="K1390" s="393">
        <v>21000000</v>
      </c>
      <c r="L1390" s="394"/>
      <c r="M1390" s="394" t="s">
        <v>5133</v>
      </c>
      <c r="N1390" s="413"/>
      <c r="O1390" s="419"/>
    </row>
    <row r="1391" spans="1:16" ht="32.25" customHeight="1" x14ac:dyDescent="0.35">
      <c r="A1391" s="245"/>
      <c r="B1391" s="360" t="s">
        <v>1008</v>
      </c>
      <c r="C1391" s="175"/>
      <c r="D1391" s="171"/>
      <c r="E1391" s="421"/>
      <c r="F1391" s="171"/>
      <c r="G1391" s="421"/>
      <c r="H1391" s="171"/>
      <c r="I1391" s="421"/>
      <c r="J1391" s="177">
        <f>SUM(J1360:J1390)</f>
        <v>1438727240</v>
      </c>
      <c r="K1391" s="177">
        <f>SUM(K1360:K1390)</f>
        <v>584706827</v>
      </c>
      <c r="L1391" s="189"/>
      <c r="M1391" s="189"/>
      <c r="N1391" s="177">
        <f>SUM(N1360:N1383)</f>
        <v>2017445745.3800001</v>
      </c>
      <c r="O1391" s="245" t="s">
        <v>1008</v>
      </c>
    </row>
    <row r="1392" spans="1:16" s="247" customFormat="1" ht="31.5" customHeight="1" x14ac:dyDescent="0.35">
      <c r="A1392" s="286"/>
      <c r="B1392" s="492"/>
      <c r="C1392" s="155"/>
      <c r="D1392" s="154"/>
      <c r="E1392" s="422"/>
      <c r="F1392" s="154"/>
      <c r="G1392" s="422"/>
      <c r="H1392" s="154"/>
      <c r="I1392" s="422"/>
      <c r="J1392" s="157"/>
      <c r="K1392" s="628"/>
      <c r="L1392" s="706"/>
      <c r="M1392" s="706"/>
      <c r="N1392" s="157"/>
      <c r="O1392" s="286"/>
      <c r="P1392" s="246"/>
    </row>
    <row r="1393" spans="1:16" ht="33" customHeight="1" x14ac:dyDescent="0.35">
      <c r="A1393" s="428" t="s">
        <v>3100</v>
      </c>
      <c r="B1393" s="583"/>
      <c r="C1393" s="429"/>
      <c r="D1393" s="430"/>
      <c r="E1393" s="494"/>
      <c r="F1393" s="430"/>
      <c r="G1393" s="494"/>
      <c r="H1393" s="430"/>
      <c r="I1393" s="494"/>
      <c r="J1393" s="495"/>
      <c r="K1393" s="458"/>
      <c r="L1393" s="704"/>
      <c r="M1393" s="704"/>
      <c r="N1393" s="495"/>
      <c r="O1393" s="357"/>
    </row>
    <row r="1394" spans="1:16" ht="75.75" customHeight="1" x14ac:dyDescent="0.35">
      <c r="A1394" s="360" t="s">
        <v>1007</v>
      </c>
      <c r="B1394" s="360" t="s">
        <v>50</v>
      </c>
      <c r="C1394" s="175" t="s">
        <v>898</v>
      </c>
      <c r="D1394" s="257" t="s">
        <v>52</v>
      </c>
      <c r="E1394" s="273" t="s">
        <v>49</v>
      </c>
      <c r="F1394" s="257" t="s">
        <v>1</v>
      </c>
      <c r="G1394" s="176"/>
      <c r="H1394" s="171" t="s">
        <v>51</v>
      </c>
      <c r="I1394" s="176" t="s">
        <v>2</v>
      </c>
      <c r="J1394" s="177" t="s">
        <v>4862</v>
      </c>
      <c r="K1394" s="189" t="s">
        <v>5140</v>
      </c>
      <c r="L1394" s="623" t="s">
        <v>5132</v>
      </c>
      <c r="M1394" s="623" t="s">
        <v>5132</v>
      </c>
      <c r="N1394" s="177" t="s">
        <v>1006</v>
      </c>
      <c r="O1394" s="178" t="s">
        <v>50</v>
      </c>
    </row>
    <row r="1395" spans="1:16" ht="33" customHeight="1" x14ac:dyDescent="0.35">
      <c r="A1395" s="419" t="s">
        <v>3125</v>
      </c>
      <c r="B1395" s="497" t="s">
        <v>60</v>
      </c>
      <c r="C1395" s="462" t="s">
        <v>5</v>
      </c>
      <c r="D1395" s="163" t="s">
        <v>4</v>
      </c>
      <c r="E1395" s="463" t="s">
        <v>34</v>
      </c>
      <c r="F1395" s="467" t="s">
        <v>983</v>
      </c>
      <c r="G1395" s="164"/>
      <c r="H1395" s="468">
        <v>70411</v>
      </c>
      <c r="I1395" s="364" t="s">
        <v>707</v>
      </c>
      <c r="J1395" s="144">
        <v>10000000</v>
      </c>
      <c r="K1395" s="627"/>
      <c r="L1395" s="394"/>
      <c r="M1395" s="394" t="s">
        <v>5133</v>
      </c>
      <c r="N1395" s="160">
        <v>8369100</v>
      </c>
      <c r="O1395" s="162" t="s">
        <v>3074</v>
      </c>
    </row>
    <row r="1396" spans="1:16" ht="33.75" customHeight="1" x14ac:dyDescent="0.35">
      <c r="A1396" s="419" t="s">
        <v>3126</v>
      </c>
      <c r="B1396" s="497" t="s">
        <v>3608</v>
      </c>
      <c r="C1396" s="462" t="s">
        <v>5</v>
      </c>
      <c r="D1396" s="163" t="s">
        <v>4</v>
      </c>
      <c r="E1396" s="463" t="s">
        <v>34</v>
      </c>
      <c r="F1396" s="468" t="s">
        <v>62</v>
      </c>
      <c r="G1396" s="364"/>
      <c r="H1396" s="468">
        <v>70411</v>
      </c>
      <c r="I1396" s="364" t="s">
        <v>707</v>
      </c>
      <c r="J1396" s="144">
        <f>16000000+14000000</f>
        <v>30000000</v>
      </c>
      <c r="K1396" s="627"/>
      <c r="L1396" s="394"/>
      <c r="M1396" s="394" t="s">
        <v>5133</v>
      </c>
      <c r="N1396" s="160">
        <v>4000000</v>
      </c>
      <c r="O1396" s="162" t="s">
        <v>3367</v>
      </c>
    </row>
    <row r="1397" spans="1:16" ht="36" customHeight="1" x14ac:dyDescent="0.35">
      <c r="A1397" s="419" t="s">
        <v>3609</v>
      </c>
      <c r="B1397" s="497" t="s">
        <v>96</v>
      </c>
      <c r="C1397" s="363" t="s">
        <v>5</v>
      </c>
      <c r="D1397" s="253" t="s">
        <v>4</v>
      </c>
      <c r="E1397" s="332" t="s">
        <v>716</v>
      </c>
      <c r="F1397" s="163" t="s">
        <v>147</v>
      </c>
      <c r="G1397" s="164"/>
      <c r="H1397" s="141">
        <v>70443</v>
      </c>
      <c r="I1397" s="364" t="s">
        <v>148</v>
      </c>
      <c r="J1397" s="144">
        <v>14000000</v>
      </c>
      <c r="K1397" s="627">
        <f>2924609.89+19268760</f>
        <v>22193369.890000001</v>
      </c>
      <c r="L1397" s="394"/>
      <c r="M1397" s="394" t="s">
        <v>5133</v>
      </c>
      <c r="N1397" s="160"/>
      <c r="O1397" s="162"/>
    </row>
    <row r="1398" spans="1:16" ht="44.25" customHeight="1" x14ac:dyDescent="0.35">
      <c r="A1398" s="419" t="s">
        <v>3610</v>
      </c>
      <c r="B1398" s="497" t="s">
        <v>1003</v>
      </c>
      <c r="C1398" s="290" t="s">
        <v>5</v>
      </c>
      <c r="D1398" s="145" t="s">
        <v>4</v>
      </c>
      <c r="E1398" s="237" t="s">
        <v>38</v>
      </c>
      <c r="F1398" s="145" t="s">
        <v>549</v>
      </c>
      <c r="G1398" s="364"/>
      <c r="H1398" s="141">
        <v>70451</v>
      </c>
      <c r="I1398" s="142" t="s">
        <v>904</v>
      </c>
      <c r="J1398" s="144">
        <f>20000000+5000000</f>
        <v>25000000</v>
      </c>
      <c r="K1398" s="627"/>
      <c r="L1398" s="394"/>
      <c r="M1398" s="394" t="s">
        <v>5133</v>
      </c>
      <c r="N1398" s="160">
        <v>1275000</v>
      </c>
      <c r="O1398" s="162" t="s">
        <v>1003</v>
      </c>
    </row>
    <row r="1399" spans="1:16" ht="44.25" customHeight="1" x14ac:dyDescent="0.35">
      <c r="A1399" s="419" t="s">
        <v>4802</v>
      </c>
      <c r="B1399" s="348" t="s">
        <v>822</v>
      </c>
      <c r="C1399" s="165" t="s">
        <v>5</v>
      </c>
      <c r="D1399" s="141" t="s">
        <v>4</v>
      </c>
      <c r="E1399" s="237" t="s">
        <v>820</v>
      </c>
      <c r="F1399" s="163" t="s">
        <v>147</v>
      </c>
      <c r="G1399" s="169"/>
      <c r="H1399" s="141" t="s">
        <v>47</v>
      </c>
      <c r="I1399" s="142" t="s">
        <v>148</v>
      </c>
      <c r="J1399" s="144">
        <v>25000000</v>
      </c>
      <c r="K1399" s="627">
        <v>12408342.109999999</v>
      </c>
      <c r="L1399" s="394"/>
      <c r="M1399" s="394" t="s">
        <v>5133</v>
      </c>
      <c r="N1399" s="160"/>
      <c r="O1399" s="162"/>
    </row>
    <row r="1400" spans="1:16" ht="44.25" customHeight="1" x14ac:dyDescent="0.35">
      <c r="A1400" s="419" t="s">
        <v>4803</v>
      </c>
      <c r="B1400" s="497" t="s">
        <v>4825</v>
      </c>
      <c r="C1400" s="290" t="s">
        <v>5</v>
      </c>
      <c r="D1400" s="538" t="s">
        <v>4</v>
      </c>
      <c r="E1400" s="463" t="s">
        <v>18</v>
      </c>
      <c r="F1400" s="463" t="s">
        <v>891</v>
      </c>
      <c r="G1400" s="169"/>
      <c r="H1400" s="538">
        <v>70721</v>
      </c>
      <c r="I1400" s="539" t="s">
        <v>855</v>
      </c>
      <c r="J1400" s="144">
        <v>5000000</v>
      </c>
      <c r="K1400" s="627">
        <v>3500000</v>
      </c>
      <c r="L1400" s="394"/>
      <c r="M1400" s="394" t="s">
        <v>5133</v>
      </c>
      <c r="N1400" s="160"/>
      <c r="O1400" s="162"/>
    </row>
    <row r="1401" spans="1:16" ht="44.25" customHeight="1" x14ac:dyDescent="0.35">
      <c r="A1401" s="419" t="s">
        <v>4804</v>
      </c>
      <c r="B1401" s="497" t="s">
        <v>125</v>
      </c>
      <c r="C1401" s="165" t="s">
        <v>5</v>
      </c>
      <c r="D1401" s="141" t="s">
        <v>4</v>
      </c>
      <c r="E1401" s="332" t="s">
        <v>716</v>
      </c>
      <c r="F1401" s="163" t="s">
        <v>56</v>
      </c>
      <c r="G1401" s="146"/>
      <c r="H1401" s="141">
        <v>70330</v>
      </c>
      <c r="I1401" s="142" t="s">
        <v>901</v>
      </c>
      <c r="J1401" s="144">
        <v>40000000</v>
      </c>
      <c r="K1401" s="627">
        <v>39524000</v>
      </c>
      <c r="L1401" s="394"/>
      <c r="M1401" s="394" t="s">
        <v>5133</v>
      </c>
      <c r="N1401" s="160"/>
      <c r="O1401" s="162"/>
    </row>
    <row r="1402" spans="1:16" ht="47.25" customHeight="1" x14ac:dyDescent="0.35">
      <c r="A1402" s="245"/>
      <c r="B1402" s="360" t="s">
        <v>1008</v>
      </c>
      <c r="C1402" s="188"/>
      <c r="D1402" s="257"/>
      <c r="E1402" s="273"/>
      <c r="F1402" s="257"/>
      <c r="G1402" s="273"/>
      <c r="H1402" s="257"/>
      <c r="I1402" s="273"/>
      <c r="J1402" s="259">
        <f>SUM(J1395:J1401)</f>
        <v>149000000</v>
      </c>
      <c r="K1402" s="259">
        <f>SUM(K1395:K1401)</f>
        <v>77625712</v>
      </c>
      <c r="L1402" s="707"/>
      <c r="M1402" s="707"/>
      <c r="N1402" s="259">
        <f>SUM(N1395:N1398)</f>
        <v>13644100</v>
      </c>
      <c r="O1402" s="245" t="s">
        <v>1008</v>
      </c>
    </row>
    <row r="1403" spans="1:16" s="247" customFormat="1" ht="12.75" customHeight="1" x14ac:dyDescent="0.35">
      <c r="A1403" s="286"/>
      <c r="B1403" s="492"/>
      <c r="C1403" s="282"/>
      <c r="D1403" s="283"/>
      <c r="E1403" s="330"/>
      <c r="F1403" s="283"/>
      <c r="G1403" s="330"/>
      <c r="H1403" s="283"/>
      <c r="I1403" s="330"/>
      <c r="J1403" s="423"/>
      <c r="K1403" s="628"/>
      <c r="L1403" s="706"/>
      <c r="M1403" s="706"/>
      <c r="N1403" s="285"/>
      <c r="O1403" s="286"/>
      <c r="P1403" s="246"/>
    </row>
    <row r="1404" spans="1:16" ht="12.75" customHeight="1" x14ac:dyDescent="0.35">
      <c r="A1404" s="401"/>
      <c r="B1404" s="716"/>
      <c r="C1404" s="402"/>
      <c r="D1404" s="403"/>
      <c r="E1404" s="404"/>
      <c r="F1404" s="403"/>
      <c r="G1404" s="404"/>
      <c r="H1404" s="403"/>
      <c r="I1404" s="404"/>
      <c r="J1404" s="405"/>
      <c r="K1404" s="458"/>
      <c r="L1404" s="704"/>
      <c r="M1404" s="704"/>
      <c r="N1404" s="405"/>
      <c r="O1404" s="600"/>
    </row>
    <row r="1405" spans="1:16" ht="39.75" customHeight="1" x14ac:dyDescent="0.35">
      <c r="A1405" s="401" t="s">
        <v>1160</v>
      </c>
      <c r="B1405" s="716"/>
      <c r="C1405" s="402"/>
      <c r="D1405" s="403"/>
      <c r="E1405" s="404"/>
      <c r="F1405" s="403"/>
      <c r="G1405" s="404"/>
      <c r="H1405" s="403"/>
      <c r="I1405" s="404"/>
      <c r="J1405" s="574"/>
      <c r="K1405" s="681"/>
      <c r="L1405" s="708"/>
      <c r="M1405" s="708"/>
      <c r="N1405" s="405"/>
      <c r="O1405" s="600"/>
    </row>
    <row r="1406" spans="1:16" ht="92.25" customHeight="1" x14ac:dyDescent="0.35">
      <c r="A1406" s="332"/>
      <c r="B1406" s="360" t="s">
        <v>48</v>
      </c>
      <c r="C1406" s="175" t="s">
        <v>898</v>
      </c>
      <c r="D1406" s="257" t="s">
        <v>52</v>
      </c>
      <c r="E1406" s="273" t="s">
        <v>49</v>
      </c>
      <c r="F1406" s="257" t="s">
        <v>1</v>
      </c>
      <c r="G1406" s="176"/>
      <c r="H1406" s="171" t="s">
        <v>51</v>
      </c>
      <c r="I1406" s="176" t="s">
        <v>2</v>
      </c>
      <c r="J1406" s="177" t="s">
        <v>4862</v>
      </c>
      <c r="K1406" s="189" t="s">
        <v>5140</v>
      </c>
      <c r="L1406" s="623" t="s">
        <v>5132</v>
      </c>
      <c r="M1406" s="623" t="s">
        <v>5132</v>
      </c>
      <c r="N1406" s="177" t="s">
        <v>1006</v>
      </c>
      <c r="O1406" s="178" t="s">
        <v>48</v>
      </c>
    </row>
    <row r="1407" spans="1:16" ht="59.25" customHeight="1" x14ac:dyDescent="0.35">
      <c r="A1407" s="319" t="s">
        <v>2810</v>
      </c>
      <c r="B1407" s="497" t="s">
        <v>2505</v>
      </c>
      <c r="C1407" s="363" t="s">
        <v>5</v>
      </c>
      <c r="D1407" s="253" t="s">
        <v>4</v>
      </c>
      <c r="E1407" s="332" t="s">
        <v>716</v>
      </c>
      <c r="F1407" s="163" t="s">
        <v>56</v>
      </c>
      <c r="G1407" s="164"/>
      <c r="H1407" s="141">
        <v>70443</v>
      </c>
      <c r="I1407" s="142" t="s">
        <v>901</v>
      </c>
      <c r="J1407" s="166">
        <v>300000000</v>
      </c>
      <c r="K1407" s="166">
        <v>150000000</v>
      </c>
      <c r="L1407" s="394"/>
      <c r="M1407" s="394" t="s">
        <v>5133</v>
      </c>
      <c r="N1407" s="488">
        <v>1177596051</v>
      </c>
      <c r="O1407" s="150" t="s">
        <v>2505</v>
      </c>
    </row>
    <row r="1408" spans="1:16" ht="60" customHeight="1" x14ac:dyDescent="0.35">
      <c r="A1408" s="319" t="s">
        <v>2811</v>
      </c>
      <c r="B1408" s="497" t="s">
        <v>2506</v>
      </c>
      <c r="C1408" s="363" t="s">
        <v>618</v>
      </c>
      <c r="D1408" s="253" t="s">
        <v>4</v>
      </c>
      <c r="E1408" s="332" t="s">
        <v>716</v>
      </c>
      <c r="F1408" s="163" t="s">
        <v>985</v>
      </c>
      <c r="G1408" s="164"/>
      <c r="H1408" s="141">
        <v>70443</v>
      </c>
      <c r="I1408" s="364" t="s">
        <v>193</v>
      </c>
      <c r="J1408" s="166">
        <v>42085504.130000003</v>
      </c>
      <c r="K1408" s="166">
        <v>42085504.130000003</v>
      </c>
      <c r="L1408" s="394"/>
      <c r="M1408" s="394" t="s">
        <v>5133</v>
      </c>
      <c r="N1408" s="488">
        <v>329366050</v>
      </c>
      <c r="O1408" s="150" t="s">
        <v>2506</v>
      </c>
    </row>
    <row r="1409" spans="1:15" ht="42" customHeight="1" x14ac:dyDescent="0.35">
      <c r="A1409" s="319" t="s">
        <v>2812</v>
      </c>
      <c r="B1409" s="497" t="s">
        <v>717</v>
      </c>
      <c r="C1409" s="363" t="s">
        <v>416</v>
      </c>
      <c r="D1409" s="253" t="s">
        <v>4</v>
      </c>
      <c r="E1409" s="332" t="s">
        <v>716</v>
      </c>
      <c r="F1409" s="163" t="s">
        <v>985</v>
      </c>
      <c r="G1409" s="164"/>
      <c r="H1409" s="141">
        <v>70443</v>
      </c>
      <c r="I1409" s="364" t="s">
        <v>193</v>
      </c>
      <c r="J1409" s="166">
        <v>37328931.950000003</v>
      </c>
      <c r="K1409" s="166">
        <v>328931.95</v>
      </c>
      <c r="L1409" s="394"/>
      <c r="M1409" s="394" t="s">
        <v>5133</v>
      </c>
      <c r="N1409" s="488">
        <v>311027282</v>
      </c>
      <c r="O1409" s="470" t="s">
        <v>717</v>
      </c>
    </row>
    <row r="1410" spans="1:15" ht="38.25" customHeight="1" x14ac:dyDescent="0.35">
      <c r="A1410" s="319" t="s">
        <v>2813</v>
      </c>
      <c r="B1410" s="497" t="s">
        <v>718</v>
      </c>
      <c r="C1410" s="363" t="s">
        <v>5</v>
      </c>
      <c r="D1410" s="253" t="s">
        <v>4</v>
      </c>
      <c r="E1410" s="332" t="s">
        <v>716</v>
      </c>
      <c r="F1410" s="163" t="s">
        <v>985</v>
      </c>
      <c r="G1410" s="164"/>
      <c r="H1410" s="141">
        <v>70443</v>
      </c>
      <c r="I1410" s="364" t="s">
        <v>193</v>
      </c>
      <c r="J1410" s="166">
        <v>6616298.3799999999</v>
      </c>
      <c r="K1410" s="166">
        <v>616298.38</v>
      </c>
      <c r="L1410" s="394"/>
      <c r="M1410" s="394" t="s">
        <v>5133</v>
      </c>
      <c r="N1410" s="488">
        <v>126024716</v>
      </c>
      <c r="O1410" s="470" t="s">
        <v>718</v>
      </c>
    </row>
    <row r="1411" spans="1:15" ht="39.75" customHeight="1" x14ac:dyDescent="0.35">
      <c r="A1411" s="319" t="s">
        <v>2814</v>
      </c>
      <c r="B1411" s="497" t="s">
        <v>719</v>
      </c>
      <c r="C1411" s="363" t="s">
        <v>651</v>
      </c>
      <c r="D1411" s="253" t="s">
        <v>4</v>
      </c>
      <c r="E1411" s="332" t="s">
        <v>716</v>
      </c>
      <c r="F1411" s="163" t="s">
        <v>985</v>
      </c>
      <c r="G1411" s="164"/>
      <c r="H1411" s="141">
        <v>70443</v>
      </c>
      <c r="I1411" s="364" t="s">
        <v>193</v>
      </c>
      <c r="J1411" s="166">
        <v>14037451.689999999</v>
      </c>
      <c r="K1411" s="166">
        <v>14037451.689999999</v>
      </c>
      <c r="L1411" s="394"/>
      <c r="M1411" s="394" t="s">
        <v>5133</v>
      </c>
      <c r="N1411" s="488">
        <f ca="1">CAPEX!$N$1411</f>
        <v>164119227.31</v>
      </c>
      <c r="O1411" s="470" t="s">
        <v>719</v>
      </c>
    </row>
    <row r="1412" spans="1:15" ht="51" customHeight="1" x14ac:dyDescent="0.35">
      <c r="A1412" s="319" t="s">
        <v>2815</v>
      </c>
      <c r="B1412" s="497" t="s">
        <v>721</v>
      </c>
      <c r="C1412" s="363" t="s">
        <v>5</v>
      </c>
      <c r="D1412" s="253" t="s">
        <v>4</v>
      </c>
      <c r="E1412" s="332" t="s">
        <v>716</v>
      </c>
      <c r="F1412" s="163" t="s">
        <v>985</v>
      </c>
      <c r="G1412" s="164"/>
      <c r="H1412" s="141">
        <v>70443</v>
      </c>
      <c r="I1412" s="364" t="s">
        <v>193</v>
      </c>
      <c r="J1412" s="166">
        <v>265481363.69999999</v>
      </c>
      <c r="K1412" s="166">
        <v>150000000</v>
      </c>
      <c r="L1412" s="394"/>
      <c r="M1412" s="394" t="s">
        <v>5133</v>
      </c>
      <c r="N1412" s="488">
        <v>493644621</v>
      </c>
      <c r="O1412" s="162" t="s">
        <v>721</v>
      </c>
    </row>
    <row r="1413" spans="1:15" ht="29.25" customHeight="1" x14ac:dyDescent="0.35">
      <c r="A1413" s="319" t="s">
        <v>2816</v>
      </c>
      <c r="B1413" s="497" t="s">
        <v>2507</v>
      </c>
      <c r="C1413" s="363" t="s">
        <v>470</v>
      </c>
      <c r="D1413" s="253" t="s">
        <v>4</v>
      </c>
      <c r="E1413" s="332" t="s">
        <v>716</v>
      </c>
      <c r="F1413" s="163" t="s">
        <v>985</v>
      </c>
      <c r="G1413" s="164"/>
      <c r="H1413" s="141">
        <v>70443</v>
      </c>
      <c r="I1413" s="364" t="s">
        <v>193</v>
      </c>
      <c r="J1413" s="166">
        <v>50000000</v>
      </c>
      <c r="K1413" s="166">
        <v>9800000</v>
      </c>
      <c r="L1413" s="394"/>
      <c r="M1413" s="394" t="s">
        <v>5133</v>
      </c>
      <c r="N1413" s="524">
        <v>200000000</v>
      </c>
      <c r="O1413" s="471" t="s">
        <v>2507</v>
      </c>
    </row>
    <row r="1414" spans="1:15" ht="45" customHeight="1" x14ac:dyDescent="0.35">
      <c r="A1414" s="319" t="s">
        <v>2817</v>
      </c>
      <c r="B1414" s="497" t="s">
        <v>720</v>
      </c>
      <c r="C1414" s="363" t="s">
        <v>723</v>
      </c>
      <c r="D1414" s="253" t="s">
        <v>4</v>
      </c>
      <c r="E1414" s="332" t="s">
        <v>716</v>
      </c>
      <c r="F1414" s="163" t="s">
        <v>985</v>
      </c>
      <c r="G1414" s="164"/>
      <c r="H1414" s="141">
        <v>70443</v>
      </c>
      <c r="I1414" s="364" t="s">
        <v>193</v>
      </c>
      <c r="J1414" s="166">
        <v>101116969.90000001</v>
      </c>
      <c r="K1414" s="166">
        <v>100116969.90000001</v>
      </c>
      <c r="L1414" s="394"/>
      <c r="M1414" s="394" t="s">
        <v>5133</v>
      </c>
      <c r="N1414" s="488">
        <v>208000000</v>
      </c>
      <c r="O1414" s="470" t="s">
        <v>720</v>
      </c>
    </row>
    <row r="1415" spans="1:15" ht="36" customHeight="1" x14ac:dyDescent="0.35">
      <c r="A1415" s="319" t="s">
        <v>2818</v>
      </c>
      <c r="B1415" s="497" t="s">
        <v>722</v>
      </c>
      <c r="C1415" s="363" t="s">
        <v>5</v>
      </c>
      <c r="D1415" s="253" t="s">
        <v>4</v>
      </c>
      <c r="E1415" s="332" t="s">
        <v>716</v>
      </c>
      <c r="F1415" s="163" t="s">
        <v>985</v>
      </c>
      <c r="G1415" s="164"/>
      <c r="H1415" s="141">
        <v>70443</v>
      </c>
      <c r="I1415" s="364" t="s">
        <v>193</v>
      </c>
      <c r="J1415" s="166">
        <v>100000000</v>
      </c>
      <c r="K1415" s="166">
        <v>100000000</v>
      </c>
      <c r="L1415" s="394"/>
      <c r="M1415" s="394" t="s">
        <v>5133</v>
      </c>
      <c r="N1415" s="488">
        <v>305000000</v>
      </c>
      <c r="O1415" s="470" t="s">
        <v>722</v>
      </c>
    </row>
    <row r="1416" spans="1:15" ht="34.5" customHeight="1" x14ac:dyDescent="0.35">
      <c r="A1416" s="319" t="s">
        <v>2819</v>
      </c>
      <c r="B1416" s="497" t="s">
        <v>2508</v>
      </c>
      <c r="C1416" s="363" t="s">
        <v>5</v>
      </c>
      <c r="D1416" s="253" t="s">
        <v>4</v>
      </c>
      <c r="E1416" s="332" t="s">
        <v>716</v>
      </c>
      <c r="F1416" s="163" t="s">
        <v>983</v>
      </c>
      <c r="G1416" s="164"/>
      <c r="H1416" s="141">
        <v>70443</v>
      </c>
      <c r="I1416" s="142" t="s">
        <v>902</v>
      </c>
      <c r="J1416" s="166">
        <v>6742345.0999999996</v>
      </c>
      <c r="K1416" s="166">
        <v>6742345.0999999996</v>
      </c>
      <c r="L1416" s="394"/>
      <c r="M1416" s="394" t="s">
        <v>5133</v>
      </c>
      <c r="N1416" s="488">
        <v>50000000</v>
      </c>
      <c r="O1416" s="470" t="s">
        <v>2508</v>
      </c>
    </row>
    <row r="1417" spans="1:15" ht="23.25" customHeight="1" x14ac:dyDescent="0.35">
      <c r="A1417" s="319" t="s">
        <v>2820</v>
      </c>
      <c r="B1417" s="497" t="s">
        <v>2509</v>
      </c>
      <c r="C1417" s="363" t="s">
        <v>5</v>
      </c>
      <c r="D1417" s="253" t="s">
        <v>4</v>
      </c>
      <c r="E1417" s="332" t="s">
        <v>716</v>
      </c>
      <c r="F1417" s="163" t="s">
        <v>299</v>
      </c>
      <c r="G1417" s="164"/>
      <c r="H1417" s="141">
        <v>70443</v>
      </c>
      <c r="I1417" s="364" t="s">
        <v>408</v>
      </c>
      <c r="J1417" s="166">
        <v>110885000</v>
      </c>
      <c r="K1417" s="166">
        <v>125885000</v>
      </c>
      <c r="L1417" s="394"/>
      <c r="M1417" s="394" t="s">
        <v>5133</v>
      </c>
      <c r="N1417" s="488"/>
      <c r="O1417" s="150" t="s">
        <v>2509</v>
      </c>
    </row>
    <row r="1418" spans="1:15" ht="33.75" customHeight="1" x14ac:dyDescent="0.35">
      <c r="A1418" s="319" t="s">
        <v>2821</v>
      </c>
      <c r="B1418" s="497" t="s">
        <v>3156</v>
      </c>
      <c r="C1418" s="363" t="s">
        <v>475</v>
      </c>
      <c r="D1418" s="253" t="s">
        <v>4</v>
      </c>
      <c r="E1418" s="332" t="s">
        <v>716</v>
      </c>
      <c r="F1418" s="163" t="s">
        <v>192</v>
      </c>
      <c r="G1418" s="164"/>
      <c r="H1418" s="141">
        <v>70443</v>
      </c>
      <c r="I1418" s="364" t="s">
        <v>193</v>
      </c>
      <c r="J1418" s="166">
        <v>150000000</v>
      </c>
      <c r="K1418" s="166">
        <v>100000000</v>
      </c>
      <c r="L1418" s="394"/>
      <c r="M1418" s="394" t="s">
        <v>5133</v>
      </c>
      <c r="N1418" s="488"/>
      <c r="O1418" s="150" t="s">
        <v>3156</v>
      </c>
    </row>
    <row r="1419" spans="1:15" ht="51.75" customHeight="1" x14ac:dyDescent="0.35">
      <c r="A1419" s="319" t="s">
        <v>2822</v>
      </c>
      <c r="B1419" s="497" t="s">
        <v>2510</v>
      </c>
      <c r="C1419" s="363" t="s">
        <v>475</v>
      </c>
      <c r="D1419" s="253" t="s">
        <v>4</v>
      </c>
      <c r="E1419" s="332" t="s">
        <v>716</v>
      </c>
      <c r="F1419" s="163" t="s">
        <v>192</v>
      </c>
      <c r="G1419" s="164"/>
      <c r="H1419" s="141">
        <v>70443</v>
      </c>
      <c r="I1419" s="364" t="s">
        <v>193</v>
      </c>
      <c r="J1419" s="166">
        <v>200000000</v>
      </c>
      <c r="K1419" s="166">
        <v>10000000</v>
      </c>
      <c r="L1419" s="394"/>
      <c r="M1419" s="394" t="s">
        <v>5133</v>
      </c>
      <c r="N1419" s="488"/>
      <c r="O1419" s="150" t="s">
        <v>2510</v>
      </c>
    </row>
    <row r="1420" spans="1:15" ht="41.25" customHeight="1" x14ac:dyDescent="0.35">
      <c r="A1420" s="319" t="s">
        <v>2823</v>
      </c>
      <c r="B1420" s="497" t="s">
        <v>2511</v>
      </c>
      <c r="C1420" s="363" t="s">
        <v>5</v>
      </c>
      <c r="D1420" s="253" t="s">
        <v>4</v>
      </c>
      <c r="E1420" s="332" t="s">
        <v>716</v>
      </c>
      <c r="F1420" s="163" t="s">
        <v>192</v>
      </c>
      <c r="G1420" s="164"/>
      <c r="H1420" s="141">
        <v>70443</v>
      </c>
      <c r="I1420" s="364" t="s">
        <v>193</v>
      </c>
      <c r="J1420" s="166">
        <v>103220000</v>
      </c>
      <c r="K1420" s="166">
        <v>30000000</v>
      </c>
      <c r="L1420" s="394"/>
      <c r="M1420" s="394" t="s">
        <v>5133</v>
      </c>
      <c r="N1420" s="488"/>
      <c r="O1420" s="150" t="s">
        <v>2511</v>
      </c>
    </row>
    <row r="1421" spans="1:15" ht="51.75" customHeight="1" x14ac:dyDescent="0.35">
      <c r="A1421" s="319" t="s">
        <v>2824</v>
      </c>
      <c r="B1421" s="497" t="s">
        <v>2512</v>
      </c>
      <c r="C1421" s="363" t="s">
        <v>475</v>
      </c>
      <c r="D1421" s="253" t="s">
        <v>4</v>
      </c>
      <c r="E1421" s="332" t="s">
        <v>716</v>
      </c>
      <c r="F1421" s="163" t="s">
        <v>192</v>
      </c>
      <c r="G1421" s="164"/>
      <c r="H1421" s="141">
        <v>70443</v>
      </c>
      <c r="I1421" s="364" t="s">
        <v>193</v>
      </c>
      <c r="J1421" s="166">
        <v>50000000</v>
      </c>
      <c r="K1421" s="166">
        <v>50819271.189999998</v>
      </c>
      <c r="L1421" s="394"/>
      <c r="M1421" s="394" t="s">
        <v>5133</v>
      </c>
      <c r="N1421" s="488"/>
      <c r="O1421" s="150" t="s">
        <v>2512</v>
      </c>
    </row>
    <row r="1422" spans="1:15" ht="39.75" customHeight="1" x14ac:dyDescent="0.35">
      <c r="A1422" s="319" t="s">
        <v>2825</v>
      </c>
      <c r="B1422" s="497" t="s">
        <v>724</v>
      </c>
      <c r="C1422" s="363" t="s">
        <v>475</v>
      </c>
      <c r="D1422" s="253" t="s">
        <v>4</v>
      </c>
      <c r="E1422" s="332" t="s">
        <v>716</v>
      </c>
      <c r="F1422" s="163" t="s">
        <v>192</v>
      </c>
      <c r="G1422" s="164"/>
      <c r="H1422" s="141">
        <v>70443</v>
      </c>
      <c r="I1422" s="364" t="s">
        <v>193</v>
      </c>
      <c r="J1422" s="166">
        <v>20000000</v>
      </c>
      <c r="K1422" s="166">
        <v>5000000</v>
      </c>
      <c r="L1422" s="394"/>
      <c r="M1422" s="394" t="s">
        <v>5133</v>
      </c>
      <c r="N1422" s="488">
        <v>70000000</v>
      </c>
      <c r="O1422" s="424" t="s">
        <v>724</v>
      </c>
    </row>
    <row r="1423" spans="1:15" ht="36.75" customHeight="1" x14ac:dyDescent="0.35">
      <c r="A1423" s="319" t="s">
        <v>2826</v>
      </c>
      <c r="B1423" s="497" t="s">
        <v>725</v>
      </c>
      <c r="C1423" s="363" t="s">
        <v>309</v>
      </c>
      <c r="D1423" s="253" t="s">
        <v>4</v>
      </c>
      <c r="E1423" s="332" t="s">
        <v>716</v>
      </c>
      <c r="F1423" s="163" t="s">
        <v>192</v>
      </c>
      <c r="G1423" s="164"/>
      <c r="H1423" s="141">
        <v>70443</v>
      </c>
      <c r="I1423" s="364" t="s">
        <v>193</v>
      </c>
      <c r="J1423" s="166">
        <v>10000000</v>
      </c>
      <c r="K1423" s="166">
        <v>1000000</v>
      </c>
      <c r="L1423" s="394"/>
      <c r="M1423" s="394" t="s">
        <v>5133</v>
      </c>
      <c r="N1423" s="488">
        <v>49500000</v>
      </c>
      <c r="O1423" s="162" t="s">
        <v>725</v>
      </c>
    </row>
    <row r="1424" spans="1:15" ht="32.25" customHeight="1" x14ac:dyDescent="0.35">
      <c r="A1424" s="319" t="s">
        <v>2827</v>
      </c>
      <c r="B1424" s="497" t="s">
        <v>3396</v>
      </c>
      <c r="C1424" s="363" t="s">
        <v>309</v>
      </c>
      <c r="D1424" s="253" t="s">
        <v>4</v>
      </c>
      <c r="E1424" s="332" t="s">
        <v>716</v>
      </c>
      <c r="F1424" s="163" t="s">
        <v>192</v>
      </c>
      <c r="G1424" s="164"/>
      <c r="H1424" s="141">
        <v>70443</v>
      </c>
      <c r="I1424" s="364" t="s">
        <v>193</v>
      </c>
      <c r="J1424" s="166">
        <v>2000000000</v>
      </c>
      <c r="K1424" s="166">
        <v>700000000</v>
      </c>
      <c r="L1424" s="394"/>
      <c r="M1424" s="394" t="s">
        <v>5133</v>
      </c>
      <c r="N1424" s="488"/>
      <c r="O1424" s="162"/>
    </row>
    <row r="1425" spans="1:16" ht="32.25" customHeight="1" x14ac:dyDescent="0.35">
      <c r="A1425" s="319" t="s">
        <v>2828</v>
      </c>
      <c r="B1425" s="497" t="s">
        <v>220</v>
      </c>
      <c r="C1425" s="363" t="s">
        <v>354</v>
      </c>
      <c r="D1425" s="253" t="s">
        <v>4</v>
      </c>
      <c r="E1425" s="332" t="s">
        <v>716</v>
      </c>
      <c r="F1425" s="163">
        <v>31050207</v>
      </c>
      <c r="G1425" s="164"/>
      <c r="H1425" s="141">
        <v>70443</v>
      </c>
      <c r="I1425" s="364" t="s">
        <v>193</v>
      </c>
      <c r="J1425" s="166">
        <v>12000000</v>
      </c>
      <c r="K1425" s="166">
        <v>5000000</v>
      </c>
      <c r="L1425" s="394"/>
      <c r="M1425" s="394" t="s">
        <v>5133</v>
      </c>
      <c r="N1425" s="488">
        <v>20000000</v>
      </c>
      <c r="O1425" s="470" t="s">
        <v>220</v>
      </c>
    </row>
    <row r="1426" spans="1:16" ht="32.25" customHeight="1" x14ac:dyDescent="0.35">
      <c r="A1426" s="319" t="s">
        <v>2829</v>
      </c>
      <c r="B1426" s="497" t="s">
        <v>2513</v>
      </c>
      <c r="C1426" s="363" t="s">
        <v>5</v>
      </c>
      <c r="D1426" s="253" t="s">
        <v>4</v>
      </c>
      <c r="E1426" s="332" t="s">
        <v>716</v>
      </c>
      <c r="F1426" s="163" t="s">
        <v>164</v>
      </c>
      <c r="G1426" s="164"/>
      <c r="H1426" s="141">
        <v>70443</v>
      </c>
      <c r="I1426" s="364" t="s">
        <v>408</v>
      </c>
      <c r="J1426" s="166">
        <v>1000000</v>
      </c>
      <c r="K1426" s="166">
        <v>1000000</v>
      </c>
      <c r="L1426" s="394"/>
      <c r="M1426" s="394" t="s">
        <v>5133</v>
      </c>
      <c r="N1426" s="488">
        <v>500000</v>
      </c>
      <c r="O1426" s="162" t="s">
        <v>2513</v>
      </c>
    </row>
    <row r="1427" spans="1:16" ht="32.25" customHeight="1" x14ac:dyDescent="0.35">
      <c r="A1427" s="319" t="s">
        <v>2830</v>
      </c>
      <c r="B1427" s="497" t="s">
        <v>2514</v>
      </c>
      <c r="C1427" s="363" t="s">
        <v>5</v>
      </c>
      <c r="D1427" s="253" t="s">
        <v>4</v>
      </c>
      <c r="E1427" s="332" t="s">
        <v>716</v>
      </c>
      <c r="F1427" s="163" t="s">
        <v>147</v>
      </c>
      <c r="G1427" s="164"/>
      <c r="H1427" s="141">
        <v>70443</v>
      </c>
      <c r="I1427" s="364" t="s">
        <v>148</v>
      </c>
      <c r="J1427" s="166">
        <v>10000000</v>
      </c>
      <c r="K1427" s="166">
        <v>3000000</v>
      </c>
      <c r="L1427" s="394"/>
      <c r="M1427" s="394" t="s">
        <v>5133</v>
      </c>
      <c r="N1427" s="488">
        <v>15000000</v>
      </c>
      <c r="O1427" s="180" t="s">
        <v>2514</v>
      </c>
    </row>
    <row r="1428" spans="1:16" ht="32.25" customHeight="1" x14ac:dyDescent="0.35">
      <c r="A1428" s="319" t="s">
        <v>2831</v>
      </c>
      <c r="B1428" s="497" t="s">
        <v>60</v>
      </c>
      <c r="C1428" s="363" t="s">
        <v>5</v>
      </c>
      <c r="D1428" s="253" t="s">
        <v>4</v>
      </c>
      <c r="E1428" s="332" t="s">
        <v>716</v>
      </c>
      <c r="F1428" s="163" t="s">
        <v>54</v>
      </c>
      <c r="G1428" s="364"/>
      <c r="H1428" s="141">
        <v>70443</v>
      </c>
      <c r="I1428" s="142" t="s">
        <v>900</v>
      </c>
      <c r="J1428" s="166">
        <v>4000000</v>
      </c>
      <c r="K1428" s="166">
        <v>3000000</v>
      </c>
      <c r="L1428" s="394"/>
      <c r="M1428" s="394" t="s">
        <v>5133</v>
      </c>
      <c r="N1428" s="166">
        <v>8000000</v>
      </c>
      <c r="O1428" s="424" t="s">
        <v>60</v>
      </c>
    </row>
    <row r="1429" spans="1:16" ht="32.25" customHeight="1" x14ac:dyDescent="0.35">
      <c r="A1429" s="319" t="s">
        <v>2832</v>
      </c>
      <c r="B1429" s="497" t="s">
        <v>2515</v>
      </c>
      <c r="C1429" s="363" t="s">
        <v>5</v>
      </c>
      <c r="D1429" s="253" t="s">
        <v>4</v>
      </c>
      <c r="E1429" s="332" t="s">
        <v>716</v>
      </c>
      <c r="F1429" s="163" t="s">
        <v>54</v>
      </c>
      <c r="G1429" s="364"/>
      <c r="H1429" s="141">
        <v>70443</v>
      </c>
      <c r="I1429" s="142" t="s">
        <v>900</v>
      </c>
      <c r="J1429" s="166">
        <v>2000000</v>
      </c>
      <c r="K1429" s="166">
        <v>3000000</v>
      </c>
      <c r="L1429" s="394"/>
      <c r="M1429" s="394" t="s">
        <v>5133</v>
      </c>
      <c r="N1429" s="166">
        <v>25000000</v>
      </c>
      <c r="O1429" s="180" t="s">
        <v>2515</v>
      </c>
    </row>
    <row r="1430" spans="1:16" ht="32.25" customHeight="1" x14ac:dyDescent="0.35">
      <c r="A1430" s="319" t="s">
        <v>2833</v>
      </c>
      <c r="B1430" s="497" t="s">
        <v>106</v>
      </c>
      <c r="C1430" s="363" t="s">
        <v>5</v>
      </c>
      <c r="D1430" s="253" t="s">
        <v>4</v>
      </c>
      <c r="E1430" s="332" t="s">
        <v>716</v>
      </c>
      <c r="F1430" s="163" t="s">
        <v>54</v>
      </c>
      <c r="G1430" s="364"/>
      <c r="H1430" s="141">
        <v>70443</v>
      </c>
      <c r="I1430" s="142" t="s">
        <v>900</v>
      </c>
      <c r="J1430" s="166">
        <v>4000000</v>
      </c>
      <c r="K1430" s="166">
        <v>2000000</v>
      </c>
      <c r="L1430" s="394"/>
      <c r="M1430" s="394" t="s">
        <v>5133</v>
      </c>
      <c r="N1430" s="166">
        <v>6000000</v>
      </c>
      <c r="O1430" s="424" t="s">
        <v>106</v>
      </c>
    </row>
    <row r="1431" spans="1:16" ht="32.25" customHeight="1" x14ac:dyDescent="0.35">
      <c r="A1431" s="245"/>
      <c r="B1431" s="360" t="s">
        <v>1008</v>
      </c>
      <c r="C1431" s="175"/>
      <c r="D1431" s="171"/>
      <c r="E1431" s="273"/>
      <c r="F1431" s="257"/>
      <c r="G1431" s="176"/>
      <c r="H1431" s="171"/>
      <c r="I1431" s="176"/>
      <c r="J1431" s="177">
        <f>SUM(J1407:J1430)</f>
        <v>3600513864.8499999</v>
      </c>
      <c r="K1431" s="177">
        <f>SUM(K1407:K1430)</f>
        <v>1613431772.3399999</v>
      </c>
      <c r="L1431" s="189"/>
      <c r="M1431" s="189"/>
      <c r="N1431" s="177">
        <f ca="1">SUM(N1407:N1430)</f>
        <v>0</v>
      </c>
      <c r="O1431" s="178" t="s">
        <v>1008</v>
      </c>
    </row>
    <row r="1432" spans="1:16" s="247" customFormat="1" ht="39" customHeight="1" x14ac:dyDescent="0.35">
      <c r="A1432" s="341"/>
      <c r="B1432" s="589" t="s">
        <v>4726</v>
      </c>
      <c r="C1432" s="341"/>
      <c r="D1432" s="341"/>
      <c r="E1432" s="341"/>
      <c r="F1432" s="341"/>
      <c r="G1432" s="341"/>
      <c r="H1432" s="341"/>
      <c r="I1432" s="341">
        <f>J1431-3600513864.85</f>
        <v>0</v>
      </c>
      <c r="J1432" s="341">
        <f>J1431+J1402+J1391+J1355+J1282+J939+J922+J892+J867+J857+J835+J818+J786+J765+J739+J673+J539+J528+J495+J455+J427+J418</f>
        <v>113077933239.38101</v>
      </c>
      <c r="K1432" s="341">
        <f>K1431+K1402+K1391+K1355+K1282+K939+K922+K892+K867+K857+K835+K818+K786+K765+K739+K673+K539+K528+K495+K455+K427+K418+K772+K778</f>
        <v>63155671643.079994</v>
      </c>
      <c r="L1432" s="709">
        <f>SUM(L391:L1431)</f>
        <v>25087061614</v>
      </c>
      <c r="M1432" s="709"/>
      <c r="N1432" s="341">
        <f ca="1">N1431+N1402+N1391+N1355+N1282+N939+N922+N867+N857+N835+N818+N765+N739+N673+N539+N528+N495+N455+N418</f>
        <v>130614009427.92911</v>
      </c>
      <c r="O1432" s="576">
        <v>110340000294.59102</v>
      </c>
      <c r="P1432" s="246"/>
    </row>
    <row r="1433" spans="1:16" ht="39" customHeight="1" x14ac:dyDescent="0.35">
      <c r="A1433" s="608" t="s">
        <v>726</v>
      </c>
      <c r="B1433" s="608"/>
      <c r="C1433" s="608"/>
      <c r="D1433" s="608"/>
      <c r="E1433" s="608"/>
      <c r="F1433" s="608"/>
      <c r="G1433" s="608"/>
      <c r="H1433" s="608"/>
      <c r="I1433" s="608"/>
      <c r="J1433" s="608"/>
      <c r="K1433" s="335"/>
      <c r="L1433" s="699"/>
      <c r="M1433" s="699"/>
      <c r="N1433" s="695"/>
      <c r="O1433" s="609"/>
    </row>
    <row r="1434" spans="1:16" ht="27.75" customHeight="1" x14ac:dyDescent="0.35">
      <c r="A1434" s="401" t="s">
        <v>3060</v>
      </c>
      <c r="B1434" s="716"/>
      <c r="C1434" s="402"/>
      <c r="D1434" s="403"/>
      <c r="E1434" s="404"/>
      <c r="F1434" s="403"/>
      <c r="G1434" s="404"/>
      <c r="H1434" s="403"/>
      <c r="I1434" s="404"/>
      <c r="J1434" s="405"/>
      <c r="K1434" s="458"/>
      <c r="L1434" s="704"/>
      <c r="M1434" s="704"/>
      <c r="N1434" s="405"/>
      <c r="O1434" s="600"/>
    </row>
    <row r="1435" spans="1:16" ht="6" hidden="1" customHeight="1" x14ac:dyDescent="0.35">
      <c r="A1435" s="428" t="s">
        <v>3060</v>
      </c>
      <c r="B1435" s="583"/>
      <c r="C1435" s="429"/>
      <c r="D1435" s="430"/>
      <c r="E1435" s="494"/>
      <c r="F1435" s="430"/>
      <c r="G1435" s="494"/>
      <c r="H1435" s="430"/>
      <c r="I1435" s="494"/>
      <c r="J1435" s="495"/>
      <c r="K1435" s="458"/>
      <c r="L1435" s="704"/>
      <c r="M1435" s="704"/>
      <c r="N1435" s="495"/>
      <c r="O1435" s="357"/>
    </row>
    <row r="1436" spans="1:16" ht="81" customHeight="1" x14ac:dyDescent="0.35">
      <c r="A1436" s="360" t="s">
        <v>1007</v>
      </c>
      <c r="B1436" s="360" t="s">
        <v>50</v>
      </c>
      <c r="C1436" s="175" t="s">
        <v>898</v>
      </c>
      <c r="D1436" s="257" t="s">
        <v>52</v>
      </c>
      <c r="E1436" s="273" t="s">
        <v>49</v>
      </c>
      <c r="F1436" s="257" t="s">
        <v>1</v>
      </c>
      <c r="G1436" s="176"/>
      <c r="H1436" s="171" t="s">
        <v>51</v>
      </c>
      <c r="I1436" s="176" t="s">
        <v>2</v>
      </c>
      <c r="J1436" s="177" t="s">
        <v>4862</v>
      </c>
      <c r="K1436" s="189" t="s">
        <v>5140</v>
      </c>
      <c r="L1436" s="623" t="s">
        <v>5132</v>
      </c>
      <c r="M1436" s="623" t="s">
        <v>5132</v>
      </c>
      <c r="N1436" s="177" t="s">
        <v>932</v>
      </c>
      <c r="O1436" s="178" t="s">
        <v>50</v>
      </c>
    </row>
    <row r="1437" spans="1:16" ht="39" customHeight="1" x14ac:dyDescent="0.35">
      <c r="A1437" s="272" t="s">
        <v>4044</v>
      </c>
      <c r="B1437" s="497" t="s">
        <v>60</v>
      </c>
      <c r="C1437" s="165" t="s">
        <v>5</v>
      </c>
      <c r="D1437" s="141" t="s">
        <v>4</v>
      </c>
      <c r="E1437" s="237" t="s">
        <v>13</v>
      </c>
      <c r="F1437" s="163" t="s">
        <v>983</v>
      </c>
      <c r="G1437" s="146"/>
      <c r="H1437" s="141">
        <v>70330</v>
      </c>
      <c r="I1437" s="142" t="s">
        <v>902</v>
      </c>
      <c r="J1437" s="149">
        <v>3898900</v>
      </c>
      <c r="K1437" s="149">
        <v>5336490</v>
      </c>
      <c r="L1437" s="394"/>
      <c r="M1437" s="394" t="s">
        <v>5133</v>
      </c>
      <c r="N1437" s="149">
        <v>5000000</v>
      </c>
      <c r="O1437" s="424" t="s">
        <v>60</v>
      </c>
    </row>
    <row r="1438" spans="1:16" ht="39" customHeight="1" x14ac:dyDescent="0.35">
      <c r="A1438" s="272" t="s">
        <v>4045</v>
      </c>
      <c r="B1438" s="590" t="s">
        <v>730</v>
      </c>
      <c r="C1438" s="165" t="s">
        <v>5</v>
      </c>
      <c r="D1438" s="141" t="s">
        <v>4</v>
      </c>
      <c r="E1438" s="237" t="s">
        <v>13</v>
      </c>
      <c r="F1438" s="163" t="s">
        <v>983</v>
      </c>
      <c r="G1438" s="146"/>
      <c r="H1438" s="141">
        <v>70330</v>
      </c>
      <c r="I1438" s="142" t="s">
        <v>902</v>
      </c>
      <c r="J1438" s="149">
        <v>7797800</v>
      </c>
      <c r="K1438" s="149">
        <v>10672980</v>
      </c>
      <c r="L1438" s="394"/>
      <c r="M1438" s="394" t="s">
        <v>5133</v>
      </c>
      <c r="N1438" s="149">
        <v>10000000</v>
      </c>
      <c r="O1438" s="424" t="s">
        <v>730</v>
      </c>
    </row>
    <row r="1439" spans="1:16" ht="39" customHeight="1" x14ac:dyDescent="0.35">
      <c r="A1439" s="272" t="s">
        <v>4046</v>
      </c>
      <c r="B1439" s="497" t="s">
        <v>732</v>
      </c>
      <c r="C1439" s="165" t="s">
        <v>5</v>
      </c>
      <c r="D1439" s="141" t="s">
        <v>4</v>
      </c>
      <c r="E1439" s="237" t="s">
        <v>13</v>
      </c>
      <c r="F1439" s="163" t="s">
        <v>324</v>
      </c>
      <c r="G1439" s="146"/>
      <c r="H1439" s="141">
        <v>70330</v>
      </c>
      <c r="I1439" s="142" t="s">
        <v>909</v>
      </c>
      <c r="J1439" s="149">
        <v>38989192</v>
      </c>
      <c r="K1439" s="149">
        <v>750820</v>
      </c>
      <c r="L1439" s="394"/>
      <c r="M1439" s="394" t="s">
        <v>5133</v>
      </c>
      <c r="N1439" s="149">
        <v>50000000</v>
      </c>
      <c r="O1439" s="424" t="s">
        <v>732</v>
      </c>
    </row>
    <row r="1440" spans="1:16" ht="39" customHeight="1" x14ac:dyDescent="0.35">
      <c r="A1440" s="272" t="s">
        <v>4047</v>
      </c>
      <c r="B1440" s="497" t="s">
        <v>733</v>
      </c>
      <c r="C1440" s="165" t="s">
        <v>5</v>
      </c>
      <c r="D1440" s="141" t="s">
        <v>4</v>
      </c>
      <c r="E1440" s="237" t="s">
        <v>13</v>
      </c>
      <c r="F1440" s="163" t="s">
        <v>324</v>
      </c>
      <c r="G1440" s="146"/>
      <c r="H1440" s="141">
        <v>70330</v>
      </c>
      <c r="I1440" s="142" t="s">
        <v>909</v>
      </c>
      <c r="J1440" s="149">
        <v>3275000</v>
      </c>
      <c r="K1440" s="149">
        <v>750820</v>
      </c>
      <c r="L1440" s="394"/>
      <c r="M1440" s="394" t="s">
        <v>5133</v>
      </c>
      <c r="N1440" s="149">
        <v>4200000</v>
      </c>
      <c r="O1440" s="424" t="s">
        <v>733</v>
      </c>
    </row>
    <row r="1441" spans="1:15" ht="39" customHeight="1" x14ac:dyDescent="0.35">
      <c r="A1441" s="272" t="s">
        <v>4048</v>
      </c>
      <c r="B1441" s="497" t="s">
        <v>734</v>
      </c>
      <c r="C1441" s="165" t="s">
        <v>5</v>
      </c>
      <c r="D1441" s="141" t="s">
        <v>4</v>
      </c>
      <c r="E1441" s="237" t="s">
        <v>13</v>
      </c>
      <c r="F1441" s="163" t="s">
        <v>82</v>
      </c>
      <c r="G1441" s="146"/>
      <c r="H1441" s="141">
        <v>70330</v>
      </c>
      <c r="I1441" s="142" t="s">
        <v>735</v>
      </c>
      <c r="J1441" s="149">
        <v>7797800</v>
      </c>
      <c r="K1441" s="149">
        <v>5502800</v>
      </c>
      <c r="L1441" s="394"/>
      <c r="M1441" s="394" t="s">
        <v>5133</v>
      </c>
      <c r="N1441" s="149">
        <v>10000000</v>
      </c>
      <c r="O1441" s="424" t="s">
        <v>734</v>
      </c>
    </row>
    <row r="1442" spans="1:15" ht="39" customHeight="1" x14ac:dyDescent="0.35">
      <c r="A1442" s="272" t="s">
        <v>4049</v>
      </c>
      <c r="B1442" s="497" t="s">
        <v>727</v>
      </c>
      <c r="C1442" s="165" t="s">
        <v>5</v>
      </c>
      <c r="D1442" s="141" t="s">
        <v>4</v>
      </c>
      <c r="E1442" s="237" t="s">
        <v>13</v>
      </c>
      <c r="F1442" s="163" t="s">
        <v>108</v>
      </c>
      <c r="G1442" s="146"/>
      <c r="H1442" s="141">
        <v>70330</v>
      </c>
      <c r="I1442" s="142" t="s">
        <v>907</v>
      </c>
      <c r="J1442" s="149">
        <v>24173200</v>
      </c>
      <c r="K1442" s="149">
        <v>21086270</v>
      </c>
      <c r="L1442" s="394"/>
      <c r="M1442" s="394" t="s">
        <v>5133</v>
      </c>
      <c r="N1442" s="149">
        <v>31000000</v>
      </c>
      <c r="O1442" s="424" t="s">
        <v>727</v>
      </c>
    </row>
    <row r="1443" spans="1:15" ht="39" customHeight="1" x14ac:dyDescent="0.35">
      <c r="A1443" s="272" t="s">
        <v>4050</v>
      </c>
      <c r="B1443" s="497" t="s">
        <v>731</v>
      </c>
      <c r="C1443" s="165" t="s">
        <v>5</v>
      </c>
      <c r="D1443" s="141" t="s">
        <v>4</v>
      </c>
      <c r="E1443" s="237" t="s">
        <v>13</v>
      </c>
      <c r="F1443" s="163" t="s">
        <v>54</v>
      </c>
      <c r="G1443" s="146"/>
      <c r="H1443" s="141">
        <v>70330</v>
      </c>
      <c r="I1443" s="142" t="s">
        <v>900</v>
      </c>
      <c r="J1443" s="149">
        <v>7797800</v>
      </c>
      <c r="K1443" s="149">
        <v>10673000</v>
      </c>
      <c r="L1443" s="394"/>
      <c r="M1443" s="394" t="s">
        <v>5133</v>
      </c>
      <c r="N1443" s="149">
        <v>10000000</v>
      </c>
      <c r="O1443" s="424" t="s">
        <v>731</v>
      </c>
    </row>
    <row r="1444" spans="1:15" ht="39" customHeight="1" x14ac:dyDescent="0.35">
      <c r="A1444" s="272" t="s">
        <v>4051</v>
      </c>
      <c r="B1444" s="497" t="s">
        <v>118</v>
      </c>
      <c r="C1444" s="165" t="s">
        <v>5</v>
      </c>
      <c r="D1444" s="141" t="s">
        <v>4</v>
      </c>
      <c r="E1444" s="237" t="s">
        <v>13</v>
      </c>
      <c r="F1444" s="163" t="s">
        <v>62</v>
      </c>
      <c r="G1444" s="146"/>
      <c r="H1444" s="141">
        <v>70330</v>
      </c>
      <c r="I1444" s="142" t="s">
        <v>904</v>
      </c>
      <c r="J1444" s="149">
        <v>7177500</v>
      </c>
      <c r="K1444" s="149">
        <v>1834270</v>
      </c>
      <c r="L1444" s="394"/>
      <c r="M1444" s="394" t="s">
        <v>5133</v>
      </c>
      <c r="N1444" s="149">
        <v>16898600</v>
      </c>
      <c r="O1444" s="424" t="s">
        <v>118</v>
      </c>
    </row>
    <row r="1445" spans="1:15" ht="39" customHeight="1" x14ac:dyDescent="0.35">
      <c r="A1445" s="272" t="s">
        <v>4052</v>
      </c>
      <c r="B1445" s="497" t="s">
        <v>119</v>
      </c>
      <c r="C1445" s="363" t="s">
        <v>5</v>
      </c>
      <c r="D1445" s="253" t="s">
        <v>4</v>
      </c>
      <c r="E1445" s="237" t="s">
        <v>716</v>
      </c>
      <c r="F1445" s="163" t="s">
        <v>164</v>
      </c>
      <c r="G1445" s="164"/>
      <c r="H1445" s="141">
        <v>70443</v>
      </c>
      <c r="I1445" s="364" t="s">
        <v>408</v>
      </c>
      <c r="J1445" s="149">
        <v>6000000</v>
      </c>
      <c r="K1445" s="149">
        <v>8212310</v>
      </c>
      <c r="L1445" s="394"/>
      <c r="M1445" s="394" t="s">
        <v>5133</v>
      </c>
      <c r="N1445" s="149"/>
      <c r="O1445" s="424" t="s">
        <v>119</v>
      </c>
    </row>
    <row r="1446" spans="1:15" ht="39" customHeight="1" x14ac:dyDescent="0.35">
      <c r="A1446" s="272" t="s">
        <v>4053</v>
      </c>
      <c r="B1446" s="497" t="s">
        <v>728</v>
      </c>
      <c r="C1446" s="165" t="s">
        <v>5</v>
      </c>
      <c r="D1446" s="141" t="s">
        <v>4</v>
      </c>
      <c r="E1446" s="237" t="s">
        <v>13</v>
      </c>
      <c r="F1446" s="163" t="s">
        <v>62</v>
      </c>
      <c r="G1446" s="146"/>
      <c r="H1446" s="141">
        <v>70330</v>
      </c>
      <c r="I1446" s="142" t="s">
        <v>904</v>
      </c>
      <c r="J1446" s="149">
        <v>15595600</v>
      </c>
      <c r="K1446" s="149">
        <v>14345970</v>
      </c>
      <c r="L1446" s="394"/>
      <c r="M1446" s="394" t="s">
        <v>5133</v>
      </c>
      <c r="N1446" s="149">
        <v>20000000</v>
      </c>
      <c r="O1446" s="424" t="s">
        <v>728</v>
      </c>
    </row>
    <row r="1447" spans="1:15" ht="45.75" customHeight="1" x14ac:dyDescent="0.35">
      <c r="A1447" s="272" t="s">
        <v>4054</v>
      </c>
      <c r="B1447" s="497" t="s">
        <v>729</v>
      </c>
      <c r="C1447" s="165" t="s">
        <v>5</v>
      </c>
      <c r="D1447" s="141" t="s">
        <v>4</v>
      </c>
      <c r="E1447" s="237" t="s">
        <v>13</v>
      </c>
      <c r="F1447" s="163" t="s">
        <v>62</v>
      </c>
      <c r="G1447" s="146"/>
      <c r="H1447" s="141">
        <v>70330</v>
      </c>
      <c r="I1447" s="142" t="s">
        <v>904</v>
      </c>
      <c r="J1447" s="149">
        <v>7206400</v>
      </c>
      <c r="K1447" s="149">
        <v>1834270</v>
      </c>
      <c r="L1447" s="394"/>
      <c r="M1447" s="394" t="s">
        <v>5133</v>
      </c>
      <c r="N1447" s="149">
        <v>9241400</v>
      </c>
      <c r="O1447" s="424" t="s">
        <v>729</v>
      </c>
    </row>
    <row r="1448" spans="1:15" ht="39" customHeight="1" x14ac:dyDescent="0.35">
      <c r="A1448" s="332"/>
      <c r="B1448" s="360" t="s">
        <v>1008</v>
      </c>
      <c r="C1448" s="188"/>
      <c r="D1448" s="257"/>
      <c r="E1448" s="237"/>
      <c r="F1448" s="163"/>
      <c r="G1448" s="273"/>
      <c r="H1448" s="257"/>
      <c r="I1448" s="273"/>
      <c r="J1448" s="259">
        <f>SUM(J1437:J1447)</f>
        <v>129709192</v>
      </c>
      <c r="K1448" s="259">
        <f>SUM(K1437:K1447)</f>
        <v>81000000</v>
      </c>
      <c r="L1448" s="707"/>
      <c r="M1448" s="707"/>
      <c r="N1448" s="259">
        <f>SUM(N1437:N1447)</f>
        <v>166340000</v>
      </c>
      <c r="O1448" s="425" t="s">
        <v>1008</v>
      </c>
    </row>
    <row r="1449" spans="1:15" ht="39" customHeight="1" x14ac:dyDescent="0.35">
      <c r="A1449" s="286"/>
      <c r="B1449" s="361"/>
      <c r="C1449" s="338"/>
      <c r="D1449" s="339"/>
      <c r="E1449" s="330"/>
      <c r="F1449" s="283"/>
      <c r="G1449" s="340"/>
      <c r="H1449" s="339"/>
      <c r="I1449" s="340"/>
      <c r="J1449" s="341"/>
      <c r="K1449" s="458"/>
      <c r="L1449" s="704"/>
      <c r="M1449" s="704"/>
      <c r="N1449" s="341"/>
      <c r="O1449" s="230"/>
    </row>
    <row r="1450" spans="1:15" ht="34.5" customHeight="1" x14ac:dyDescent="0.35">
      <c r="A1450" s="401" t="s">
        <v>1166</v>
      </c>
      <c r="B1450" s="716"/>
      <c r="C1450" s="402"/>
      <c r="D1450" s="403"/>
      <c r="E1450" s="404"/>
      <c r="F1450" s="403"/>
      <c r="G1450" s="404"/>
      <c r="H1450" s="403"/>
      <c r="I1450" s="404"/>
      <c r="J1450" s="405"/>
      <c r="K1450" s="458"/>
      <c r="L1450" s="704"/>
      <c r="M1450" s="704"/>
      <c r="N1450" s="405"/>
      <c r="O1450" s="600"/>
    </row>
    <row r="1451" spans="1:15" ht="39" hidden="1" customHeight="1" x14ac:dyDescent="0.35">
      <c r="A1451" s="428" t="s">
        <v>1166</v>
      </c>
      <c r="B1451" s="583"/>
      <c r="C1451" s="429"/>
      <c r="D1451" s="430"/>
      <c r="E1451" s="494"/>
      <c r="F1451" s="430"/>
      <c r="G1451" s="494"/>
      <c r="H1451" s="430"/>
      <c r="I1451" s="494"/>
      <c r="J1451" s="495"/>
      <c r="K1451" s="458"/>
      <c r="L1451" s="704"/>
      <c r="M1451" s="704"/>
      <c r="N1451" s="495"/>
      <c r="O1451" s="357"/>
    </row>
    <row r="1452" spans="1:15" ht="80.25" customHeight="1" x14ac:dyDescent="0.35">
      <c r="A1452" s="187" t="s">
        <v>1007</v>
      </c>
      <c r="B1452" s="360" t="s">
        <v>50</v>
      </c>
      <c r="C1452" s="175" t="s">
        <v>898</v>
      </c>
      <c r="D1452" s="188" t="s">
        <v>52</v>
      </c>
      <c r="E1452" s="232" t="s">
        <v>49</v>
      </c>
      <c r="F1452" s="188" t="s">
        <v>1</v>
      </c>
      <c r="G1452" s="187"/>
      <c r="H1452" s="175" t="s">
        <v>51</v>
      </c>
      <c r="I1452" s="187" t="s">
        <v>2</v>
      </c>
      <c r="J1452" s="189" t="s">
        <v>4862</v>
      </c>
      <c r="K1452" s="189" t="s">
        <v>5140</v>
      </c>
      <c r="L1452" s="623" t="s">
        <v>5132</v>
      </c>
      <c r="M1452" s="623" t="s">
        <v>5132</v>
      </c>
      <c r="N1452" s="189" t="s">
        <v>1006</v>
      </c>
      <c r="O1452" s="187" t="s">
        <v>50</v>
      </c>
    </row>
    <row r="1453" spans="1:15" ht="52.5" customHeight="1" x14ac:dyDescent="0.35">
      <c r="A1453" s="272" t="s">
        <v>4055</v>
      </c>
      <c r="B1453" s="497" t="s">
        <v>736</v>
      </c>
      <c r="C1453" s="232" t="s">
        <v>5</v>
      </c>
      <c r="D1453" s="332" t="s">
        <v>4</v>
      </c>
      <c r="E1453" s="463" t="s">
        <v>14</v>
      </c>
      <c r="F1453" s="332" t="s">
        <v>131</v>
      </c>
      <c r="G1453" s="146"/>
      <c r="H1453" s="141">
        <v>70330</v>
      </c>
      <c r="I1453" s="142" t="s">
        <v>903</v>
      </c>
      <c r="J1453" s="277">
        <v>161794307</v>
      </c>
      <c r="K1453" s="627">
        <v>50000000</v>
      </c>
      <c r="L1453" s="394"/>
      <c r="M1453" s="394" t="s">
        <v>5133</v>
      </c>
      <c r="N1453" s="277">
        <f>[2]CAPEX!$K$1393</f>
        <v>24341603</v>
      </c>
      <c r="O1453" s="162" t="s">
        <v>736</v>
      </c>
    </row>
    <row r="1454" spans="1:15" ht="39" customHeight="1" x14ac:dyDescent="0.35">
      <c r="A1454" s="272" t="s">
        <v>4056</v>
      </c>
      <c r="B1454" s="497" t="s">
        <v>737</v>
      </c>
      <c r="C1454" s="319" t="s">
        <v>5</v>
      </c>
      <c r="D1454" s="332" t="s">
        <v>4</v>
      </c>
      <c r="E1454" s="463" t="s">
        <v>14</v>
      </c>
      <c r="F1454" s="332" t="s">
        <v>131</v>
      </c>
      <c r="G1454" s="153"/>
      <c r="H1454" s="141" t="s">
        <v>740</v>
      </c>
      <c r="I1454" s="153" t="s">
        <v>903</v>
      </c>
      <c r="J1454" s="277">
        <v>154000000</v>
      </c>
      <c r="K1454" s="627">
        <v>50000000</v>
      </c>
      <c r="L1454" s="394"/>
      <c r="M1454" s="394" t="s">
        <v>5133</v>
      </c>
      <c r="N1454" s="161">
        <f>[2]CAPEX!$K$1394</f>
        <v>40000000</v>
      </c>
      <c r="O1454" s="162" t="s">
        <v>737</v>
      </c>
    </row>
    <row r="1455" spans="1:15" ht="33.75" customHeight="1" x14ac:dyDescent="0.35">
      <c r="A1455" s="272" t="s">
        <v>4057</v>
      </c>
      <c r="B1455" s="497" t="s">
        <v>3162</v>
      </c>
      <c r="C1455" s="331" t="s">
        <v>648</v>
      </c>
      <c r="D1455" s="332" t="s">
        <v>4</v>
      </c>
      <c r="E1455" s="463" t="s">
        <v>14</v>
      </c>
      <c r="F1455" s="332" t="s">
        <v>131</v>
      </c>
      <c r="G1455" s="153"/>
      <c r="H1455" s="141" t="s">
        <v>740</v>
      </c>
      <c r="I1455" s="153" t="s">
        <v>903</v>
      </c>
      <c r="J1455" s="277">
        <v>2000000</v>
      </c>
      <c r="K1455" s="627">
        <v>1000000</v>
      </c>
      <c r="L1455" s="394"/>
      <c r="M1455" s="394" t="s">
        <v>5133</v>
      </c>
      <c r="N1455" s="277">
        <f>[2]CAPEX!$K$1395</f>
        <v>15000000</v>
      </c>
      <c r="O1455" s="162" t="s">
        <v>3162</v>
      </c>
    </row>
    <row r="1456" spans="1:15" ht="47.25" customHeight="1" x14ac:dyDescent="0.35">
      <c r="A1456" s="272" t="s">
        <v>4058</v>
      </c>
      <c r="B1456" s="497" t="s">
        <v>738</v>
      </c>
      <c r="C1456" s="331" t="s">
        <v>470</v>
      </c>
      <c r="D1456" s="332" t="s">
        <v>4</v>
      </c>
      <c r="E1456" s="463" t="s">
        <v>14</v>
      </c>
      <c r="F1456" s="332" t="s">
        <v>131</v>
      </c>
      <c r="G1456" s="164"/>
      <c r="H1456" s="141">
        <v>70330</v>
      </c>
      <c r="I1456" s="142" t="s">
        <v>903</v>
      </c>
      <c r="J1456" s="277">
        <v>2000000</v>
      </c>
      <c r="K1456" s="627">
        <v>1000000</v>
      </c>
      <c r="L1456" s="394"/>
      <c r="M1456" s="394" t="s">
        <v>5133</v>
      </c>
      <c r="N1456" s="277">
        <v>24341603</v>
      </c>
      <c r="O1456" s="162" t="s">
        <v>738</v>
      </c>
    </row>
    <row r="1457" spans="1:15" ht="30.75" customHeight="1" x14ac:dyDescent="0.35">
      <c r="A1457" s="272" t="s">
        <v>4059</v>
      </c>
      <c r="B1457" s="497" t="s">
        <v>739</v>
      </c>
      <c r="C1457" s="331" t="s">
        <v>625</v>
      </c>
      <c r="D1457" s="332" t="s">
        <v>4</v>
      </c>
      <c r="E1457" s="180" t="s">
        <v>14</v>
      </c>
      <c r="F1457" s="332"/>
      <c r="G1457" s="164"/>
      <c r="H1457" s="141">
        <v>70330</v>
      </c>
      <c r="I1457" s="142" t="s">
        <v>903</v>
      </c>
      <c r="J1457" s="277">
        <v>5000000</v>
      </c>
      <c r="K1457" s="627">
        <v>1000000</v>
      </c>
      <c r="L1457" s="394"/>
      <c r="M1457" s="394" t="s">
        <v>5133</v>
      </c>
      <c r="N1457" s="277">
        <v>40000000</v>
      </c>
      <c r="O1457" s="162" t="s">
        <v>739</v>
      </c>
    </row>
    <row r="1458" spans="1:15" ht="42.75" customHeight="1" x14ac:dyDescent="0.35">
      <c r="A1458" s="272" t="s">
        <v>4060</v>
      </c>
      <c r="B1458" s="497" t="s">
        <v>3163</v>
      </c>
      <c r="C1458" s="331" t="s">
        <v>648</v>
      </c>
      <c r="D1458" s="332" t="s">
        <v>4</v>
      </c>
      <c r="E1458" s="463" t="s">
        <v>14</v>
      </c>
      <c r="F1458" s="332" t="s">
        <v>131</v>
      </c>
      <c r="G1458" s="153"/>
      <c r="H1458" s="141" t="s">
        <v>740</v>
      </c>
      <c r="I1458" s="153" t="s">
        <v>903</v>
      </c>
      <c r="J1458" s="277">
        <v>2000000</v>
      </c>
      <c r="K1458" s="627">
        <v>1000000</v>
      </c>
      <c r="L1458" s="394"/>
      <c r="M1458" s="394" t="s">
        <v>5133</v>
      </c>
      <c r="N1458" s="277">
        <f>[2]CAPEX!$K$1398</f>
        <v>5000000</v>
      </c>
      <c r="O1458" s="162" t="s">
        <v>3163</v>
      </c>
    </row>
    <row r="1459" spans="1:15" ht="42.75" customHeight="1" x14ac:dyDescent="0.35">
      <c r="A1459" s="272" t="s">
        <v>4061</v>
      </c>
      <c r="B1459" s="497" t="s">
        <v>3164</v>
      </c>
      <c r="C1459" s="331" t="s">
        <v>309</v>
      </c>
      <c r="D1459" s="332" t="s">
        <v>4</v>
      </c>
      <c r="E1459" s="180" t="s">
        <v>14</v>
      </c>
      <c r="F1459" s="332" t="s">
        <v>983</v>
      </c>
      <c r="G1459" s="164"/>
      <c r="H1459" s="141" t="s">
        <v>740</v>
      </c>
      <c r="I1459" s="153" t="s">
        <v>903</v>
      </c>
      <c r="J1459" s="277">
        <v>2000000</v>
      </c>
      <c r="K1459" s="627">
        <v>1000000</v>
      </c>
      <c r="L1459" s="394"/>
      <c r="M1459" s="394" t="s">
        <v>5133</v>
      </c>
      <c r="N1459" s="277">
        <f>[2]CAPEX!$K$1399</f>
        <v>5400000</v>
      </c>
      <c r="O1459" s="162" t="s">
        <v>3164</v>
      </c>
    </row>
    <row r="1460" spans="1:15" ht="37.5" customHeight="1" x14ac:dyDescent="0.35">
      <c r="A1460" s="272" t="s">
        <v>4062</v>
      </c>
      <c r="B1460" s="497" t="s">
        <v>3165</v>
      </c>
      <c r="C1460" s="162" t="s">
        <v>188</v>
      </c>
      <c r="D1460" s="162" t="s">
        <v>4</v>
      </c>
      <c r="E1460" s="162" t="s">
        <v>14</v>
      </c>
      <c r="F1460" s="162" t="s">
        <v>983</v>
      </c>
      <c r="G1460" s="162"/>
      <c r="H1460" s="162">
        <v>70330</v>
      </c>
      <c r="I1460" s="162" t="s">
        <v>903</v>
      </c>
      <c r="J1460" s="190">
        <v>32000000</v>
      </c>
      <c r="K1460" s="627">
        <v>15000000</v>
      </c>
      <c r="L1460" s="394"/>
      <c r="M1460" s="394" t="s">
        <v>5133</v>
      </c>
      <c r="N1460" s="190">
        <f>[2]CAPEX!$K$1400</f>
        <v>180000000</v>
      </c>
      <c r="O1460" s="162" t="s">
        <v>3165</v>
      </c>
    </row>
    <row r="1461" spans="1:15" ht="40.5" customHeight="1" x14ac:dyDescent="0.35">
      <c r="A1461" s="272" t="s">
        <v>4063</v>
      </c>
      <c r="B1461" s="497" t="s">
        <v>3166</v>
      </c>
      <c r="C1461" s="331" t="s">
        <v>469</v>
      </c>
      <c r="D1461" s="332" t="s">
        <v>4</v>
      </c>
      <c r="E1461" s="180" t="s">
        <v>14</v>
      </c>
      <c r="F1461" s="332"/>
      <c r="G1461" s="164"/>
      <c r="H1461" s="141">
        <v>70330</v>
      </c>
      <c r="I1461" s="142" t="s">
        <v>903</v>
      </c>
      <c r="J1461" s="277">
        <v>5000000</v>
      </c>
      <c r="K1461" s="627">
        <v>2000000</v>
      </c>
      <c r="L1461" s="394"/>
      <c r="M1461" s="394" t="s">
        <v>5133</v>
      </c>
      <c r="N1461" s="277">
        <f>[2]CAPEX!$K$1401</f>
        <v>50000000</v>
      </c>
      <c r="O1461" s="162" t="s">
        <v>3166</v>
      </c>
    </row>
    <row r="1462" spans="1:15" ht="42" customHeight="1" x14ac:dyDescent="0.35">
      <c r="A1462" s="272" t="s">
        <v>4064</v>
      </c>
      <c r="B1462" s="497" t="s">
        <v>3167</v>
      </c>
      <c r="C1462" s="331" t="s">
        <v>648</v>
      </c>
      <c r="D1462" s="332" t="s">
        <v>4</v>
      </c>
      <c r="E1462" s="463" t="s">
        <v>14</v>
      </c>
      <c r="F1462" s="332" t="s">
        <v>131</v>
      </c>
      <c r="G1462" s="153"/>
      <c r="H1462" s="141" t="s">
        <v>740</v>
      </c>
      <c r="I1462" s="153" t="s">
        <v>903</v>
      </c>
      <c r="J1462" s="277">
        <v>2000000</v>
      </c>
      <c r="K1462" s="627">
        <v>1000000</v>
      </c>
      <c r="L1462" s="394"/>
      <c r="M1462" s="394" t="s">
        <v>5133</v>
      </c>
      <c r="N1462" s="277">
        <f>[2]CAPEX!$K$1402</f>
        <v>5000000</v>
      </c>
      <c r="O1462" s="162" t="s">
        <v>3167</v>
      </c>
    </row>
    <row r="1463" spans="1:15" ht="46.5" x14ac:dyDescent="0.35">
      <c r="A1463" s="272" t="s">
        <v>4065</v>
      </c>
      <c r="B1463" s="497" t="s">
        <v>3168</v>
      </c>
      <c r="C1463" s="331" t="s">
        <v>648</v>
      </c>
      <c r="D1463" s="332" t="s">
        <v>4</v>
      </c>
      <c r="E1463" s="463" t="s">
        <v>14</v>
      </c>
      <c r="F1463" s="332" t="s">
        <v>131</v>
      </c>
      <c r="G1463" s="153"/>
      <c r="H1463" s="141" t="s">
        <v>740</v>
      </c>
      <c r="I1463" s="153" t="s">
        <v>903</v>
      </c>
      <c r="J1463" s="277">
        <v>2000000</v>
      </c>
      <c r="K1463" s="627">
        <v>1000000</v>
      </c>
      <c r="L1463" s="394"/>
      <c r="M1463" s="394" t="s">
        <v>5133</v>
      </c>
      <c r="N1463" s="277">
        <f>[2]CAPEX!$K$1403</f>
        <v>35000000</v>
      </c>
      <c r="O1463" s="162" t="s">
        <v>3168</v>
      </c>
    </row>
    <row r="1464" spans="1:15" ht="39" customHeight="1" x14ac:dyDescent="0.35">
      <c r="A1464" s="272" t="s">
        <v>4066</v>
      </c>
      <c r="B1464" s="497" t="s">
        <v>741</v>
      </c>
      <c r="C1464" s="331" t="s">
        <v>648</v>
      </c>
      <c r="D1464" s="332" t="s">
        <v>4</v>
      </c>
      <c r="E1464" s="463" t="s">
        <v>14</v>
      </c>
      <c r="F1464" s="332" t="s">
        <v>131</v>
      </c>
      <c r="G1464" s="153"/>
      <c r="H1464" s="141" t="s">
        <v>740</v>
      </c>
      <c r="I1464" s="153" t="s">
        <v>903</v>
      </c>
      <c r="J1464" s="277">
        <v>2000000</v>
      </c>
      <c r="K1464" s="627">
        <v>1000000</v>
      </c>
      <c r="L1464" s="394"/>
      <c r="M1464" s="394" t="s">
        <v>5133</v>
      </c>
      <c r="N1464" s="277">
        <f>[2]CAPEX!$K$1404</f>
        <v>5000000</v>
      </c>
      <c r="O1464" s="162" t="s">
        <v>741</v>
      </c>
    </row>
    <row r="1465" spans="1:15" ht="43.5" customHeight="1" x14ac:dyDescent="0.35">
      <c r="A1465" s="272" t="s">
        <v>4067</v>
      </c>
      <c r="B1465" s="497" t="s">
        <v>3169</v>
      </c>
      <c r="C1465" s="331" t="s">
        <v>648</v>
      </c>
      <c r="D1465" s="332" t="s">
        <v>4</v>
      </c>
      <c r="E1465" s="463" t="s">
        <v>14</v>
      </c>
      <c r="F1465" s="332" t="s">
        <v>131</v>
      </c>
      <c r="G1465" s="153"/>
      <c r="H1465" s="141" t="s">
        <v>740</v>
      </c>
      <c r="I1465" s="153" t="s">
        <v>903</v>
      </c>
      <c r="J1465" s="277">
        <v>600000</v>
      </c>
      <c r="K1465" s="627">
        <v>500000</v>
      </c>
      <c r="L1465" s="394"/>
      <c r="M1465" s="394" t="s">
        <v>5133</v>
      </c>
      <c r="N1465" s="277">
        <f>[2]CAPEX!$K$1405</f>
        <v>600000</v>
      </c>
      <c r="O1465" s="162" t="s">
        <v>3169</v>
      </c>
    </row>
    <row r="1466" spans="1:15" ht="59.25" customHeight="1" x14ac:dyDescent="0.35">
      <c r="A1466" s="272" t="s">
        <v>4068</v>
      </c>
      <c r="B1466" s="497" t="s">
        <v>742</v>
      </c>
      <c r="C1466" s="331" t="s">
        <v>648</v>
      </c>
      <c r="D1466" s="332" t="s">
        <v>4</v>
      </c>
      <c r="E1466" s="463" t="s">
        <v>14</v>
      </c>
      <c r="F1466" s="332" t="s">
        <v>131</v>
      </c>
      <c r="G1466" s="153"/>
      <c r="H1466" s="141" t="s">
        <v>740</v>
      </c>
      <c r="I1466" s="153" t="s">
        <v>903</v>
      </c>
      <c r="J1466" s="277">
        <v>2000000</v>
      </c>
      <c r="K1466" s="627">
        <v>1000000</v>
      </c>
      <c r="L1466" s="394"/>
      <c r="M1466" s="394" t="s">
        <v>5133</v>
      </c>
      <c r="N1466" s="277">
        <f>[2]CAPEX!$K$1406</f>
        <v>50000000</v>
      </c>
      <c r="O1466" s="162" t="s">
        <v>742</v>
      </c>
    </row>
    <row r="1467" spans="1:15" ht="68.25" customHeight="1" x14ac:dyDescent="0.35">
      <c r="A1467" s="272" t="s">
        <v>4069</v>
      </c>
      <c r="B1467" s="497" t="s">
        <v>3170</v>
      </c>
      <c r="C1467" s="331" t="s">
        <v>309</v>
      </c>
      <c r="D1467" s="332" t="s">
        <v>4</v>
      </c>
      <c r="E1467" s="180" t="s">
        <v>14</v>
      </c>
      <c r="F1467" s="332" t="s">
        <v>983</v>
      </c>
      <c r="G1467" s="164"/>
      <c r="H1467" s="141" t="s">
        <v>740</v>
      </c>
      <c r="I1467" s="153" t="s">
        <v>903</v>
      </c>
      <c r="J1467" s="277">
        <v>300000000</v>
      </c>
      <c r="K1467" s="627">
        <v>218000000</v>
      </c>
      <c r="L1467" s="394"/>
      <c r="M1467" s="394" t="s">
        <v>5133</v>
      </c>
      <c r="N1467" s="161">
        <v>500000000</v>
      </c>
      <c r="O1467" s="162" t="s">
        <v>3170</v>
      </c>
    </row>
    <row r="1468" spans="1:15" ht="37.5" customHeight="1" x14ac:dyDescent="0.35">
      <c r="A1468" s="272" t="s">
        <v>4070</v>
      </c>
      <c r="B1468" s="497" t="s">
        <v>743</v>
      </c>
      <c r="C1468" s="331" t="s">
        <v>5</v>
      </c>
      <c r="D1468" s="332" t="s">
        <v>4</v>
      </c>
      <c r="E1468" s="180" t="s">
        <v>14</v>
      </c>
      <c r="F1468" s="332"/>
      <c r="G1468" s="164"/>
      <c r="H1468" s="141" t="s">
        <v>740</v>
      </c>
      <c r="I1468" s="153" t="s">
        <v>903</v>
      </c>
      <c r="J1468" s="277">
        <v>400000000</v>
      </c>
      <c r="K1468" s="627">
        <v>143000000</v>
      </c>
      <c r="L1468" s="394"/>
      <c r="M1468" s="394" t="s">
        <v>5133</v>
      </c>
      <c r="N1468" s="277">
        <f>[2]CAPEX!$K$1409</f>
        <v>355000000</v>
      </c>
      <c r="O1468" s="162" t="s">
        <v>743</v>
      </c>
    </row>
    <row r="1469" spans="1:15" ht="57" customHeight="1" x14ac:dyDescent="0.35">
      <c r="A1469" s="272" t="s">
        <v>4071</v>
      </c>
      <c r="B1469" s="497" t="s">
        <v>3171</v>
      </c>
      <c r="C1469" s="331" t="s">
        <v>648</v>
      </c>
      <c r="D1469" s="332" t="s">
        <v>4</v>
      </c>
      <c r="E1469" s="463" t="s">
        <v>14</v>
      </c>
      <c r="F1469" s="332" t="s">
        <v>131</v>
      </c>
      <c r="G1469" s="153"/>
      <c r="H1469" s="141" t="s">
        <v>740</v>
      </c>
      <c r="I1469" s="153" t="s">
        <v>903</v>
      </c>
      <c r="J1469" s="277">
        <v>2000000</v>
      </c>
      <c r="K1469" s="627">
        <v>1000000</v>
      </c>
      <c r="L1469" s="394"/>
      <c r="M1469" s="394" t="s">
        <v>5133</v>
      </c>
      <c r="N1469" s="277">
        <f>[2]CAPEX!$K$1410</f>
        <v>80000000</v>
      </c>
      <c r="O1469" s="162" t="s">
        <v>3171</v>
      </c>
    </row>
    <row r="1470" spans="1:15" ht="36.75" customHeight="1" x14ac:dyDescent="0.35">
      <c r="A1470" s="272" t="s">
        <v>4072</v>
      </c>
      <c r="B1470" s="497" t="s">
        <v>744</v>
      </c>
      <c r="C1470" s="331" t="s">
        <v>648</v>
      </c>
      <c r="D1470" s="332" t="s">
        <v>4</v>
      </c>
      <c r="E1470" s="463" t="s">
        <v>14</v>
      </c>
      <c r="F1470" s="332" t="s">
        <v>131</v>
      </c>
      <c r="G1470" s="153"/>
      <c r="H1470" s="141" t="s">
        <v>740</v>
      </c>
      <c r="I1470" s="153" t="s">
        <v>903</v>
      </c>
      <c r="J1470" s="277">
        <v>2000000</v>
      </c>
      <c r="K1470" s="627">
        <f>1000000+10000000+2000000</f>
        <v>13000000</v>
      </c>
      <c r="L1470" s="394"/>
      <c r="M1470" s="394" t="s">
        <v>5133</v>
      </c>
      <c r="N1470" s="277">
        <f>[2]CAPEX!$K$1411</f>
        <v>39000000</v>
      </c>
      <c r="O1470" s="162" t="s">
        <v>744</v>
      </c>
    </row>
    <row r="1471" spans="1:15" ht="46.5" customHeight="1" x14ac:dyDescent="0.35">
      <c r="A1471" s="272" t="s">
        <v>4073</v>
      </c>
      <c r="B1471" s="497" t="s">
        <v>745</v>
      </c>
      <c r="C1471" s="331" t="s">
        <v>648</v>
      </c>
      <c r="D1471" s="332" t="s">
        <v>4</v>
      </c>
      <c r="E1471" s="463" t="s">
        <v>14</v>
      </c>
      <c r="F1471" s="332" t="s">
        <v>131</v>
      </c>
      <c r="G1471" s="153"/>
      <c r="H1471" s="141" t="s">
        <v>740</v>
      </c>
      <c r="I1471" s="153" t="s">
        <v>903</v>
      </c>
      <c r="J1471" s="277">
        <v>2000000</v>
      </c>
      <c r="K1471" s="627">
        <v>21000000</v>
      </c>
      <c r="L1471" s="394"/>
      <c r="M1471" s="394" t="s">
        <v>5133</v>
      </c>
      <c r="N1471" s="277">
        <f>[2]CAPEX!$K$1412</f>
        <v>90000000</v>
      </c>
      <c r="O1471" s="162" t="s">
        <v>745</v>
      </c>
    </row>
    <row r="1472" spans="1:15" ht="46.5" customHeight="1" x14ac:dyDescent="0.35">
      <c r="A1472" s="272" t="s">
        <v>4074</v>
      </c>
      <c r="B1472" s="497" t="s">
        <v>4709</v>
      </c>
      <c r="C1472" s="331" t="s">
        <v>648</v>
      </c>
      <c r="D1472" s="332" t="s">
        <v>4</v>
      </c>
      <c r="E1472" s="463" t="s">
        <v>14</v>
      </c>
      <c r="F1472" s="332" t="s">
        <v>131</v>
      </c>
      <c r="G1472" s="153"/>
      <c r="H1472" s="141" t="s">
        <v>740</v>
      </c>
      <c r="I1472" s="153" t="s">
        <v>903</v>
      </c>
      <c r="J1472" s="277">
        <v>1000000</v>
      </c>
      <c r="K1472" s="627">
        <v>500000</v>
      </c>
      <c r="L1472" s="394"/>
      <c r="M1472" s="394" t="s">
        <v>5133</v>
      </c>
      <c r="N1472" s="277"/>
      <c r="O1472" s="162" t="s">
        <v>3172</v>
      </c>
    </row>
    <row r="1473" spans="1:15" ht="38.25" customHeight="1" x14ac:dyDescent="0.35">
      <c r="A1473" s="272" t="s">
        <v>4075</v>
      </c>
      <c r="B1473" s="497" t="s">
        <v>3173</v>
      </c>
      <c r="C1473" s="331" t="s">
        <v>648</v>
      </c>
      <c r="D1473" s="332" t="s">
        <v>4</v>
      </c>
      <c r="E1473" s="463" t="s">
        <v>14</v>
      </c>
      <c r="F1473" s="332" t="s">
        <v>131</v>
      </c>
      <c r="G1473" s="153"/>
      <c r="H1473" s="141" t="s">
        <v>740</v>
      </c>
      <c r="I1473" s="153" t="s">
        <v>903</v>
      </c>
      <c r="J1473" s="277">
        <v>2000000</v>
      </c>
      <c r="K1473" s="627">
        <v>1000000</v>
      </c>
      <c r="L1473" s="394"/>
      <c r="M1473" s="394" t="s">
        <v>5133</v>
      </c>
      <c r="N1473" s="277"/>
      <c r="O1473" s="162" t="s">
        <v>3173</v>
      </c>
    </row>
    <row r="1474" spans="1:15" ht="39.75" customHeight="1" x14ac:dyDescent="0.35">
      <c r="A1474" s="272" t="s">
        <v>4076</v>
      </c>
      <c r="B1474" s="497" t="s">
        <v>3174</v>
      </c>
      <c r="C1474" s="331" t="s">
        <v>648</v>
      </c>
      <c r="D1474" s="332" t="s">
        <v>4</v>
      </c>
      <c r="E1474" s="463" t="s">
        <v>14</v>
      </c>
      <c r="F1474" s="332" t="s">
        <v>131</v>
      </c>
      <c r="G1474" s="153"/>
      <c r="H1474" s="141" t="s">
        <v>740</v>
      </c>
      <c r="I1474" s="153" t="s">
        <v>903</v>
      </c>
      <c r="J1474" s="277">
        <v>2000000</v>
      </c>
      <c r="K1474" s="627">
        <v>1000000</v>
      </c>
      <c r="L1474" s="394"/>
      <c r="M1474" s="394" t="s">
        <v>5133</v>
      </c>
      <c r="N1474" s="277"/>
      <c r="O1474" s="162" t="s">
        <v>3174</v>
      </c>
    </row>
    <row r="1475" spans="1:15" ht="42.75" customHeight="1" x14ac:dyDescent="0.35">
      <c r="A1475" s="272" t="s">
        <v>4077</v>
      </c>
      <c r="B1475" s="497" t="s">
        <v>3175</v>
      </c>
      <c r="C1475" s="165" t="s">
        <v>5</v>
      </c>
      <c r="D1475" s="141" t="s">
        <v>4</v>
      </c>
      <c r="E1475" s="237" t="s">
        <v>13</v>
      </c>
      <c r="F1475" s="163" t="s">
        <v>62</v>
      </c>
      <c r="G1475" s="146"/>
      <c r="H1475" s="141">
        <v>70330</v>
      </c>
      <c r="I1475" s="142" t="s">
        <v>904</v>
      </c>
      <c r="J1475" s="277">
        <v>10000000</v>
      </c>
      <c r="K1475" s="627">
        <v>4000000</v>
      </c>
      <c r="L1475" s="394"/>
      <c r="M1475" s="394" t="s">
        <v>5133</v>
      </c>
      <c r="N1475" s="277"/>
      <c r="O1475" s="162" t="s">
        <v>3175</v>
      </c>
    </row>
    <row r="1476" spans="1:15" ht="45.75" customHeight="1" x14ac:dyDescent="0.35">
      <c r="A1476" s="272" t="s">
        <v>4078</v>
      </c>
      <c r="B1476" s="497" t="s">
        <v>3176</v>
      </c>
      <c r="C1476" s="165" t="s">
        <v>5</v>
      </c>
      <c r="D1476" s="141" t="s">
        <v>4</v>
      </c>
      <c r="E1476" s="237" t="s">
        <v>13</v>
      </c>
      <c r="F1476" s="163" t="s">
        <v>62</v>
      </c>
      <c r="G1476" s="146"/>
      <c r="H1476" s="141">
        <v>70330</v>
      </c>
      <c r="I1476" s="142" t="s">
        <v>904</v>
      </c>
      <c r="J1476" s="277">
        <v>5000000</v>
      </c>
      <c r="K1476" s="627">
        <v>2000000</v>
      </c>
      <c r="L1476" s="394"/>
      <c r="M1476" s="394" t="s">
        <v>5133</v>
      </c>
      <c r="N1476" s="277"/>
      <c r="O1476" s="162" t="s">
        <v>3176</v>
      </c>
    </row>
    <row r="1477" spans="1:15" ht="31.5" customHeight="1" x14ac:dyDescent="0.35">
      <c r="A1477" s="272" t="s">
        <v>4079</v>
      </c>
      <c r="B1477" s="497" t="s">
        <v>3177</v>
      </c>
      <c r="C1477" s="165" t="s">
        <v>5</v>
      </c>
      <c r="D1477" s="141" t="s">
        <v>4</v>
      </c>
      <c r="E1477" s="237" t="s">
        <v>13</v>
      </c>
      <c r="F1477" s="163" t="s">
        <v>62</v>
      </c>
      <c r="G1477" s="146"/>
      <c r="H1477" s="141">
        <v>70330</v>
      </c>
      <c r="I1477" s="142" t="s">
        <v>904</v>
      </c>
      <c r="J1477" s="277">
        <v>3000000</v>
      </c>
      <c r="K1477" s="627">
        <v>2000000</v>
      </c>
      <c r="L1477" s="394"/>
      <c r="M1477" s="394" t="s">
        <v>5133</v>
      </c>
      <c r="N1477" s="277"/>
      <c r="O1477" s="162" t="s">
        <v>3177</v>
      </c>
    </row>
    <row r="1478" spans="1:15" ht="31.5" customHeight="1" x14ac:dyDescent="0.35">
      <c r="A1478" s="272" t="s">
        <v>4080</v>
      </c>
      <c r="B1478" s="497" t="s">
        <v>3178</v>
      </c>
      <c r="C1478" s="162" t="s">
        <v>5</v>
      </c>
      <c r="D1478" s="162" t="s">
        <v>4</v>
      </c>
      <c r="E1478" s="162" t="s">
        <v>15</v>
      </c>
      <c r="F1478" s="162" t="s">
        <v>108</v>
      </c>
      <c r="G1478" s="162"/>
      <c r="H1478" s="162">
        <v>70330</v>
      </c>
      <c r="I1478" s="162" t="s">
        <v>907</v>
      </c>
      <c r="J1478" s="277">
        <v>5000000</v>
      </c>
      <c r="K1478" s="627">
        <v>5000000</v>
      </c>
      <c r="L1478" s="394"/>
      <c r="M1478" s="394" t="s">
        <v>5133</v>
      </c>
      <c r="N1478" s="277"/>
      <c r="O1478" s="162" t="s">
        <v>3178</v>
      </c>
    </row>
    <row r="1479" spans="1:15" ht="31.5" customHeight="1" x14ac:dyDescent="0.35">
      <c r="A1479" s="272" t="s">
        <v>4081</v>
      </c>
      <c r="B1479" s="497" t="s">
        <v>3179</v>
      </c>
      <c r="C1479" s="319" t="s">
        <v>5</v>
      </c>
      <c r="D1479" s="332" t="s">
        <v>4</v>
      </c>
      <c r="E1479" s="180" t="s">
        <v>14</v>
      </c>
      <c r="F1479" s="332"/>
      <c r="G1479" s="153"/>
      <c r="H1479" s="141" t="s">
        <v>740</v>
      </c>
      <c r="I1479" s="153" t="s">
        <v>903</v>
      </c>
      <c r="J1479" s="277">
        <v>1000000</v>
      </c>
      <c r="K1479" s="627"/>
      <c r="L1479" s="394"/>
      <c r="M1479" s="394" t="s">
        <v>5133</v>
      </c>
      <c r="N1479" s="277"/>
      <c r="O1479" s="162" t="s">
        <v>3179</v>
      </c>
    </row>
    <row r="1480" spans="1:15" ht="39.75" customHeight="1" x14ac:dyDescent="0.35">
      <c r="A1480" s="272" t="s">
        <v>4082</v>
      </c>
      <c r="B1480" s="497" t="s">
        <v>756</v>
      </c>
      <c r="C1480" s="165" t="s">
        <v>5</v>
      </c>
      <c r="D1480" s="163" t="s">
        <v>4</v>
      </c>
      <c r="E1480" s="237" t="s">
        <v>15</v>
      </c>
      <c r="F1480" s="163" t="s">
        <v>56</v>
      </c>
      <c r="G1480" s="167"/>
      <c r="H1480" s="141">
        <v>70330</v>
      </c>
      <c r="I1480" s="146" t="s">
        <v>901</v>
      </c>
      <c r="J1480" s="277">
        <v>5000000</v>
      </c>
      <c r="K1480" s="627">
        <v>5000000</v>
      </c>
      <c r="L1480" s="394"/>
      <c r="M1480" s="394" t="s">
        <v>5133</v>
      </c>
      <c r="N1480" s="277"/>
      <c r="O1480" s="162" t="s">
        <v>756</v>
      </c>
    </row>
    <row r="1481" spans="1:15" ht="59.25" customHeight="1" x14ac:dyDescent="0.35">
      <c r="A1481" s="272" t="s">
        <v>4083</v>
      </c>
      <c r="B1481" s="497" t="s">
        <v>3180</v>
      </c>
      <c r="C1481" s="165" t="s">
        <v>5</v>
      </c>
      <c r="D1481" s="141" t="s">
        <v>4</v>
      </c>
      <c r="E1481" s="237" t="s">
        <v>13</v>
      </c>
      <c r="F1481" s="163" t="s">
        <v>62</v>
      </c>
      <c r="G1481" s="146"/>
      <c r="H1481" s="141">
        <v>70330</v>
      </c>
      <c r="I1481" s="142" t="s">
        <v>904</v>
      </c>
      <c r="J1481" s="277">
        <v>5000000</v>
      </c>
      <c r="K1481" s="627">
        <v>4000000</v>
      </c>
      <c r="L1481" s="394"/>
      <c r="M1481" s="394" t="s">
        <v>5133</v>
      </c>
      <c r="N1481" s="277"/>
      <c r="O1481" s="162" t="s">
        <v>3180</v>
      </c>
    </row>
    <row r="1482" spans="1:15" ht="39" customHeight="1" x14ac:dyDescent="0.35">
      <c r="A1482" s="272" t="s">
        <v>4084</v>
      </c>
      <c r="B1482" s="497" t="s">
        <v>3181</v>
      </c>
      <c r="C1482" s="165" t="s">
        <v>5</v>
      </c>
      <c r="D1482" s="141" t="s">
        <v>4</v>
      </c>
      <c r="E1482" s="237" t="s">
        <v>13</v>
      </c>
      <c r="F1482" s="163" t="s">
        <v>62</v>
      </c>
      <c r="G1482" s="146"/>
      <c r="H1482" s="141">
        <v>70330</v>
      </c>
      <c r="I1482" s="142" t="s">
        <v>904</v>
      </c>
      <c r="J1482" s="277">
        <v>2000000</v>
      </c>
      <c r="K1482" s="627">
        <v>2000000</v>
      </c>
      <c r="L1482" s="394"/>
      <c r="M1482" s="394" t="s">
        <v>5133</v>
      </c>
      <c r="N1482" s="277"/>
      <c r="O1482" s="162" t="s">
        <v>3181</v>
      </c>
    </row>
    <row r="1483" spans="1:15" ht="49.5" customHeight="1" x14ac:dyDescent="0.35">
      <c r="A1483" s="272" t="s">
        <v>4085</v>
      </c>
      <c r="B1483" s="497" t="s">
        <v>3182</v>
      </c>
      <c r="C1483" s="165" t="s">
        <v>5</v>
      </c>
      <c r="D1483" s="141" t="s">
        <v>4</v>
      </c>
      <c r="E1483" s="237" t="s">
        <v>13</v>
      </c>
      <c r="F1483" s="163" t="s">
        <v>110</v>
      </c>
      <c r="G1483" s="238"/>
      <c r="H1483" s="141" t="s">
        <v>19</v>
      </c>
      <c r="I1483" s="142" t="s">
        <v>906</v>
      </c>
      <c r="J1483" s="277">
        <v>200000000</v>
      </c>
      <c r="K1483" s="627">
        <v>50000000</v>
      </c>
      <c r="L1483" s="394"/>
      <c r="M1483" s="394" t="s">
        <v>5133</v>
      </c>
      <c r="N1483" s="277"/>
      <c r="O1483" s="162" t="s">
        <v>3182</v>
      </c>
    </row>
    <row r="1484" spans="1:15" ht="30.75" customHeight="1" x14ac:dyDescent="0.35">
      <c r="A1484" s="272" t="s">
        <v>4086</v>
      </c>
      <c r="B1484" s="497" t="s">
        <v>3183</v>
      </c>
      <c r="C1484" s="165" t="s">
        <v>5</v>
      </c>
      <c r="D1484" s="141" t="s">
        <v>4</v>
      </c>
      <c r="E1484" s="237" t="s">
        <v>13</v>
      </c>
      <c r="F1484" s="163" t="s">
        <v>110</v>
      </c>
      <c r="G1484" s="238"/>
      <c r="H1484" s="141" t="s">
        <v>19</v>
      </c>
      <c r="I1484" s="142" t="s">
        <v>906</v>
      </c>
      <c r="J1484" s="277">
        <v>15000000</v>
      </c>
      <c r="K1484" s="627">
        <v>15000000</v>
      </c>
      <c r="L1484" s="394"/>
      <c r="M1484" s="394" t="s">
        <v>5133</v>
      </c>
      <c r="N1484" s="277"/>
      <c r="O1484" s="162" t="s">
        <v>3183</v>
      </c>
    </row>
    <row r="1485" spans="1:15" ht="37.5" customHeight="1" x14ac:dyDescent="0.35">
      <c r="A1485" s="272" t="s">
        <v>4087</v>
      </c>
      <c r="B1485" s="497" t="s">
        <v>3184</v>
      </c>
      <c r="C1485" s="472" t="s">
        <v>1074</v>
      </c>
      <c r="D1485" s="525" t="s">
        <v>4</v>
      </c>
      <c r="E1485" s="180" t="s">
        <v>14</v>
      </c>
      <c r="F1485" s="163" t="str">
        <f>F1484</f>
        <v>00032010405</v>
      </c>
      <c r="G1485" s="153"/>
      <c r="H1485" s="141" t="s">
        <v>740</v>
      </c>
      <c r="I1485" s="153" t="s">
        <v>903</v>
      </c>
      <c r="J1485" s="144">
        <v>20000000</v>
      </c>
      <c r="K1485" s="627">
        <v>20000000</v>
      </c>
      <c r="L1485" s="394"/>
      <c r="M1485" s="394" t="s">
        <v>5133</v>
      </c>
      <c r="N1485" s="277"/>
      <c r="O1485" s="162" t="s">
        <v>3184</v>
      </c>
    </row>
    <row r="1486" spans="1:15" ht="43.5" customHeight="1" x14ac:dyDescent="0.35">
      <c r="A1486" s="332"/>
      <c r="B1486" s="360" t="s">
        <v>1008</v>
      </c>
      <c r="C1486" s="175"/>
      <c r="D1486" s="171"/>
      <c r="E1486" s="237"/>
      <c r="F1486" s="163"/>
      <c r="G1486" s="176"/>
      <c r="H1486" s="171"/>
      <c r="I1486" s="176"/>
      <c r="J1486" s="177">
        <f>SUM(J1453:J1485)</f>
        <v>1356394307</v>
      </c>
      <c r="K1486" s="177">
        <f>SUM(K1453:K1485)</f>
        <v>634000000</v>
      </c>
      <c r="L1486" s="189"/>
      <c r="M1486" s="189"/>
      <c r="N1486" s="177">
        <f>SUM(N1453:N1469)</f>
        <v>1414683206</v>
      </c>
      <c r="O1486" s="178" t="s">
        <v>1008</v>
      </c>
    </row>
    <row r="1487" spans="1:15" ht="32.25" customHeight="1" x14ac:dyDescent="0.35">
      <c r="A1487" s="286"/>
      <c r="B1487" s="361"/>
      <c r="C1487" s="333"/>
      <c r="D1487" s="159"/>
      <c r="E1487" s="330"/>
      <c r="F1487" s="283"/>
      <c r="G1487" s="334"/>
      <c r="H1487" s="159"/>
      <c r="I1487" s="334"/>
      <c r="J1487" s="335"/>
      <c r="K1487" s="458"/>
      <c r="L1487" s="704"/>
      <c r="M1487" s="704"/>
      <c r="N1487" s="335"/>
      <c r="O1487" s="336"/>
    </row>
    <row r="1488" spans="1:15" ht="37.5" customHeight="1" x14ac:dyDescent="0.35">
      <c r="A1488" s="357" t="s">
        <v>1168</v>
      </c>
      <c r="B1488" s="357"/>
      <c r="C1488" s="357"/>
      <c r="D1488" s="357"/>
      <c r="E1488" s="357"/>
      <c r="F1488" s="357"/>
      <c r="G1488" s="357"/>
      <c r="H1488" s="357"/>
      <c r="I1488" s="357"/>
      <c r="J1488" s="357"/>
      <c r="K1488" s="458"/>
      <c r="L1488" s="704"/>
      <c r="M1488" s="704"/>
      <c r="N1488" s="357"/>
      <c r="O1488" s="605"/>
    </row>
    <row r="1489" spans="1:15" ht="78" customHeight="1" x14ac:dyDescent="0.35">
      <c r="A1489" s="360" t="s">
        <v>1007</v>
      </c>
      <c r="B1489" s="360" t="s">
        <v>50</v>
      </c>
      <c r="C1489" s="175" t="s">
        <v>898</v>
      </c>
      <c r="D1489" s="257" t="s">
        <v>52</v>
      </c>
      <c r="E1489" s="273" t="s">
        <v>49</v>
      </c>
      <c r="F1489" s="257" t="s">
        <v>1</v>
      </c>
      <c r="G1489" s="176"/>
      <c r="H1489" s="171" t="s">
        <v>51</v>
      </c>
      <c r="I1489" s="176" t="s">
        <v>2</v>
      </c>
      <c r="J1489" s="177" t="s">
        <v>4862</v>
      </c>
      <c r="K1489" s="189" t="s">
        <v>5140</v>
      </c>
      <c r="L1489" s="623" t="s">
        <v>5132</v>
      </c>
      <c r="M1489" s="623" t="s">
        <v>5132</v>
      </c>
      <c r="N1489" s="177" t="s">
        <v>932</v>
      </c>
      <c r="O1489" s="178" t="s">
        <v>50</v>
      </c>
    </row>
    <row r="1490" spans="1:15" ht="39" customHeight="1" x14ac:dyDescent="0.35">
      <c r="A1490" s="272" t="s">
        <v>4088</v>
      </c>
      <c r="B1490" s="497" t="s">
        <v>757</v>
      </c>
      <c r="C1490" s="165" t="s">
        <v>5</v>
      </c>
      <c r="D1490" s="163" t="s">
        <v>4</v>
      </c>
      <c r="E1490" s="237" t="s">
        <v>15</v>
      </c>
      <c r="F1490" s="163" t="s">
        <v>62</v>
      </c>
      <c r="G1490" s="142"/>
      <c r="H1490" s="141">
        <v>70330</v>
      </c>
      <c r="I1490" s="142" t="s">
        <v>904</v>
      </c>
      <c r="J1490" s="144">
        <v>5000000</v>
      </c>
      <c r="K1490" s="627">
        <v>2000000</v>
      </c>
      <c r="L1490" s="394"/>
      <c r="M1490" s="394" t="s">
        <v>5133</v>
      </c>
      <c r="N1490" s="166">
        <v>10000000</v>
      </c>
      <c r="O1490" s="162" t="s">
        <v>757</v>
      </c>
    </row>
    <row r="1491" spans="1:15" ht="45.75" customHeight="1" x14ac:dyDescent="0.35">
      <c r="A1491" s="272" t="s">
        <v>4089</v>
      </c>
      <c r="B1491" s="497" t="s">
        <v>753</v>
      </c>
      <c r="C1491" s="165" t="s">
        <v>5</v>
      </c>
      <c r="D1491" s="163" t="s">
        <v>4</v>
      </c>
      <c r="E1491" s="237" t="s">
        <v>15</v>
      </c>
      <c r="F1491" s="163" t="s">
        <v>56</v>
      </c>
      <c r="G1491" s="167"/>
      <c r="H1491" s="141">
        <v>70330</v>
      </c>
      <c r="I1491" s="146" t="s">
        <v>901</v>
      </c>
      <c r="J1491" s="147">
        <v>5000000</v>
      </c>
      <c r="K1491" s="627"/>
      <c r="L1491" s="394"/>
      <c r="M1491" s="394" t="s">
        <v>5133</v>
      </c>
      <c r="N1491" s="166">
        <v>5000000</v>
      </c>
      <c r="O1491" s="162" t="s">
        <v>753</v>
      </c>
    </row>
    <row r="1492" spans="1:15" ht="47.25" customHeight="1" x14ac:dyDescent="0.35">
      <c r="A1492" s="272" t="s">
        <v>4090</v>
      </c>
      <c r="B1492" s="497" t="s">
        <v>756</v>
      </c>
      <c r="C1492" s="165" t="s">
        <v>5</v>
      </c>
      <c r="D1492" s="163" t="s">
        <v>4</v>
      </c>
      <c r="E1492" s="237" t="s">
        <v>15</v>
      </c>
      <c r="F1492" s="163" t="s">
        <v>56</v>
      </c>
      <c r="G1492" s="167"/>
      <c r="H1492" s="141">
        <v>70330</v>
      </c>
      <c r="I1492" s="146" t="s">
        <v>901</v>
      </c>
      <c r="J1492" s="147">
        <v>5000000</v>
      </c>
      <c r="K1492" s="627">
        <v>3000000</v>
      </c>
      <c r="L1492" s="394"/>
      <c r="M1492" s="394" t="s">
        <v>5133</v>
      </c>
      <c r="N1492" s="166">
        <v>7000000</v>
      </c>
      <c r="O1492" s="162" t="s">
        <v>756</v>
      </c>
    </row>
    <row r="1493" spans="1:15" ht="45" customHeight="1" x14ac:dyDescent="0.35">
      <c r="A1493" s="272" t="s">
        <v>4091</v>
      </c>
      <c r="B1493" s="497" t="s">
        <v>751</v>
      </c>
      <c r="C1493" s="162" t="s">
        <v>5</v>
      </c>
      <c r="D1493" s="162" t="s">
        <v>4</v>
      </c>
      <c r="E1493" s="162" t="s">
        <v>15</v>
      </c>
      <c r="F1493" s="162" t="s">
        <v>983</v>
      </c>
      <c r="G1493" s="162"/>
      <c r="H1493" s="162">
        <v>70330</v>
      </c>
      <c r="I1493" s="162" t="s">
        <v>902</v>
      </c>
      <c r="J1493" s="190">
        <v>15000000</v>
      </c>
      <c r="K1493" s="627">
        <v>10000000</v>
      </c>
      <c r="L1493" s="394"/>
      <c r="M1493" s="394" t="s">
        <v>5133</v>
      </c>
      <c r="N1493" s="190">
        <v>30000000</v>
      </c>
      <c r="O1493" s="162" t="s">
        <v>751</v>
      </c>
    </row>
    <row r="1494" spans="1:15" ht="42" customHeight="1" x14ac:dyDescent="0.35">
      <c r="A1494" s="272" t="s">
        <v>4092</v>
      </c>
      <c r="B1494" s="497" t="s">
        <v>60</v>
      </c>
      <c r="C1494" s="162" t="s">
        <v>5</v>
      </c>
      <c r="D1494" s="162" t="s">
        <v>4</v>
      </c>
      <c r="E1494" s="162" t="s">
        <v>15</v>
      </c>
      <c r="F1494" s="162" t="s">
        <v>983</v>
      </c>
      <c r="G1494" s="162"/>
      <c r="H1494" s="162">
        <v>70330</v>
      </c>
      <c r="I1494" s="162" t="s">
        <v>902</v>
      </c>
      <c r="J1494" s="190">
        <v>10000000</v>
      </c>
      <c r="K1494" s="627">
        <v>9500000</v>
      </c>
      <c r="L1494" s="394"/>
      <c r="M1494" s="394" t="s">
        <v>5133</v>
      </c>
      <c r="N1494" s="190">
        <v>20000000</v>
      </c>
      <c r="O1494" s="162" t="s">
        <v>60</v>
      </c>
    </row>
    <row r="1495" spans="1:15" ht="36.75" customHeight="1" x14ac:dyDescent="0.35">
      <c r="A1495" s="272" t="s">
        <v>4093</v>
      </c>
      <c r="B1495" s="497" t="s">
        <v>755</v>
      </c>
      <c r="C1495" s="162" t="s">
        <v>5</v>
      </c>
      <c r="D1495" s="162" t="s">
        <v>4</v>
      </c>
      <c r="E1495" s="162" t="s">
        <v>15</v>
      </c>
      <c r="F1495" s="162" t="s">
        <v>108</v>
      </c>
      <c r="G1495" s="162"/>
      <c r="H1495" s="162">
        <v>70330</v>
      </c>
      <c r="I1495" s="162" t="s">
        <v>907</v>
      </c>
      <c r="J1495" s="190">
        <v>10000000</v>
      </c>
      <c r="K1495" s="627"/>
      <c r="L1495" s="394"/>
      <c r="M1495" s="394" t="s">
        <v>5133</v>
      </c>
      <c r="N1495" s="190">
        <v>15000000</v>
      </c>
      <c r="O1495" s="162" t="s">
        <v>755</v>
      </c>
    </row>
    <row r="1496" spans="1:15" ht="53.25" customHeight="1" x14ac:dyDescent="0.35">
      <c r="A1496" s="272" t="s">
        <v>4094</v>
      </c>
      <c r="B1496" s="497" t="s">
        <v>747</v>
      </c>
      <c r="C1496" s="162" t="s">
        <v>647</v>
      </c>
      <c r="D1496" s="162" t="s">
        <v>4</v>
      </c>
      <c r="E1496" s="162" t="s">
        <v>15</v>
      </c>
      <c r="F1496" s="162" t="s">
        <v>131</v>
      </c>
      <c r="G1496" s="162"/>
      <c r="H1496" s="162">
        <v>70330</v>
      </c>
      <c r="I1496" s="162" t="s">
        <v>903</v>
      </c>
      <c r="J1496" s="190">
        <v>44099629</v>
      </c>
      <c r="K1496" s="627">
        <v>10000000</v>
      </c>
      <c r="L1496" s="394"/>
      <c r="M1496" s="394" t="s">
        <v>5133</v>
      </c>
      <c r="N1496" s="190">
        <v>44099629</v>
      </c>
      <c r="O1496" s="162" t="s">
        <v>747</v>
      </c>
    </row>
    <row r="1497" spans="1:15" ht="45" customHeight="1" x14ac:dyDescent="0.35">
      <c r="A1497" s="272" t="s">
        <v>4095</v>
      </c>
      <c r="B1497" s="497" t="s">
        <v>748</v>
      </c>
      <c r="C1497" s="162" t="s">
        <v>749</v>
      </c>
      <c r="D1497" s="162" t="s">
        <v>4</v>
      </c>
      <c r="E1497" s="162" t="s">
        <v>15</v>
      </c>
      <c r="F1497" s="162" t="s">
        <v>131</v>
      </c>
      <c r="G1497" s="162"/>
      <c r="H1497" s="162">
        <v>70330</v>
      </c>
      <c r="I1497" s="162" t="s">
        <v>903</v>
      </c>
      <c r="J1497" s="190">
        <v>20000000</v>
      </c>
      <c r="K1497" s="627"/>
      <c r="L1497" s="394"/>
      <c r="M1497" s="394" t="s">
        <v>5133</v>
      </c>
      <c r="N1497" s="190">
        <v>20000000</v>
      </c>
      <c r="O1497" s="162" t="s">
        <v>748</v>
      </c>
    </row>
    <row r="1498" spans="1:15" ht="51" customHeight="1" x14ac:dyDescent="0.35">
      <c r="A1498" s="272" t="s">
        <v>4096</v>
      </c>
      <c r="B1498" s="497" t="s">
        <v>2490</v>
      </c>
      <c r="C1498" s="162" t="s">
        <v>650</v>
      </c>
      <c r="D1498" s="162" t="s">
        <v>4</v>
      </c>
      <c r="E1498" s="162" t="s">
        <v>15</v>
      </c>
      <c r="F1498" s="162" t="s">
        <v>131</v>
      </c>
      <c r="G1498" s="162"/>
      <c r="H1498" s="162">
        <v>70330</v>
      </c>
      <c r="I1498" s="162" t="s">
        <v>903</v>
      </c>
      <c r="J1498" s="190">
        <v>20000000</v>
      </c>
      <c r="K1498" s="627">
        <v>10000000</v>
      </c>
      <c r="L1498" s="394"/>
      <c r="M1498" s="394" t="s">
        <v>5133</v>
      </c>
      <c r="N1498" s="190">
        <v>20000000</v>
      </c>
      <c r="O1498" s="162" t="s">
        <v>2490</v>
      </c>
    </row>
    <row r="1499" spans="1:15" ht="52.5" customHeight="1" x14ac:dyDescent="0.35">
      <c r="A1499" s="272" t="s">
        <v>4097</v>
      </c>
      <c r="B1499" s="497" t="s">
        <v>750</v>
      </c>
      <c r="C1499" s="162" t="s">
        <v>497</v>
      </c>
      <c r="D1499" s="162" t="s">
        <v>4</v>
      </c>
      <c r="E1499" s="162" t="s">
        <v>15</v>
      </c>
      <c r="F1499" s="162" t="s">
        <v>131</v>
      </c>
      <c r="G1499" s="162"/>
      <c r="H1499" s="162">
        <v>70330</v>
      </c>
      <c r="I1499" s="162" t="s">
        <v>903</v>
      </c>
      <c r="J1499" s="190">
        <v>10000000</v>
      </c>
      <c r="K1499" s="627"/>
      <c r="L1499" s="394"/>
      <c r="M1499" s="394" t="s">
        <v>5133</v>
      </c>
      <c r="N1499" s="190">
        <v>36835852</v>
      </c>
      <c r="O1499" s="162" t="s">
        <v>750</v>
      </c>
    </row>
    <row r="1500" spans="1:15" ht="48.75" customHeight="1" x14ac:dyDescent="0.35">
      <c r="A1500" s="272" t="s">
        <v>4098</v>
      </c>
      <c r="B1500" s="497" t="s">
        <v>752</v>
      </c>
      <c r="C1500" s="162" t="s">
        <v>379</v>
      </c>
      <c r="D1500" s="162" t="s">
        <v>4</v>
      </c>
      <c r="E1500" s="162" t="s">
        <v>15</v>
      </c>
      <c r="F1500" s="162" t="s">
        <v>131</v>
      </c>
      <c r="G1500" s="162"/>
      <c r="H1500" s="162">
        <v>70330</v>
      </c>
      <c r="I1500" s="162" t="s">
        <v>903</v>
      </c>
      <c r="J1500" s="190">
        <v>67000000</v>
      </c>
      <c r="K1500" s="627">
        <v>10000000</v>
      </c>
      <c r="L1500" s="394"/>
      <c r="M1500" s="394" t="s">
        <v>5133</v>
      </c>
      <c r="N1500" s="190">
        <v>67000000</v>
      </c>
      <c r="O1500" s="162" t="s">
        <v>752</v>
      </c>
    </row>
    <row r="1501" spans="1:15" ht="57" customHeight="1" x14ac:dyDescent="0.35">
      <c r="A1501" s="272" t="s">
        <v>4099</v>
      </c>
      <c r="B1501" s="497" t="s">
        <v>2488</v>
      </c>
      <c r="C1501" s="162" t="s">
        <v>644</v>
      </c>
      <c r="D1501" s="162" t="s">
        <v>4</v>
      </c>
      <c r="E1501" s="162" t="s">
        <v>15</v>
      </c>
      <c r="F1501" s="162" t="s">
        <v>131</v>
      </c>
      <c r="G1501" s="162"/>
      <c r="H1501" s="162">
        <v>70330</v>
      </c>
      <c r="I1501" s="162" t="s">
        <v>903</v>
      </c>
      <c r="J1501" s="190">
        <v>20000000</v>
      </c>
      <c r="K1501" s="627"/>
      <c r="L1501" s="394"/>
      <c r="M1501" s="394" t="s">
        <v>5133</v>
      </c>
      <c r="N1501" s="190">
        <v>25000000</v>
      </c>
      <c r="O1501" s="162" t="s">
        <v>2488</v>
      </c>
    </row>
    <row r="1502" spans="1:15" ht="36" customHeight="1" x14ac:dyDescent="0.35">
      <c r="A1502" s="272" t="s">
        <v>4100</v>
      </c>
      <c r="B1502" s="497" t="s">
        <v>69</v>
      </c>
      <c r="C1502" s="162" t="s">
        <v>5</v>
      </c>
      <c r="D1502" s="162" t="s">
        <v>4</v>
      </c>
      <c r="E1502" s="162" t="s">
        <v>15</v>
      </c>
      <c r="F1502" s="162" t="s">
        <v>110</v>
      </c>
      <c r="G1502" s="162"/>
      <c r="H1502" s="162">
        <v>70330</v>
      </c>
      <c r="I1502" s="162" t="s">
        <v>906</v>
      </c>
      <c r="J1502" s="190">
        <v>30000000</v>
      </c>
      <c r="K1502" s="627">
        <v>20000000</v>
      </c>
      <c r="L1502" s="394"/>
      <c r="M1502" s="394" t="s">
        <v>5133</v>
      </c>
      <c r="N1502" s="190">
        <v>100000000</v>
      </c>
      <c r="O1502" s="162" t="s">
        <v>69</v>
      </c>
    </row>
    <row r="1503" spans="1:15" ht="42" customHeight="1" x14ac:dyDescent="0.35">
      <c r="A1503" s="272" t="s">
        <v>4101</v>
      </c>
      <c r="B1503" s="497" t="s">
        <v>2489</v>
      </c>
      <c r="C1503" s="162" t="s">
        <v>5</v>
      </c>
      <c r="D1503" s="162" t="s">
        <v>4</v>
      </c>
      <c r="E1503" s="162" t="s">
        <v>15</v>
      </c>
      <c r="F1503" s="162" t="s">
        <v>110</v>
      </c>
      <c r="G1503" s="162"/>
      <c r="H1503" s="162">
        <v>70330</v>
      </c>
      <c r="I1503" s="162" t="s">
        <v>906</v>
      </c>
      <c r="J1503" s="190">
        <v>65000000</v>
      </c>
      <c r="K1503" s="627">
        <v>35000000</v>
      </c>
      <c r="L1503" s="394"/>
      <c r="M1503" s="394" t="s">
        <v>5133</v>
      </c>
      <c r="N1503" s="190">
        <v>140000000</v>
      </c>
      <c r="O1503" s="162" t="s">
        <v>2489</v>
      </c>
    </row>
    <row r="1504" spans="1:15" ht="46.5" customHeight="1" x14ac:dyDescent="0.35">
      <c r="A1504" s="272" t="s">
        <v>4102</v>
      </c>
      <c r="B1504" s="497" t="s">
        <v>96</v>
      </c>
      <c r="C1504" s="162" t="s">
        <v>5</v>
      </c>
      <c r="D1504" s="162" t="s">
        <v>4</v>
      </c>
      <c r="E1504" s="162" t="s">
        <v>15</v>
      </c>
      <c r="F1504" s="162" t="s">
        <v>54</v>
      </c>
      <c r="G1504" s="162"/>
      <c r="H1504" s="162">
        <v>70330</v>
      </c>
      <c r="I1504" s="162" t="s">
        <v>900</v>
      </c>
      <c r="J1504" s="190">
        <v>12500000</v>
      </c>
      <c r="K1504" s="627">
        <v>9500000</v>
      </c>
      <c r="L1504" s="394"/>
      <c r="M1504" s="394" t="s">
        <v>5133</v>
      </c>
      <c r="N1504" s="190">
        <v>17500000</v>
      </c>
      <c r="O1504" s="162" t="s">
        <v>96</v>
      </c>
    </row>
    <row r="1505" spans="1:16" ht="61.5" customHeight="1" x14ac:dyDescent="0.35">
      <c r="A1505" s="272" t="s">
        <v>4103</v>
      </c>
      <c r="B1505" s="497" t="s">
        <v>754</v>
      </c>
      <c r="C1505" s="162" t="s">
        <v>5</v>
      </c>
      <c r="D1505" s="162" t="s">
        <v>4</v>
      </c>
      <c r="E1505" s="162" t="s">
        <v>15</v>
      </c>
      <c r="F1505" s="162" t="s">
        <v>62</v>
      </c>
      <c r="G1505" s="162"/>
      <c r="H1505" s="162">
        <v>70330</v>
      </c>
      <c r="I1505" s="162" t="s">
        <v>904</v>
      </c>
      <c r="J1505" s="190">
        <v>5000000</v>
      </c>
      <c r="K1505" s="627"/>
      <c r="L1505" s="394"/>
      <c r="M1505" s="394" t="s">
        <v>5133</v>
      </c>
      <c r="N1505" s="190">
        <v>5000000</v>
      </c>
      <c r="O1505" s="162" t="s">
        <v>754</v>
      </c>
    </row>
    <row r="1506" spans="1:16" ht="43.5" customHeight="1" x14ac:dyDescent="0.35">
      <c r="A1506" s="332"/>
      <c r="B1506" s="360" t="s">
        <v>1008</v>
      </c>
      <c r="C1506" s="175"/>
      <c r="D1506" s="171"/>
      <c r="E1506" s="237"/>
      <c r="F1506" s="163"/>
      <c r="G1506" s="176"/>
      <c r="H1506" s="171"/>
      <c r="I1506" s="176"/>
      <c r="J1506" s="177">
        <f>SUM(J1490:J1505)</f>
        <v>343599629</v>
      </c>
      <c r="K1506" s="177">
        <f>SUM(K1490:K1505)</f>
        <v>119000000</v>
      </c>
      <c r="L1506" s="189"/>
      <c r="M1506" s="189"/>
      <c r="N1506" s="177">
        <f>SUM(N1490:N1505)</f>
        <v>562435481</v>
      </c>
      <c r="O1506" s="178" t="s">
        <v>1008</v>
      </c>
    </row>
    <row r="1507" spans="1:16" ht="28.5" customHeight="1" x14ac:dyDescent="0.35">
      <c r="A1507" s="286"/>
      <c r="B1507" s="361"/>
      <c r="C1507" s="333"/>
      <c r="D1507" s="159"/>
      <c r="E1507" s="330"/>
      <c r="F1507" s="283"/>
      <c r="G1507" s="334"/>
      <c r="H1507" s="159"/>
      <c r="I1507" s="334"/>
      <c r="J1507" s="335"/>
      <c r="K1507" s="458"/>
      <c r="L1507" s="704"/>
      <c r="M1507" s="704"/>
      <c r="N1507" s="335"/>
      <c r="O1507" s="336"/>
    </row>
    <row r="1508" spans="1:16" ht="26.25" customHeight="1" x14ac:dyDescent="0.35">
      <c r="A1508" s="401" t="s">
        <v>4945</v>
      </c>
      <c r="B1508" s="716"/>
      <c r="C1508" s="402"/>
      <c r="D1508" s="403"/>
      <c r="E1508" s="404"/>
      <c r="F1508" s="403"/>
      <c r="G1508" s="404"/>
      <c r="H1508" s="403"/>
      <c r="I1508" s="404"/>
      <c r="J1508" s="405"/>
      <c r="K1508" s="458"/>
      <c r="L1508" s="704"/>
      <c r="M1508" s="704"/>
      <c r="N1508" s="405"/>
      <c r="O1508" s="600"/>
    </row>
    <row r="1509" spans="1:16" ht="32.25" hidden="1" customHeight="1" x14ac:dyDescent="0.35">
      <c r="A1509" s="428" t="s">
        <v>3063</v>
      </c>
      <c r="B1509" s="583"/>
      <c r="C1509" s="429"/>
      <c r="D1509" s="430"/>
      <c r="E1509" s="494"/>
      <c r="F1509" s="430"/>
      <c r="G1509" s="494"/>
      <c r="H1509" s="430"/>
      <c r="I1509" s="494"/>
      <c r="J1509" s="495"/>
      <c r="K1509" s="458"/>
      <c r="L1509" s="704"/>
      <c r="M1509" s="704"/>
      <c r="N1509" s="495"/>
      <c r="O1509" s="357"/>
    </row>
    <row r="1510" spans="1:16" ht="82.5" customHeight="1" x14ac:dyDescent="0.35">
      <c r="A1510" s="360" t="s">
        <v>1007</v>
      </c>
      <c r="B1510" s="360" t="s">
        <v>50</v>
      </c>
      <c r="C1510" s="175" t="s">
        <v>898</v>
      </c>
      <c r="D1510" s="257" t="s">
        <v>52</v>
      </c>
      <c r="E1510" s="273" t="s">
        <v>49</v>
      </c>
      <c r="F1510" s="257" t="s">
        <v>1</v>
      </c>
      <c r="G1510" s="176"/>
      <c r="H1510" s="171" t="s">
        <v>51</v>
      </c>
      <c r="I1510" s="176" t="s">
        <v>2</v>
      </c>
      <c r="J1510" s="177" t="s">
        <v>4862</v>
      </c>
      <c r="K1510" s="189" t="s">
        <v>5140</v>
      </c>
      <c r="L1510" s="623" t="s">
        <v>5132</v>
      </c>
      <c r="M1510" s="623" t="s">
        <v>5132</v>
      </c>
      <c r="N1510" s="177" t="s">
        <v>1006</v>
      </c>
      <c r="O1510" s="178" t="s">
        <v>50</v>
      </c>
    </row>
    <row r="1511" spans="1:16" ht="33" customHeight="1" x14ac:dyDescent="0.35">
      <c r="A1511" s="272" t="s">
        <v>1280</v>
      </c>
      <c r="B1511" s="463" t="s">
        <v>1316</v>
      </c>
      <c r="C1511" s="165" t="s">
        <v>5</v>
      </c>
      <c r="D1511" s="141" t="s">
        <v>4</v>
      </c>
      <c r="E1511" s="237" t="s">
        <v>13</v>
      </c>
      <c r="F1511" s="163" t="s">
        <v>62</v>
      </c>
      <c r="G1511" s="146"/>
      <c r="H1511" s="141">
        <v>70330</v>
      </c>
      <c r="I1511" s="142" t="s">
        <v>904</v>
      </c>
      <c r="J1511" s="144">
        <v>7000000</v>
      </c>
      <c r="K1511" s="627">
        <v>5000000</v>
      </c>
      <c r="L1511" s="394"/>
      <c r="M1511" s="394" t="s">
        <v>5133</v>
      </c>
      <c r="N1511" s="149">
        <f>[2]CAPEX!$K$1462</f>
        <v>9000000</v>
      </c>
      <c r="O1511" s="180" t="s">
        <v>1316</v>
      </c>
    </row>
    <row r="1512" spans="1:16" ht="36.75" customHeight="1" x14ac:dyDescent="0.35">
      <c r="A1512" s="272" t="s">
        <v>1281</v>
      </c>
      <c r="B1512" s="463" t="s">
        <v>220</v>
      </c>
      <c r="C1512" s="165" t="s">
        <v>5</v>
      </c>
      <c r="D1512" s="141" t="s">
        <v>4</v>
      </c>
      <c r="E1512" s="237" t="s">
        <v>16</v>
      </c>
      <c r="F1512" s="163" t="s">
        <v>62</v>
      </c>
      <c r="G1512" s="146"/>
      <c r="H1512" s="141">
        <v>70330</v>
      </c>
      <c r="I1512" s="142" t="s">
        <v>904</v>
      </c>
      <c r="J1512" s="144">
        <v>6000000</v>
      </c>
      <c r="K1512" s="627">
        <v>4000000</v>
      </c>
      <c r="L1512" s="394"/>
      <c r="M1512" s="394" t="s">
        <v>5133</v>
      </c>
      <c r="N1512" s="149">
        <v>9000000</v>
      </c>
      <c r="O1512" s="180" t="s">
        <v>220</v>
      </c>
    </row>
    <row r="1513" spans="1:16" ht="36.75" customHeight="1" x14ac:dyDescent="0.35">
      <c r="A1513" s="272" t="s">
        <v>1282</v>
      </c>
      <c r="B1513" s="463" t="s">
        <v>60</v>
      </c>
      <c r="C1513" s="165" t="s">
        <v>5</v>
      </c>
      <c r="D1513" s="141" t="s">
        <v>4</v>
      </c>
      <c r="E1513" s="237" t="s">
        <v>16</v>
      </c>
      <c r="F1513" s="163" t="s">
        <v>983</v>
      </c>
      <c r="G1513" s="146"/>
      <c r="H1513" s="141">
        <v>70330</v>
      </c>
      <c r="I1513" s="142" t="s">
        <v>902</v>
      </c>
      <c r="J1513" s="144">
        <v>15000000</v>
      </c>
      <c r="K1513" s="627">
        <v>5500000</v>
      </c>
      <c r="L1513" s="394"/>
      <c r="M1513" s="394" t="s">
        <v>5133</v>
      </c>
      <c r="N1513" s="149">
        <v>15000000</v>
      </c>
      <c r="O1513" s="180" t="s">
        <v>60</v>
      </c>
    </row>
    <row r="1514" spans="1:16" ht="30" customHeight="1" x14ac:dyDescent="0.35">
      <c r="A1514" s="272" t="s">
        <v>1283</v>
      </c>
      <c r="B1514" s="463" t="s">
        <v>102</v>
      </c>
      <c r="C1514" s="165" t="s">
        <v>5</v>
      </c>
      <c r="D1514" s="141" t="s">
        <v>4</v>
      </c>
      <c r="E1514" s="237" t="s">
        <v>16</v>
      </c>
      <c r="F1514" s="163" t="s">
        <v>56</v>
      </c>
      <c r="G1514" s="146"/>
      <c r="H1514" s="141">
        <v>70330</v>
      </c>
      <c r="I1514" s="142" t="s">
        <v>901</v>
      </c>
      <c r="J1514" s="144">
        <v>1000000</v>
      </c>
      <c r="K1514" s="627">
        <v>1000000</v>
      </c>
      <c r="L1514" s="394"/>
      <c r="M1514" s="394" t="s">
        <v>5133</v>
      </c>
      <c r="N1514" s="149">
        <v>1000000</v>
      </c>
      <c r="O1514" s="180" t="s">
        <v>102</v>
      </c>
    </row>
    <row r="1515" spans="1:16" ht="27.75" customHeight="1" x14ac:dyDescent="0.35">
      <c r="A1515" s="272" t="s">
        <v>1284</v>
      </c>
      <c r="B1515" s="463" t="s">
        <v>760</v>
      </c>
      <c r="C1515" s="165" t="s">
        <v>5</v>
      </c>
      <c r="D1515" s="141" t="s">
        <v>4</v>
      </c>
      <c r="E1515" s="237" t="s">
        <v>16</v>
      </c>
      <c r="F1515" s="163" t="s">
        <v>108</v>
      </c>
      <c r="G1515" s="146"/>
      <c r="H1515" s="141">
        <v>70330</v>
      </c>
      <c r="I1515" s="142" t="s">
        <v>907</v>
      </c>
      <c r="J1515" s="144">
        <v>10000000</v>
      </c>
      <c r="K1515" s="627">
        <v>4500000</v>
      </c>
      <c r="L1515" s="394"/>
      <c r="M1515" s="394" t="s">
        <v>5133</v>
      </c>
      <c r="N1515" s="149">
        <v>10000000</v>
      </c>
      <c r="O1515" s="180" t="s">
        <v>760</v>
      </c>
    </row>
    <row r="1516" spans="1:16" ht="33.75" customHeight="1" x14ac:dyDescent="0.35">
      <c r="A1516" s="272" t="s">
        <v>1285</v>
      </c>
      <c r="B1516" s="463" t="s">
        <v>759</v>
      </c>
      <c r="C1516" s="165" t="s">
        <v>5</v>
      </c>
      <c r="D1516" s="141" t="s">
        <v>4</v>
      </c>
      <c r="E1516" s="237" t="s">
        <v>16</v>
      </c>
      <c r="F1516" s="163" t="s">
        <v>62</v>
      </c>
      <c r="G1516" s="146"/>
      <c r="H1516" s="141">
        <v>70330</v>
      </c>
      <c r="I1516" s="142" t="s">
        <v>900</v>
      </c>
      <c r="J1516" s="144">
        <v>15000000</v>
      </c>
      <c r="K1516" s="627">
        <v>5000000</v>
      </c>
      <c r="L1516" s="394"/>
      <c r="M1516" s="394" t="s">
        <v>5133</v>
      </c>
      <c r="N1516" s="149">
        <v>20000000</v>
      </c>
      <c r="O1516" s="180" t="s">
        <v>759</v>
      </c>
    </row>
    <row r="1517" spans="1:16" ht="48" customHeight="1" x14ac:dyDescent="0.35">
      <c r="A1517" s="272" t="s">
        <v>1286</v>
      </c>
      <c r="B1517" s="463" t="s">
        <v>758</v>
      </c>
      <c r="C1517" s="165" t="s">
        <v>5</v>
      </c>
      <c r="D1517" s="141" t="s">
        <v>4</v>
      </c>
      <c r="E1517" s="237" t="s">
        <v>16</v>
      </c>
      <c r="F1517" s="163" t="s">
        <v>105</v>
      </c>
      <c r="G1517" s="146"/>
      <c r="H1517" s="141">
        <v>70330</v>
      </c>
      <c r="I1517" s="142" t="s">
        <v>59</v>
      </c>
      <c r="J1517" s="144">
        <v>1000000</v>
      </c>
      <c r="K1517" s="627">
        <v>1000000</v>
      </c>
      <c r="L1517" s="394"/>
      <c r="M1517" s="394" t="s">
        <v>5133</v>
      </c>
      <c r="N1517" s="149">
        <v>9000000</v>
      </c>
      <c r="O1517" s="180" t="s">
        <v>758</v>
      </c>
    </row>
    <row r="1518" spans="1:16" ht="30" customHeight="1" x14ac:dyDescent="0.35">
      <c r="A1518" s="272" t="s">
        <v>1287</v>
      </c>
      <c r="B1518" s="463" t="s">
        <v>761</v>
      </c>
      <c r="C1518" s="165" t="s">
        <v>5</v>
      </c>
      <c r="D1518" s="141" t="s">
        <v>4</v>
      </c>
      <c r="E1518" s="237" t="s">
        <v>16</v>
      </c>
      <c r="F1518" s="163" t="s">
        <v>110</v>
      </c>
      <c r="G1518" s="167"/>
      <c r="H1518" s="141">
        <v>70330</v>
      </c>
      <c r="I1518" s="146" t="s">
        <v>906</v>
      </c>
      <c r="J1518" s="144">
        <v>17000000</v>
      </c>
      <c r="K1518" s="627">
        <v>5000000</v>
      </c>
      <c r="L1518" s="394"/>
      <c r="M1518" s="394" t="s">
        <v>5133</v>
      </c>
      <c r="N1518" s="149">
        <v>30000000</v>
      </c>
      <c r="O1518" s="180" t="s">
        <v>761</v>
      </c>
    </row>
    <row r="1519" spans="1:16" ht="28.5" customHeight="1" x14ac:dyDescent="0.35">
      <c r="A1519" s="245"/>
      <c r="B1519" s="360" t="s">
        <v>1008</v>
      </c>
      <c r="C1519" s="188"/>
      <c r="D1519" s="257"/>
      <c r="E1519" s="273"/>
      <c r="F1519" s="257"/>
      <c r="G1519" s="273"/>
      <c r="H1519" s="257"/>
      <c r="I1519" s="273"/>
      <c r="J1519" s="259">
        <f>SUM(J1511:J1518)</f>
        <v>72000000</v>
      </c>
      <c r="K1519" s="259">
        <f>SUM(K1511:K1518)</f>
        <v>31000000</v>
      </c>
      <c r="L1519" s="394"/>
      <c r="M1519" s="394"/>
      <c r="N1519" s="259">
        <f>SUM(N1514:N1518)</f>
        <v>70000000</v>
      </c>
      <c r="O1519" s="245" t="s">
        <v>1008</v>
      </c>
    </row>
    <row r="1520" spans="1:16" s="247" customFormat="1" ht="31.5" customHeight="1" x14ac:dyDescent="0.3">
      <c r="A1520" s="342"/>
      <c r="B1520" s="361" t="s">
        <v>4727</v>
      </c>
      <c r="C1520" s="338"/>
      <c r="D1520" s="339"/>
      <c r="E1520" s="340"/>
      <c r="F1520" s="339"/>
      <c r="G1520" s="340"/>
      <c r="H1520" s="339"/>
      <c r="I1520" s="340"/>
      <c r="J1520" s="341">
        <f>J1519+J1506+J1486+J1448</f>
        <v>1901703128</v>
      </c>
      <c r="K1520" s="341">
        <f>K1519+K1506+K1486+K1448</f>
        <v>865000000</v>
      </c>
      <c r="L1520" s="709">
        <f>SUM(L1437:L1519)</f>
        <v>0</v>
      </c>
      <c r="M1520" s="709"/>
      <c r="N1520" s="341">
        <f>N1519+N1506+N1486+N1448</f>
        <v>2213458687</v>
      </c>
      <c r="O1520" s="342"/>
      <c r="P1520" s="246"/>
    </row>
    <row r="1521" spans="1:16" s="247" customFormat="1" ht="18.75" customHeight="1" x14ac:dyDescent="0.3">
      <c r="A1521" s="342"/>
      <c r="B1521" s="361"/>
      <c r="C1521" s="338"/>
      <c r="D1521" s="339"/>
      <c r="E1521" s="340"/>
      <c r="F1521" s="339"/>
      <c r="G1521" s="340"/>
      <c r="H1521" s="339"/>
      <c r="I1521" s="340"/>
      <c r="J1521" s="341"/>
      <c r="K1521" s="628"/>
      <c r="L1521" s="706"/>
      <c r="M1521" s="706"/>
      <c r="N1521" s="341"/>
      <c r="O1521" s="342"/>
      <c r="P1521" s="246"/>
    </row>
    <row r="1522" spans="1:16" s="247" customFormat="1" ht="31.5" customHeight="1" x14ac:dyDescent="0.3">
      <c r="A1522" s="230" t="s">
        <v>762</v>
      </c>
      <c r="B1522" s="230"/>
      <c r="C1522" s="230"/>
      <c r="D1522" s="230"/>
      <c r="E1522" s="230"/>
      <c r="F1522" s="230"/>
      <c r="G1522" s="230"/>
      <c r="H1522" s="230"/>
      <c r="I1522" s="230"/>
      <c r="J1522" s="230"/>
      <c r="K1522" s="628"/>
      <c r="L1522" s="706"/>
      <c r="M1522" s="706"/>
      <c r="N1522" s="230"/>
      <c r="O1522" s="607"/>
      <c r="P1522" s="246"/>
    </row>
    <row r="1523" spans="1:16" ht="28.5" customHeight="1" x14ac:dyDescent="0.35">
      <c r="A1523" s="401" t="s">
        <v>2602</v>
      </c>
      <c r="B1523" s="716"/>
      <c r="C1523" s="402"/>
      <c r="D1523" s="403"/>
      <c r="E1523" s="404"/>
      <c r="F1523" s="403"/>
      <c r="G1523" s="404"/>
      <c r="H1523" s="403"/>
      <c r="I1523" s="404"/>
      <c r="J1523" s="405"/>
      <c r="K1523" s="458"/>
      <c r="L1523" s="704"/>
      <c r="M1523" s="704"/>
      <c r="N1523" s="405"/>
      <c r="O1523" s="600"/>
    </row>
    <row r="1524" spans="1:16" ht="3.75" customHeight="1" x14ac:dyDescent="0.35">
      <c r="A1524" s="428" t="s">
        <v>1201</v>
      </c>
      <c r="B1524" s="583"/>
      <c r="C1524" s="429"/>
      <c r="D1524" s="430"/>
      <c r="E1524" s="494"/>
      <c r="F1524" s="430"/>
      <c r="G1524" s="494"/>
      <c r="H1524" s="430"/>
      <c r="I1524" s="494"/>
      <c r="J1524" s="495"/>
      <c r="K1524" s="458"/>
      <c r="L1524" s="704"/>
      <c r="M1524" s="704"/>
      <c r="N1524" s="495"/>
      <c r="O1524" s="357"/>
    </row>
    <row r="1525" spans="1:16" ht="81.75" customHeight="1" x14ac:dyDescent="0.35">
      <c r="A1525" s="360" t="s">
        <v>1007</v>
      </c>
      <c r="B1525" s="360" t="s">
        <v>50</v>
      </c>
      <c r="C1525" s="175" t="s">
        <v>898</v>
      </c>
      <c r="D1525" s="257" t="s">
        <v>52</v>
      </c>
      <c r="E1525" s="273" t="s">
        <v>49</v>
      </c>
      <c r="F1525" s="257" t="s">
        <v>1</v>
      </c>
      <c r="G1525" s="176"/>
      <c r="H1525" s="171" t="s">
        <v>51</v>
      </c>
      <c r="I1525" s="176" t="s">
        <v>2</v>
      </c>
      <c r="J1525" s="177" t="s">
        <v>4862</v>
      </c>
      <c r="K1525" s="189" t="s">
        <v>5140</v>
      </c>
      <c r="L1525" s="623" t="s">
        <v>5132</v>
      </c>
      <c r="M1525" s="623" t="s">
        <v>5132</v>
      </c>
      <c r="N1525" s="177" t="s">
        <v>1006</v>
      </c>
      <c r="O1525" s="178" t="s">
        <v>50</v>
      </c>
    </row>
    <row r="1526" spans="1:16" ht="69.75" x14ac:dyDescent="0.35">
      <c r="A1526" s="479" t="s">
        <v>4877</v>
      </c>
      <c r="B1526" s="463" t="s">
        <v>764</v>
      </c>
      <c r="C1526" s="165" t="s">
        <v>5</v>
      </c>
      <c r="D1526" s="141" t="s">
        <v>4</v>
      </c>
      <c r="E1526" s="237" t="s">
        <v>763</v>
      </c>
      <c r="F1526" s="163" t="s">
        <v>765</v>
      </c>
      <c r="G1526" s="142"/>
      <c r="H1526" s="163">
        <v>70620</v>
      </c>
      <c r="I1526" s="142" t="s">
        <v>538</v>
      </c>
      <c r="J1526" s="144">
        <v>34000000000</v>
      </c>
      <c r="K1526" s="655">
        <v>21400060007.029999</v>
      </c>
      <c r="L1526" s="394">
        <v>1400000000</v>
      </c>
      <c r="M1526" s="394" t="s">
        <v>5133</v>
      </c>
      <c r="N1526" s="149">
        <v>31000000000</v>
      </c>
      <c r="O1526" s="180" t="s">
        <v>764</v>
      </c>
    </row>
    <row r="1527" spans="1:16" ht="32.25" customHeight="1" x14ac:dyDescent="0.35">
      <c r="A1527" s="245"/>
      <c r="B1527" s="360" t="s">
        <v>1008</v>
      </c>
      <c r="C1527" s="188"/>
      <c r="D1527" s="257"/>
      <c r="E1527" s="273"/>
      <c r="F1527" s="257"/>
      <c r="G1527" s="273"/>
      <c r="H1527" s="257"/>
      <c r="I1527" s="273"/>
      <c r="J1527" s="259">
        <f>SUM(J1526)</f>
        <v>34000000000</v>
      </c>
      <c r="K1527" s="259">
        <f>SUM(K1526)</f>
        <v>21400060007.029999</v>
      </c>
      <c r="L1527" s="394"/>
      <c r="M1527" s="394"/>
      <c r="N1527" s="259">
        <f>SUM(N1526)</f>
        <v>31000000000</v>
      </c>
      <c r="O1527" s="245" t="s">
        <v>1008</v>
      </c>
    </row>
    <row r="1528" spans="1:16" s="247" customFormat="1" ht="30" customHeight="1" x14ac:dyDescent="0.35">
      <c r="A1528" s="286"/>
      <c r="B1528" s="492"/>
      <c r="C1528" s="282"/>
      <c r="D1528" s="283"/>
      <c r="E1528" s="330"/>
      <c r="F1528" s="283"/>
      <c r="G1528" s="330"/>
      <c r="H1528" s="283"/>
      <c r="I1528" s="330"/>
      <c r="J1528" s="285"/>
      <c r="K1528" s="715"/>
      <c r="L1528" s="708"/>
      <c r="M1528" s="708"/>
      <c r="N1528" s="285"/>
      <c r="O1528" s="286"/>
      <c r="P1528" s="246"/>
    </row>
    <row r="1529" spans="1:16" ht="30" customHeight="1" x14ac:dyDescent="0.35">
      <c r="A1529" s="401" t="s">
        <v>1387</v>
      </c>
      <c r="B1529" s="716"/>
      <c r="C1529" s="402"/>
      <c r="D1529" s="403"/>
      <c r="E1529" s="404"/>
      <c r="F1529" s="403"/>
      <c r="G1529" s="404"/>
      <c r="H1529" s="403"/>
      <c r="I1529" s="404"/>
      <c r="J1529" s="405"/>
      <c r="K1529" s="681"/>
      <c r="L1529" s="708"/>
      <c r="M1529" s="708"/>
      <c r="N1529" s="405"/>
      <c r="O1529" s="600"/>
    </row>
    <row r="1530" spans="1:16" ht="24.75" customHeight="1" x14ac:dyDescent="0.35">
      <c r="A1530" s="428"/>
      <c r="B1530" s="583"/>
      <c r="C1530" s="429"/>
      <c r="D1530" s="430"/>
      <c r="E1530" s="494"/>
      <c r="F1530" s="430"/>
      <c r="G1530" s="494"/>
      <c r="H1530" s="430"/>
      <c r="I1530" s="494"/>
      <c r="J1530" s="405"/>
      <c r="K1530" s="681"/>
      <c r="L1530" s="708"/>
      <c r="M1530" s="708"/>
      <c r="N1530" s="405"/>
      <c r="O1530" s="357"/>
    </row>
    <row r="1531" spans="1:16" ht="75.75" customHeight="1" x14ac:dyDescent="0.35">
      <c r="A1531" s="187" t="s">
        <v>1007</v>
      </c>
      <c r="B1531" s="360" t="s">
        <v>50</v>
      </c>
      <c r="C1531" s="175" t="s">
        <v>898</v>
      </c>
      <c r="D1531" s="188" t="s">
        <v>52</v>
      </c>
      <c r="E1531" s="189" t="s">
        <v>1</v>
      </c>
      <c r="F1531" s="189" t="s">
        <v>1</v>
      </c>
      <c r="G1531" s="189"/>
      <c r="H1531" s="189" t="s">
        <v>51</v>
      </c>
      <c r="I1531" s="189" t="s">
        <v>2</v>
      </c>
      <c r="J1531" s="189" t="s">
        <v>4862</v>
      </c>
      <c r="K1531" s="189" t="s">
        <v>5140</v>
      </c>
      <c r="L1531" s="623" t="s">
        <v>5132</v>
      </c>
      <c r="M1531" s="623" t="s">
        <v>5132</v>
      </c>
      <c r="N1531" s="189" t="s">
        <v>1006</v>
      </c>
      <c r="O1531" s="178" t="s">
        <v>50</v>
      </c>
    </row>
    <row r="1532" spans="1:16" ht="43.5" customHeight="1" x14ac:dyDescent="0.35">
      <c r="A1532" s="479" t="s">
        <v>4958</v>
      </c>
      <c r="B1532" s="463" t="s">
        <v>1388</v>
      </c>
      <c r="C1532" s="463" t="s">
        <v>5</v>
      </c>
      <c r="D1532" s="463" t="s">
        <v>4</v>
      </c>
      <c r="E1532" s="463" t="s">
        <v>985</v>
      </c>
      <c r="F1532" s="463" t="s">
        <v>985</v>
      </c>
      <c r="G1532" s="463"/>
      <c r="H1532" s="463">
        <v>70133</v>
      </c>
      <c r="I1532" s="463" t="s">
        <v>168</v>
      </c>
      <c r="J1532" s="393">
        <f>10028479.99+1500000000</f>
        <v>1510028479.99</v>
      </c>
      <c r="K1532" s="393">
        <f>77241000+500000000</f>
        <v>577241000</v>
      </c>
      <c r="L1532" s="394"/>
      <c r="M1532" s="394" t="s">
        <v>5133</v>
      </c>
      <c r="N1532" s="393">
        <v>3000000</v>
      </c>
      <c r="O1532" s="180" t="s">
        <v>1388</v>
      </c>
    </row>
    <row r="1533" spans="1:16" ht="73.5" customHeight="1" x14ac:dyDescent="0.35">
      <c r="A1533" s="479" t="s">
        <v>4959</v>
      </c>
      <c r="B1533" s="463" t="s">
        <v>1389</v>
      </c>
      <c r="C1533" s="463" t="s">
        <v>5</v>
      </c>
      <c r="D1533" s="463" t="s">
        <v>4</v>
      </c>
      <c r="E1533" s="463" t="s">
        <v>324</v>
      </c>
      <c r="F1533" s="463" t="s">
        <v>324</v>
      </c>
      <c r="G1533" s="463"/>
      <c r="H1533" s="463">
        <v>70133</v>
      </c>
      <c r="I1533" s="463" t="s">
        <v>311</v>
      </c>
      <c r="J1533" s="393">
        <v>11872710</v>
      </c>
      <c r="K1533" s="393">
        <v>1000</v>
      </c>
      <c r="L1533" s="394"/>
      <c r="M1533" s="394" t="s">
        <v>5133</v>
      </c>
      <c r="N1533" s="393">
        <v>33428266.629999999</v>
      </c>
      <c r="O1533" s="180" t="s">
        <v>1389</v>
      </c>
    </row>
    <row r="1534" spans="1:16" ht="57.75" customHeight="1" x14ac:dyDescent="0.35">
      <c r="A1534" s="479" t="s">
        <v>4960</v>
      </c>
      <c r="B1534" s="463" t="s">
        <v>1390</v>
      </c>
      <c r="C1534" s="463" t="s">
        <v>5</v>
      </c>
      <c r="D1534" s="463" t="s">
        <v>4</v>
      </c>
      <c r="E1534" s="463" t="s">
        <v>308</v>
      </c>
      <c r="F1534" s="463" t="s">
        <v>308</v>
      </c>
      <c r="G1534" s="463"/>
      <c r="H1534" s="463">
        <v>70133</v>
      </c>
      <c r="I1534" s="463" t="s">
        <v>311</v>
      </c>
      <c r="J1534" s="393">
        <v>6000000</v>
      </c>
      <c r="K1534" s="393">
        <v>1000</v>
      </c>
      <c r="L1534" s="394"/>
      <c r="M1534" s="394" t="s">
        <v>5133</v>
      </c>
      <c r="N1534" s="393">
        <v>39575700</v>
      </c>
      <c r="O1534" s="180" t="s">
        <v>1390</v>
      </c>
    </row>
    <row r="1535" spans="1:16" ht="60" customHeight="1" x14ac:dyDescent="0.35">
      <c r="A1535" s="479" t="s">
        <v>4961</v>
      </c>
      <c r="B1535" s="463" t="s">
        <v>1391</v>
      </c>
      <c r="C1535" s="463" t="s">
        <v>5</v>
      </c>
      <c r="D1535" s="463" t="s">
        <v>4</v>
      </c>
      <c r="E1535" s="463" t="s">
        <v>1419</v>
      </c>
      <c r="F1535" s="463" t="s">
        <v>1419</v>
      </c>
      <c r="G1535" s="463"/>
      <c r="H1535" s="463">
        <v>70133</v>
      </c>
      <c r="I1535" s="463" t="s">
        <v>193</v>
      </c>
      <c r="J1535" s="393">
        <v>27134412.48</v>
      </c>
      <c r="K1535" s="393">
        <v>1000</v>
      </c>
      <c r="L1535" s="394"/>
      <c r="M1535" s="394" t="s">
        <v>5133</v>
      </c>
      <c r="N1535" s="393">
        <v>30000000</v>
      </c>
      <c r="O1535" s="180" t="s">
        <v>1391</v>
      </c>
    </row>
    <row r="1536" spans="1:16" ht="70.5" customHeight="1" x14ac:dyDescent="0.35">
      <c r="A1536" s="479" t="s">
        <v>4962</v>
      </c>
      <c r="B1536" s="463" t="s">
        <v>1392</v>
      </c>
      <c r="C1536" s="463" t="s">
        <v>5</v>
      </c>
      <c r="D1536" s="463" t="s">
        <v>4</v>
      </c>
      <c r="E1536" s="463" t="s">
        <v>1419</v>
      </c>
      <c r="F1536" s="463" t="s">
        <v>1419</v>
      </c>
      <c r="G1536" s="463"/>
      <c r="H1536" s="463">
        <v>70133</v>
      </c>
      <c r="I1536" s="463" t="s">
        <v>193</v>
      </c>
      <c r="J1536" s="393">
        <v>23670000</v>
      </c>
      <c r="K1536" s="393">
        <v>20000000</v>
      </c>
      <c r="L1536" s="394"/>
      <c r="M1536" s="394" t="s">
        <v>5133</v>
      </c>
      <c r="N1536" s="393">
        <v>41955480</v>
      </c>
      <c r="O1536" s="180" t="s">
        <v>1392</v>
      </c>
    </row>
    <row r="1537" spans="1:15" ht="53.25" customHeight="1" x14ac:dyDescent="0.35">
      <c r="A1537" s="479" t="s">
        <v>4963</v>
      </c>
      <c r="B1537" s="463" t="s">
        <v>1394</v>
      </c>
      <c r="C1537" s="463" t="s">
        <v>5</v>
      </c>
      <c r="D1537" s="463" t="s">
        <v>4</v>
      </c>
      <c r="E1537" s="463" t="s">
        <v>1419</v>
      </c>
      <c r="F1537" s="463" t="s">
        <v>1419</v>
      </c>
      <c r="G1537" s="463"/>
      <c r="H1537" s="463">
        <v>70133</v>
      </c>
      <c r="I1537" s="463" t="s">
        <v>193</v>
      </c>
      <c r="J1537" s="393">
        <v>1410000</v>
      </c>
      <c r="K1537" s="393">
        <v>4000000</v>
      </c>
      <c r="L1537" s="394"/>
      <c r="M1537" s="394" t="s">
        <v>5133</v>
      </c>
      <c r="N1537" s="393">
        <v>18899748</v>
      </c>
      <c r="O1537" s="180" t="s">
        <v>1393</v>
      </c>
    </row>
    <row r="1538" spans="1:15" ht="56.25" customHeight="1" x14ac:dyDescent="0.35">
      <c r="A1538" s="479" t="s">
        <v>4964</v>
      </c>
      <c r="B1538" s="463" t="s">
        <v>1396</v>
      </c>
      <c r="C1538" s="463" t="s">
        <v>5</v>
      </c>
      <c r="D1538" s="463" t="s">
        <v>4</v>
      </c>
      <c r="E1538" s="463" t="s">
        <v>769</v>
      </c>
      <c r="F1538" s="463" t="s">
        <v>769</v>
      </c>
      <c r="G1538" s="463"/>
      <c r="H1538" s="463">
        <v>70133</v>
      </c>
      <c r="I1538" s="463" t="s">
        <v>168</v>
      </c>
      <c r="J1538" s="393">
        <v>24000000</v>
      </c>
      <c r="K1538" s="393">
        <v>2000000</v>
      </c>
      <c r="L1538" s="394"/>
      <c r="M1538" s="394" t="s">
        <v>5133</v>
      </c>
      <c r="N1538" s="393">
        <v>16331058.200000003</v>
      </c>
      <c r="O1538" s="180" t="s">
        <v>1394</v>
      </c>
    </row>
    <row r="1539" spans="1:15" ht="61.5" customHeight="1" x14ac:dyDescent="0.35">
      <c r="A1539" s="479" t="s">
        <v>4965</v>
      </c>
      <c r="B1539" s="463" t="s">
        <v>768</v>
      </c>
      <c r="C1539" s="463" t="s">
        <v>5</v>
      </c>
      <c r="D1539" s="463" t="s">
        <v>4</v>
      </c>
      <c r="E1539" s="463" t="s">
        <v>1419</v>
      </c>
      <c r="F1539" s="463" t="s">
        <v>1419</v>
      </c>
      <c r="G1539" s="463"/>
      <c r="H1539" s="463">
        <v>70133</v>
      </c>
      <c r="I1539" s="463" t="s">
        <v>193</v>
      </c>
      <c r="J1539" s="393">
        <v>485536.5</v>
      </c>
      <c r="K1539" s="393">
        <v>12500000</v>
      </c>
      <c r="L1539" s="394"/>
      <c r="M1539" s="394" t="s">
        <v>5133</v>
      </c>
      <c r="N1539" s="393">
        <v>99712635.599999994</v>
      </c>
      <c r="O1539" s="180" t="s">
        <v>1395</v>
      </c>
    </row>
    <row r="1540" spans="1:15" ht="55.5" customHeight="1" x14ac:dyDescent="0.35">
      <c r="A1540" s="479" t="s">
        <v>4966</v>
      </c>
      <c r="B1540" s="463" t="s">
        <v>1397</v>
      </c>
      <c r="C1540" s="463" t="s">
        <v>5</v>
      </c>
      <c r="D1540" s="463" t="s">
        <v>4</v>
      </c>
      <c r="E1540" s="463" t="s">
        <v>1419</v>
      </c>
      <c r="F1540" s="463" t="s">
        <v>1419</v>
      </c>
      <c r="G1540" s="463"/>
      <c r="H1540" s="463">
        <v>70133</v>
      </c>
      <c r="I1540" s="463" t="s">
        <v>193</v>
      </c>
      <c r="J1540" s="393">
        <v>12659378</v>
      </c>
      <c r="K1540" s="393">
        <v>100000000</v>
      </c>
      <c r="L1540" s="394"/>
      <c r="M1540" s="394" t="s">
        <v>5133</v>
      </c>
      <c r="N1540" s="393">
        <v>20804175</v>
      </c>
      <c r="O1540" s="180" t="s">
        <v>1396</v>
      </c>
    </row>
    <row r="1541" spans="1:15" ht="72" customHeight="1" x14ac:dyDescent="0.35">
      <c r="A1541" s="479" t="s">
        <v>4967</v>
      </c>
      <c r="B1541" s="463" t="s">
        <v>766</v>
      </c>
      <c r="C1541" s="463" t="s">
        <v>5</v>
      </c>
      <c r="D1541" s="463" t="s">
        <v>4</v>
      </c>
      <c r="E1541" s="463" t="s">
        <v>1419</v>
      </c>
      <c r="F1541" s="463" t="s">
        <v>1419</v>
      </c>
      <c r="G1541" s="463"/>
      <c r="H1541" s="463">
        <v>70133</v>
      </c>
      <c r="I1541" s="463" t="s">
        <v>193</v>
      </c>
      <c r="J1541" s="393">
        <v>19066893</v>
      </c>
      <c r="K1541" s="393">
        <v>1000</v>
      </c>
      <c r="L1541" s="394"/>
      <c r="M1541" s="394" t="s">
        <v>5133</v>
      </c>
      <c r="N1541" s="393">
        <v>20967579.539999999</v>
      </c>
      <c r="O1541" s="180" t="s">
        <v>768</v>
      </c>
    </row>
    <row r="1542" spans="1:15" ht="99" customHeight="1" x14ac:dyDescent="0.35">
      <c r="A1542" s="479" t="s">
        <v>4968</v>
      </c>
      <c r="B1542" s="463" t="s">
        <v>767</v>
      </c>
      <c r="C1542" s="463" t="s">
        <v>5</v>
      </c>
      <c r="D1542" s="463" t="s">
        <v>4</v>
      </c>
      <c r="E1542" s="463" t="s">
        <v>985</v>
      </c>
      <c r="F1542" s="463" t="s">
        <v>985</v>
      </c>
      <c r="G1542" s="463"/>
      <c r="H1542" s="463">
        <v>70133</v>
      </c>
      <c r="I1542" s="463" t="s">
        <v>168</v>
      </c>
      <c r="J1542" s="393">
        <v>75000000</v>
      </c>
      <c r="K1542" s="393">
        <v>10000000</v>
      </c>
      <c r="L1542" s="394"/>
      <c r="M1542" s="394" t="s">
        <v>5133</v>
      </c>
      <c r="N1542" s="393">
        <v>6000000</v>
      </c>
      <c r="O1542" s="180" t="s">
        <v>1397</v>
      </c>
    </row>
    <row r="1543" spans="1:15" ht="75.75" customHeight="1" x14ac:dyDescent="0.35">
      <c r="A1543" s="479" t="s">
        <v>4969</v>
      </c>
      <c r="B1543" s="463" t="s">
        <v>1398</v>
      </c>
      <c r="C1543" s="463" t="s">
        <v>5</v>
      </c>
      <c r="D1543" s="463" t="s">
        <v>4</v>
      </c>
      <c r="E1543" s="463" t="s">
        <v>1419</v>
      </c>
      <c r="F1543" s="463" t="s">
        <v>1419</v>
      </c>
      <c r="G1543" s="463"/>
      <c r="H1543" s="463">
        <v>70133</v>
      </c>
      <c r="I1543" s="463" t="s">
        <v>193</v>
      </c>
      <c r="J1543" s="393">
        <v>82587382</v>
      </c>
      <c r="K1543" s="393">
        <v>10440000</v>
      </c>
      <c r="L1543" s="394"/>
      <c r="M1543" s="394" t="s">
        <v>5133</v>
      </c>
      <c r="N1543" s="393">
        <v>18400000</v>
      </c>
      <c r="O1543" s="180" t="s">
        <v>766</v>
      </c>
    </row>
    <row r="1544" spans="1:15" ht="78" customHeight="1" x14ac:dyDescent="0.35">
      <c r="A1544" s="479" t="s">
        <v>4970</v>
      </c>
      <c r="B1544" s="463" t="s">
        <v>1400</v>
      </c>
      <c r="C1544" s="463" t="s">
        <v>5</v>
      </c>
      <c r="D1544" s="463" t="s">
        <v>4</v>
      </c>
      <c r="E1544" s="463" t="s">
        <v>985</v>
      </c>
      <c r="F1544" s="463" t="s">
        <v>985</v>
      </c>
      <c r="G1544" s="463"/>
      <c r="H1544" s="463">
        <v>70133</v>
      </c>
      <c r="I1544" s="463" t="s">
        <v>168</v>
      </c>
      <c r="J1544" s="393">
        <v>64664741</v>
      </c>
      <c r="K1544" s="393">
        <v>50000000</v>
      </c>
      <c r="L1544" s="394"/>
      <c r="M1544" s="394" t="s">
        <v>5133</v>
      </c>
      <c r="N1544" s="393">
        <v>3978371.25</v>
      </c>
      <c r="O1544" s="180" t="s">
        <v>767</v>
      </c>
    </row>
    <row r="1545" spans="1:15" ht="54" customHeight="1" x14ac:dyDescent="0.35">
      <c r="A1545" s="479" t="s">
        <v>4971</v>
      </c>
      <c r="B1545" s="463" t="s">
        <v>1401</v>
      </c>
      <c r="C1545" s="463" t="s">
        <v>5</v>
      </c>
      <c r="D1545" s="463" t="s">
        <v>4</v>
      </c>
      <c r="E1545" s="463" t="s">
        <v>1419</v>
      </c>
      <c r="F1545" s="463" t="s">
        <v>1419</v>
      </c>
      <c r="G1545" s="463"/>
      <c r="H1545" s="463">
        <v>70133</v>
      </c>
      <c r="I1545" s="463" t="s">
        <v>193</v>
      </c>
      <c r="J1545" s="393">
        <v>56099889</v>
      </c>
      <c r="K1545" s="393">
        <v>7600000</v>
      </c>
      <c r="L1545" s="394"/>
      <c r="M1545" s="394" t="s">
        <v>5133</v>
      </c>
      <c r="N1545" s="393">
        <v>1618454.84</v>
      </c>
      <c r="O1545" s="180" t="s">
        <v>1398</v>
      </c>
    </row>
    <row r="1546" spans="1:15" ht="67.5" customHeight="1" x14ac:dyDescent="0.35">
      <c r="A1546" s="479" t="s">
        <v>4972</v>
      </c>
      <c r="B1546" s="463" t="s">
        <v>1402</v>
      </c>
      <c r="C1546" s="463" t="s">
        <v>5</v>
      </c>
      <c r="D1546" s="463" t="s">
        <v>4</v>
      </c>
      <c r="E1546" s="463" t="s">
        <v>985</v>
      </c>
      <c r="F1546" s="463" t="s">
        <v>985</v>
      </c>
      <c r="G1546" s="463"/>
      <c r="H1546" s="463">
        <v>70133</v>
      </c>
      <c r="I1546" s="463" t="s">
        <v>168</v>
      </c>
      <c r="J1546" s="393">
        <v>212341.7</v>
      </c>
      <c r="K1546" s="393">
        <v>1994000</v>
      </c>
      <c r="L1546" s="394"/>
      <c r="M1546" s="394" t="s">
        <v>5133</v>
      </c>
      <c r="N1546" s="393">
        <v>50000000</v>
      </c>
      <c r="O1546" s="180" t="s">
        <v>1399</v>
      </c>
    </row>
    <row r="1547" spans="1:15" ht="69.75" customHeight="1" x14ac:dyDescent="0.35">
      <c r="A1547" s="479" t="s">
        <v>4973</v>
      </c>
      <c r="B1547" s="463" t="s">
        <v>1403</v>
      </c>
      <c r="C1547" s="463" t="s">
        <v>5</v>
      </c>
      <c r="D1547" s="463" t="s">
        <v>4</v>
      </c>
      <c r="E1547" s="463" t="s">
        <v>985</v>
      </c>
      <c r="F1547" s="463" t="s">
        <v>985</v>
      </c>
      <c r="G1547" s="463"/>
      <c r="H1547" s="463">
        <v>70133</v>
      </c>
      <c r="I1547" s="463" t="s">
        <v>168</v>
      </c>
      <c r="J1547" s="393">
        <v>60000000</v>
      </c>
      <c r="K1547" s="393">
        <v>1055000</v>
      </c>
      <c r="L1547" s="394"/>
      <c r="M1547" s="394" t="s">
        <v>5133</v>
      </c>
      <c r="N1547" s="393">
        <v>49887639.600000001</v>
      </c>
      <c r="O1547" s="180" t="s">
        <v>1400</v>
      </c>
    </row>
    <row r="1548" spans="1:15" ht="124.5" customHeight="1" x14ac:dyDescent="0.35">
      <c r="A1548" s="479" t="s">
        <v>4974</v>
      </c>
      <c r="B1548" s="463" t="s">
        <v>1405</v>
      </c>
      <c r="C1548" s="463" t="s">
        <v>5</v>
      </c>
      <c r="D1548" s="463" t="s">
        <v>4</v>
      </c>
      <c r="E1548" s="463" t="s">
        <v>1419</v>
      </c>
      <c r="F1548" s="463" t="s">
        <v>1419</v>
      </c>
      <c r="G1548" s="463"/>
      <c r="H1548" s="463">
        <v>70133</v>
      </c>
      <c r="I1548" s="463" t="s">
        <v>193</v>
      </c>
      <c r="J1548" s="393">
        <v>26703030</v>
      </c>
      <c r="K1548" s="393">
        <v>89000000</v>
      </c>
      <c r="L1548" s="394"/>
      <c r="M1548" s="394" t="s">
        <v>5133</v>
      </c>
      <c r="N1548" s="393">
        <v>28595639.690000001</v>
      </c>
      <c r="O1548" s="180" t="s">
        <v>1401</v>
      </c>
    </row>
    <row r="1549" spans="1:15" ht="95.25" customHeight="1" x14ac:dyDescent="0.35">
      <c r="A1549" s="479" t="s">
        <v>4975</v>
      </c>
      <c r="B1549" s="463" t="s">
        <v>1406</v>
      </c>
      <c r="C1549" s="463" t="s">
        <v>5</v>
      </c>
      <c r="D1549" s="463" t="s">
        <v>4</v>
      </c>
      <c r="E1549" s="463" t="s">
        <v>1419</v>
      </c>
      <c r="F1549" s="463" t="s">
        <v>1419</v>
      </c>
      <c r="G1549" s="463"/>
      <c r="H1549" s="463">
        <v>70133</v>
      </c>
      <c r="I1549" s="463" t="s">
        <v>193</v>
      </c>
      <c r="J1549" s="393">
        <v>11310113</v>
      </c>
      <c r="K1549" s="393">
        <v>50000000</v>
      </c>
      <c r="L1549" s="394"/>
      <c r="M1549" s="394" t="s">
        <v>5133</v>
      </c>
      <c r="N1549" s="393">
        <v>67200000</v>
      </c>
      <c r="O1549" s="180" t="s">
        <v>1402</v>
      </c>
    </row>
    <row r="1550" spans="1:15" ht="72" customHeight="1" x14ac:dyDescent="0.35">
      <c r="A1550" s="479" t="s">
        <v>4976</v>
      </c>
      <c r="B1550" s="463" t="s">
        <v>1407</v>
      </c>
      <c r="C1550" s="463" t="s">
        <v>5</v>
      </c>
      <c r="D1550" s="463" t="s">
        <v>4</v>
      </c>
      <c r="E1550" s="463" t="s">
        <v>1419</v>
      </c>
      <c r="F1550" s="463" t="s">
        <v>1419</v>
      </c>
      <c r="G1550" s="463"/>
      <c r="H1550" s="463">
        <v>70133</v>
      </c>
      <c r="I1550" s="463" t="s">
        <v>193</v>
      </c>
      <c r="J1550" s="393">
        <v>6326249</v>
      </c>
      <c r="K1550" s="393">
        <v>35000000</v>
      </c>
      <c r="L1550" s="394"/>
      <c r="M1550" s="394" t="s">
        <v>5133</v>
      </c>
      <c r="N1550" s="393">
        <v>98621100</v>
      </c>
      <c r="O1550" s="180" t="s">
        <v>1403</v>
      </c>
    </row>
    <row r="1551" spans="1:15" ht="98.25" customHeight="1" x14ac:dyDescent="0.35">
      <c r="A1551" s="479" t="s">
        <v>4977</v>
      </c>
      <c r="B1551" s="463" t="s">
        <v>1408</v>
      </c>
      <c r="C1551" s="463" t="s">
        <v>5</v>
      </c>
      <c r="D1551" s="463" t="s">
        <v>4</v>
      </c>
      <c r="E1551" s="463" t="s">
        <v>1419</v>
      </c>
      <c r="F1551" s="463" t="s">
        <v>1419</v>
      </c>
      <c r="G1551" s="463"/>
      <c r="H1551" s="463">
        <v>70133</v>
      </c>
      <c r="I1551" s="463" t="s">
        <v>193</v>
      </c>
      <c r="J1551" s="393">
        <v>1357554</v>
      </c>
      <c r="K1551" s="393">
        <v>30000000</v>
      </c>
      <c r="L1551" s="394"/>
      <c r="M1551" s="394" t="s">
        <v>5133</v>
      </c>
      <c r="N1551" s="393">
        <v>17245139.629999999</v>
      </c>
      <c r="O1551" s="180" t="s">
        <v>1404</v>
      </c>
    </row>
    <row r="1552" spans="1:15" ht="101.25" customHeight="1" x14ac:dyDescent="0.35">
      <c r="A1552" s="479" t="s">
        <v>4978</v>
      </c>
      <c r="B1552" s="463" t="s">
        <v>1409</v>
      </c>
      <c r="C1552" s="463" t="s">
        <v>5</v>
      </c>
      <c r="D1552" s="463" t="s">
        <v>4</v>
      </c>
      <c r="E1552" s="463" t="s">
        <v>1419</v>
      </c>
      <c r="F1552" s="463" t="s">
        <v>1419</v>
      </c>
      <c r="G1552" s="463"/>
      <c r="H1552" s="463">
        <v>70133</v>
      </c>
      <c r="I1552" s="463" t="s">
        <v>193</v>
      </c>
      <c r="J1552" s="393">
        <v>380852697</v>
      </c>
      <c r="K1552" s="393">
        <v>30000000</v>
      </c>
      <c r="L1552" s="394"/>
      <c r="M1552" s="394" t="s">
        <v>5133</v>
      </c>
      <c r="N1552" s="393">
        <v>120000000</v>
      </c>
      <c r="O1552" s="180" t="s">
        <v>1405</v>
      </c>
    </row>
    <row r="1553" spans="1:16" ht="74.25" customHeight="1" x14ac:dyDescent="0.35">
      <c r="A1553" s="479" t="s">
        <v>4979</v>
      </c>
      <c r="B1553" s="463" t="s">
        <v>1410</v>
      </c>
      <c r="C1553" s="463" t="s">
        <v>5</v>
      </c>
      <c r="D1553" s="463" t="s">
        <v>4</v>
      </c>
      <c r="E1553" s="463" t="s">
        <v>985</v>
      </c>
      <c r="F1553" s="463" t="s">
        <v>985</v>
      </c>
      <c r="G1553" s="463"/>
      <c r="H1553" s="463">
        <v>70133</v>
      </c>
      <c r="I1553" s="463" t="s">
        <v>168</v>
      </c>
      <c r="J1553" s="393">
        <v>74274039</v>
      </c>
      <c r="K1553" s="393">
        <v>20000000</v>
      </c>
      <c r="L1553" s="394"/>
      <c r="M1553" s="394" t="s">
        <v>5133</v>
      </c>
      <c r="N1553" s="393">
        <v>31560000</v>
      </c>
      <c r="O1553" s="180" t="s">
        <v>1406</v>
      </c>
    </row>
    <row r="1554" spans="1:16" ht="65.25" customHeight="1" x14ac:dyDescent="0.35">
      <c r="A1554" s="479" t="s">
        <v>4980</v>
      </c>
      <c r="B1554" s="463" t="s">
        <v>1411</v>
      </c>
      <c r="C1554" s="463" t="s">
        <v>5</v>
      </c>
      <c r="D1554" s="463" t="s">
        <v>4</v>
      </c>
      <c r="E1554" s="463" t="s">
        <v>985</v>
      </c>
      <c r="F1554" s="463" t="s">
        <v>985</v>
      </c>
      <c r="G1554" s="463"/>
      <c r="H1554" s="463">
        <v>70133</v>
      </c>
      <c r="I1554" s="463" t="s">
        <v>168</v>
      </c>
      <c r="J1554" s="393">
        <v>23454724</v>
      </c>
      <c r="K1554" s="393">
        <v>25000000</v>
      </c>
      <c r="L1554" s="394"/>
      <c r="M1554" s="394" t="s">
        <v>5133</v>
      </c>
      <c r="N1554" s="393">
        <v>14505341.5</v>
      </c>
      <c r="O1554" s="180" t="s">
        <v>1407</v>
      </c>
    </row>
    <row r="1555" spans="1:16" ht="70.5" customHeight="1" x14ac:dyDescent="0.35">
      <c r="A1555" s="479" t="s">
        <v>4981</v>
      </c>
      <c r="B1555" s="463" t="s">
        <v>1412</v>
      </c>
      <c r="C1555" s="463" t="s">
        <v>5</v>
      </c>
      <c r="D1555" s="463" t="s">
        <v>4</v>
      </c>
      <c r="E1555" s="463" t="s">
        <v>1419</v>
      </c>
      <c r="F1555" s="463" t="s">
        <v>1419</v>
      </c>
      <c r="G1555" s="463"/>
      <c r="H1555" s="463">
        <v>70133</v>
      </c>
      <c r="I1555" s="463" t="s">
        <v>193</v>
      </c>
      <c r="J1555" s="393">
        <v>41182400</v>
      </c>
      <c r="K1555" s="393">
        <v>20000000</v>
      </c>
      <c r="L1555" s="394"/>
      <c r="M1555" s="394" t="s">
        <v>5133</v>
      </c>
      <c r="N1555" s="393">
        <v>88123751</v>
      </c>
      <c r="O1555" s="180" t="s">
        <v>1408</v>
      </c>
    </row>
    <row r="1556" spans="1:16" ht="68.25" customHeight="1" x14ac:dyDescent="0.35">
      <c r="A1556" s="479" t="s">
        <v>4982</v>
      </c>
      <c r="B1556" s="463" t="s">
        <v>1413</v>
      </c>
      <c r="C1556" s="463" t="s">
        <v>5</v>
      </c>
      <c r="D1556" s="463" t="s">
        <v>4</v>
      </c>
      <c r="E1556" s="463" t="s">
        <v>1419</v>
      </c>
      <c r="F1556" s="463" t="s">
        <v>1419</v>
      </c>
      <c r="G1556" s="463"/>
      <c r="H1556" s="463">
        <v>70133</v>
      </c>
      <c r="I1556" s="463" t="s">
        <v>193</v>
      </c>
      <c r="J1556" s="393">
        <v>62139897</v>
      </c>
      <c r="K1556" s="393">
        <v>8150000</v>
      </c>
      <c r="L1556" s="394"/>
      <c r="M1556" s="394" t="s">
        <v>5133</v>
      </c>
      <c r="N1556" s="393">
        <v>42000000</v>
      </c>
      <c r="O1556" s="180" t="s">
        <v>1409</v>
      </c>
    </row>
    <row r="1557" spans="1:16" ht="78" customHeight="1" x14ac:dyDescent="0.35">
      <c r="A1557" s="479" t="s">
        <v>4983</v>
      </c>
      <c r="B1557" s="463" t="s">
        <v>1414</v>
      </c>
      <c r="C1557" s="463" t="s">
        <v>5</v>
      </c>
      <c r="D1557" s="463" t="s">
        <v>4</v>
      </c>
      <c r="E1557" s="463" t="s">
        <v>985</v>
      </c>
      <c r="F1557" s="463" t="s">
        <v>985</v>
      </c>
      <c r="G1557" s="463"/>
      <c r="H1557" s="463">
        <v>70133</v>
      </c>
      <c r="I1557" s="463" t="s">
        <v>168</v>
      </c>
      <c r="J1557" s="393">
        <v>66865955</v>
      </c>
      <c r="K1557" s="393">
        <v>50000000</v>
      </c>
      <c r="L1557" s="394"/>
      <c r="M1557" s="394" t="s">
        <v>5133</v>
      </c>
      <c r="N1557" s="393">
        <v>32000000</v>
      </c>
      <c r="O1557" s="180" t="s">
        <v>1410</v>
      </c>
    </row>
    <row r="1558" spans="1:16" ht="66.75" customHeight="1" x14ac:dyDescent="0.35">
      <c r="A1558" s="479" t="s">
        <v>4984</v>
      </c>
      <c r="B1558" s="463" t="s">
        <v>1415</v>
      </c>
      <c r="C1558" s="463" t="s">
        <v>5</v>
      </c>
      <c r="D1558" s="463" t="s">
        <v>4</v>
      </c>
      <c r="E1558" s="463" t="s">
        <v>769</v>
      </c>
      <c r="F1558" s="463" t="s">
        <v>769</v>
      </c>
      <c r="G1558" s="463"/>
      <c r="H1558" s="463">
        <v>70133</v>
      </c>
      <c r="I1558" s="463" t="s">
        <v>193</v>
      </c>
      <c r="J1558" s="393">
        <v>17189792</v>
      </c>
      <c r="K1558" s="393">
        <v>40000000</v>
      </c>
      <c r="L1558" s="394"/>
      <c r="M1558" s="394" t="s">
        <v>5133</v>
      </c>
      <c r="N1558" s="393">
        <v>76800000</v>
      </c>
      <c r="O1558" s="180" t="s">
        <v>1411</v>
      </c>
    </row>
    <row r="1559" spans="1:16" ht="42" customHeight="1" x14ac:dyDescent="0.35">
      <c r="A1559" s="479" t="s">
        <v>4985</v>
      </c>
      <c r="B1559" s="463" t="s">
        <v>821</v>
      </c>
      <c r="C1559" s="463" t="s">
        <v>5</v>
      </c>
      <c r="D1559" s="463" t="s">
        <v>4</v>
      </c>
      <c r="E1559" s="463" t="s">
        <v>54</v>
      </c>
      <c r="F1559" s="463" t="s">
        <v>54</v>
      </c>
      <c r="G1559" s="463"/>
      <c r="H1559" s="463">
        <v>70133</v>
      </c>
      <c r="I1559" s="463" t="s">
        <v>900</v>
      </c>
      <c r="J1559" s="393">
        <v>80707879</v>
      </c>
      <c r="K1559" s="393">
        <v>5000000</v>
      </c>
      <c r="L1559" s="394"/>
      <c r="M1559" s="394" t="s">
        <v>5133</v>
      </c>
      <c r="N1559" s="393">
        <v>99161653.5</v>
      </c>
      <c r="O1559" s="180" t="s">
        <v>1412</v>
      </c>
    </row>
    <row r="1560" spans="1:16" ht="43.5" customHeight="1" x14ac:dyDescent="0.35">
      <c r="A1560" s="479" t="s">
        <v>4986</v>
      </c>
      <c r="B1560" s="463" t="s">
        <v>180</v>
      </c>
      <c r="C1560" s="463" t="s">
        <v>5</v>
      </c>
      <c r="D1560" s="463" t="s">
        <v>4</v>
      </c>
      <c r="E1560" s="463" t="s">
        <v>983</v>
      </c>
      <c r="F1560" s="463" t="s">
        <v>983</v>
      </c>
      <c r="G1560" s="463"/>
      <c r="H1560" s="463">
        <v>70133</v>
      </c>
      <c r="I1560" s="463" t="s">
        <v>902</v>
      </c>
      <c r="J1560" s="393">
        <v>20517960</v>
      </c>
      <c r="K1560" s="393">
        <v>115000000</v>
      </c>
      <c r="L1560" s="394"/>
      <c r="M1560" s="394" t="s">
        <v>5133</v>
      </c>
      <c r="N1560" s="393">
        <v>65600000</v>
      </c>
      <c r="O1560" s="180" t="s">
        <v>1413</v>
      </c>
    </row>
    <row r="1561" spans="1:16" ht="42.75" customHeight="1" x14ac:dyDescent="0.35">
      <c r="A1561" s="479" t="s">
        <v>4987</v>
      </c>
      <c r="B1561" s="463" t="s">
        <v>1416</v>
      </c>
      <c r="C1561" s="463" t="s">
        <v>5</v>
      </c>
      <c r="D1561" s="463" t="s">
        <v>4</v>
      </c>
      <c r="E1561" s="463" t="s">
        <v>342</v>
      </c>
      <c r="F1561" s="463" t="s">
        <v>342</v>
      </c>
      <c r="G1561" s="463"/>
      <c r="H1561" s="463">
        <v>70133</v>
      </c>
      <c r="I1561" s="463" t="s">
        <v>901</v>
      </c>
      <c r="J1561" s="393">
        <v>72000000</v>
      </c>
      <c r="K1561" s="393">
        <v>1000000</v>
      </c>
      <c r="L1561" s="394"/>
      <c r="M1561" s="394" t="s">
        <v>5133</v>
      </c>
      <c r="N1561" s="393">
        <v>110116509.3</v>
      </c>
      <c r="O1561" s="180" t="s">
        <v>1414</v>
      </c>
    </row>
    <row r="1562" spans="1:16" ht="62.25" customHeight="1" x14ac:dyDescent="0.35">
      <c r="A1562" s="479" t="s">
        <v>4988</v>
      </c>
      <c r="B1562" s="463" t="s">
        <v>1417</v>
      </c>
      <c r="C1562" s="463" t="s">
        <v>5</v>
      </c>
      <c r="D1562" s="463" t="s">
        <v>4</v>
      </c>
      <c r="E1562" s="463" t="s">
        <v>76</v>
      </c>
      <c r="F1562" s="463" t="s">
        <v>76</v>
      </c>
      <c r="G1562" s="463"/>
      <c r="H1562" s="463">
        <v>70133</v>
      </c>
      <c r="I1562" s="463" t="s">
        <v>77</v>
      </c>
      <c r="J1562" s="393">
        <v>66000000</v>
      </c>
      <c r="K1562" s="393">
        <v>145000000</v>
      </c>
      <c r="L1562" s="393">
        <v>145000000</v>
      </c>
      <c r="M1562" s="394" t="s">
        <v>5133</v>
      </c>
      <c r="N1562" s="393">
        <v>98692513.700000003</v>
      </c>
      <c r="O1562" s="180" t="s">
        <v>1415</v>
      </c>
    </row>
    <row r="1563" spans="1:16" ht="43.5" customHeight="1" x14ac:dyDescent="0.35">
      <c r="A1563" s="479" t="s">
        <v>4989</v>
      </c>
      <c r="B1563" s="463" t="s">
        <v>4990</v>
      </c>
      <c r="C1563" s="463" t="s">
        <v>5</v>
      </c>
      <c r="D1563" s="463" t="s">
        <v>4</v>
      </c>
      <c r="E1563" s="463"/>
      <c r="F1563" s="463"/>
      <c r="G1563" s="463"/>
      <c r="H1563" s="463"/>
      <c r="I1563" s="463"/>
      <c r="J1563" s="393">
        <v>35000000</v>
      </c>
      <c r="K1563" s="393">
        <v>1000</v>
      </c>
      <c r="L1563" s="394"/>
      <c r="M1563" s="394" t="s">
        <v>5133</v>
      </c>
      <c r="N1563" s="393">
        <v>68175942.980000004</v>
      </c>
      <c r="O1563" s="180" t="s">
        <v>821</v>
      </c>
    </row>
    <row r="1564" spans="1:16" ht="59.25" customHeight="1" x14ac:dyDescent="0.35">
      <c r="A1564" s="479" t="s">
        <v>4991</v>
      </c>
      <c r="B1564" s="463" t="s">
        <v>1420</v>
      </c>
      <c r="C1564" s="463" t="s">
        <v>5</v>
      </c>
      <c r="D1564" s="463" t="s">
        <v>4</v>
      </c>
      <c r="E1564" s="463" t="s">
        <v>5072</v>
      </c>
      <c r="F1564" s="463" t="s">
        <v>5072</v>
      </c>
      <c r="G1564" s="463"/>
      <c r="H1564" s="463">
        <v>70133</v>
      </c>
      <c r="I1564" s="463" t="s">
        <v>332</v>
      </c>
      <c r="J1564" s="393">
        <v>32000000</v>
      </c>
      <c r="K1564" s="393">
        <v>1000</v>
      </c>
      <c r="L1564" s="394"/>
      <c r="M1564" s="394" t="s">
        <v>5133</v>
      </c>
      <c r="N1564" s="393">
        <v>99733135.409999996</v>
      </c>
      <c r="O1564" s="180" t="s">
        <v>180</v>
      </c>
    </row>
    <row r="1565" spans="1:16" ht="57.75" customHeight="1" x14ac:dyDescent="0.35">
      <c r="A1565" s="479" t="s">
        <v>4992</v>
      </c>
      <c r="B1565" s="463" t="s">
        <v>4993</v>
      </c>
      <c r="C1565" s="463" t="s">
        <v>5</v>
      </c>
      <c r="D1565" s="463" t="s">
        <v>4</v>
      </c>
      <c r="E1565" s="463" t="s">
        <v>5073</v>
      </c>
      <c r="F1565" s="463" t="s">
        <v>5073</v>
      </c>
      <c r="G1565" s="463"/>
      <c r="H1565" s="463">
        <v>70133</v>
      </c>
      <c r="I1565" s="463" t="s">
        <v>5081</v>
      </c>
      <c r="J1565" s="393">
        <v>5499861.9300000072</v>
      </c>
      <c r="K1565" s="393">
        <v>160000000</v>
      </c>
      <c r="L1565" s="393">
        <v>160000000</v>
      </c>
      <c r="M1565" s="394" t="s">
        <v>5133</v>
      </c>
      <c r="N1565" s="393">
        <v>24623918.559999999</v>
      </c>
      <c r="O1565" s="180" t="s">
        <v>1416</v>
      </c>
    </row>
    <row r="1566" spans="1:16" ht="45" customHeight="1" x14ac:dyDescent="0.35">
      <c r="A1566" s="479" t="s">
        <v>4994</v>
      </c>
      <c r="B1566" s="463" t="s">
        <v>1422</v>
      </c>
      <c r="C1566" s="463" t="s">
        <v>5</v>
      </c>
      <c r="D1566" s="463" t="s">
        <v>4</v>
      </c>
      <c r="E1566" s="463" t="s">
        <v>5072</v>
      </c>
      <c r="F1566" s="463" t="s">
        <v>5072</v>
      </c>
      <c r="G1566" s="463"/>
      <c r="H1566" s="463">
        <v>70133</v>
      </c>
      <c r="I1566" s="463" t="s">
        <v>332</v>
      </c>
      <c r="J1566" s="393">
        <v>7500138</v>
      </c>
      <c r="K1566" s="393">
        <v>1000</v>
      </c>
      <c r="L1566" s="394"/>
      <c r="M1566" s="394" t="s">
        <v>5133</v>
      </c>
      <c r="N1566" s="393">
        <v>61782040.539999999</v>
      </c>
      <c r="O1566" s="180" t="s">
        <v>1417</v>
      </c>
    </row>
    <row r="1567" spans="1:16" ht="37.5" customHeight="1" x14ac:dyDescent="0.35">
      <c r="A1567" s="479" t="s">
        <v>4995</v>
      </c>
      <c r="B1567" s="463" t="s">
        <v>1423</v>
      </c>
      <c r="C1567" s="463" t="s">
        <v>5</v>
      </c>
      <c r="D1567" s="463" t="s">
        <v>4</v>
      </c>
      <c r="E1567" s="463" t="s">
        <v>5072</v>
      </c>
      <c r="F1567" s="463" t="s">
        <v>5072</v>
      </c>
      <c r="G1567" s="463"/>
      <c r="H1567" s="463">
        <v>70133</v>
      </c>
      <c r="I1567" s="463" t="s">
        <v>332</v>
      </c>
      <c r="J1567" s="426">
        <v>200000000</v>
      </c>
      <c r="K1567" s="393">
        <v>1000</v>
      </c>
      <c r="L1567" s="394"/>
      <c r="M1567" s="394" t="s">
        <v>5133</v>
      </c>
      <c r="N1567" s="426"/>
      <c r="O1567" s="379" t="s">
        <v>1420</v>
      </c>
    </row>
    <row r="1568" spans="1:16" ht="79.5" customHeight="1" x14ac:dyDescent="0.35">
      <c r="A1568" s="479" t="s">
        <v>4996</v>
      </c>
      <c r="B1568" s="463" t="s">
        <v>4997</v>
      </c>
      <c r="C1568" s="463" t="s">
        <v>5</v>
      </c>
      <c r="D1568" s="463">
        <v>2101</v>
      </c>
      <c r="E1568" s="463" t="s">
        <v>1419</v>
      </c>
      <c r="F1568" s="463" t="s">
        <v>1419</v>
      </c>
      <c r="G1568" s="463"/>
      <c r="H1568" s="463">
        <v>70133</v>
      </c>
      <c r="I1568" s="463" t="s">
        <v>193</v>
      </c>
      <c r="J1568" s="426">
        <v>100000000</v>
      </c>
      <c r="K1568" s="277">
        <v>100000000</v>
      </c>
      <c r="L1568" s="394"/>
      <c r="M1568" s="394" t="s">
        <v>5133</v>
      </c>
      <c r="N1568" s="426"/>
      <c r="O1568" s="379" t="s">
        <v>1421</v>
      </c>
      <c r="P1568" s="231" t="s">
        <v>1426</v>
      </c>
    </row>
    <row r="1569" spans="1:16" ht="69.75" customHeight="1" x14ac:dyDescent="0.35">
      <c r="A1569" s="479" t="s">
        <v>4998</v>
      </c>
      <c r="B1569" s="463" t="s">
        <v>4999</v>
      </c>
      <c r="C1569" s="463" t="s">
        <v>5</v>
      </c>
      <c r="D1569" s="463">
        <v>2101</v>
      </c>
      <c r="E1569" s="463" t="s">
        <v>1419</v>
      </c>
      <c r="F1569" s="463" t="s">
        <v>1419</v>
      </c>
      <c r="G1569" s="463"/>
      <c r="H1569" s="463">
        <v>70133</v>
      </c>
      <c r="I1569" s="463" t="s">
        <v>193</v>
      </c>
      <c r="J1569" s="426">
        <v>148545963.47</v>
      </c>
      <c r="K1569" s="393">
        <v>80000000</v>
      </c>
      <c r="L1569" s="394"/>
      <c r="M1569" s="394" t="s">
        <v>5133</v>
      </c>
      <c r="N1569" s="426"/>
      <c r="O1569" s="379" t="s">
        <v>1422</v>
      </c>
      <c r="P1569" s="231" t="s">
        <v>1426</v>
      </c>
    </row>
    <row r="1570" spans="1:16" ht="71.25" customHeight="1" x14ac:dyDescent="0.35">
      <c r="A1570" s="479" t="s">
        <v>5000</v>
      </c>
      <c r="B1570" s="463" t="s">
        <v>5001</v>
      </c>
      <c r="C1570" s="463"/>
      <c r="D1570" s="463"/>
      <c r="E1570" s="463" t="s">
        <v>985</v>
      </c>
      <c r="F1570" s="463" t="s">
        <v>985</v>
      </c>
      <c r="G1570" s="463"/>
      <c r="H1570" s="463">
        <v>70133</v>
      </c>
      <c r="I1570" s="463" t="s">
        <v>168</v>
      </c>
      <c r="J1570" s="426"/>
      <c r="K1570" s="393">
        <v>80000000</v>
      </c>
      <c r="L1570" s="394"/>
      <c r="M1570" s="394" t="s">
        <v>5133</v>
      </c>
      <c r="N1570" s="426"/>
      <c r="O1570" s="379"/>
    </row>
    <row r="1571" spans="1:16" ht="63.75" customHeight="1" x14ac:dyDescent="0.35">
      <c r="A1571" s="479" t="s">
        <v>5002</v>
      </c>
      <c r="B1571" s="463" t="s">
        <v>5003</v>
      </c>
      <c r="C1571" s="463"/>
      <c r="D1571" s="463"/>
      <c r="E1571" s="463" t="s">
        <v>1419</v>
      </c>
      <c r="F1571" s="463" t="s">
        <v>1419</v>
      </c>
      <c r="G1571" s="463"/>
      <c r="H1571" s="463">
        <v>70133</v>
      </c>
      <c r="I1571" s="463" t="s">
        <v>193</v>
      </c>
      <c r="J1571" s="426"/>
      <c r="K1571" s="393">
        <v>80000000</v>
      </c>
      <c r="L1571" s="394"/>
      <c r="M1571" s="394" t="s">
        <v>5133</v>
      </c>
      <c r="N1571" s="426"/>
      <c r="O1571" s="379"/>
    </row>
    <row r="1572" spans="1:16" ht="37.5" customHeight="1" x14ac:dyDescent="0.35">
      <c r="A1572" s="479" t="s">
        <v>5004</v>
      </c>
      <c r="B1572" s="463" t="s">
        <v>5005</v>
      </c>
      <c r="C1572" s="463"/>
      <c r="D1572" s="463"/>
      <c r="E1572" s="463" t="s">
        <v>1419</v>
      </c>
      <c r="F1572" s="463" t="s">
        <v>1419</v>
      </c>
      <c r="G1572" s="463"/>
      <c r="H1572" s="463">
        <v>70133</v>
      </c>
      <c r="I1572" s="463" t="s">
        <v>193</v>
      </c>
      <c r="J1572" s="426"/>
      <c r="K1572" s="393">
        <v>80000000</v>
      </c>
      <c r="L1572" s="394"/>
      <c r="M1572" s="394" t="s">
        <v>5133</v>
      </c>
      <c r="N1572" s="426"/>
      <c r="O1572" s="379"/>
    </row>
    <row r="1573" spans="1:16" ht="108" customHeight="1" x14ac:dyDescent="0.35">
      <c r="A1573" s="479" t="s">
        <v>5006</v>
      </c>
      <c r="B1573" s="463" t="s">
        <v>5007</v>
      </c>
      <c r="C1573" s="463"/>
      <c r="D1573" s="463"/>
      <c r="E1573" s="463" t="s">
        <v>1419</v>
      </c>
      <c r="F1573" s="463" t="s">
        <v>1419</v>
      </c>
      <c r="G1573" s="463"/>
      <c r="H1573" s="463">
        <v>70133</v>
      </c>
      <c r="I1573" s="463" t="s">
        <v>193</v>
      </c>
      <c r="J1573" s="426"/>
      <c r="K1573" s="393">
        <v>80000000</v>
      </c>
      <c r="L1573" s="394"/>
      <c r="M1573" s="394" t="s">
        <v>5133</v>
      </c>
      <c r="N1573" s="426"/>
      <c r="O1573" s="379"/>
    </row>
    <row r="1574" spans="1:16" ht="49.5" customHeight="1" x14ac:dyDescent="0.35">
      <c r="A1574" s="479" t="s">
        <v>5008</v>
      </c>
      <c r="B1574" s="463" t="s">
        <v>5009</v>
      </c>
      <c r="C1574" s="463"/>
      <c r="D1574" s="463"/>
      <c r="E1574" s="463" t="s">
        <v>1419</v>
      </c>
      <c r="F1574" s="463" t="s">
        <v>1419</v>
      </c>
      <c r="G1574" s="463"/>
      <c r="H1574" s="463">
        <v>70133</v>
      </c>
      <c r="I1574" s="463" t="s">
        <v>193</v>
      </c>
      <c r="J1574" s="426"/>
      <c r="K1574" s="393">
        <v>80000000</v>
      </c>
      <c r="L1574" s="394"/>
      <c r="M1574" s="394" t="s">
        <v>5133</v>
      </c>
      <c r="N1574" s="426"/>
      <c r="O1574" s="379"/>
    </row>
    <row r="1575" spans="1:16" ht="78" customHeight="1" x14ac:dyDescent="0.35">
      <c r="A1575" s="479" t="s">
        <v>5010</v>
      </c>
      <c r="B1575" s="463" t="s">
        <v>5011</v>
      </c>
      <c r="C1575" s="463"/>
      <c r="D1575" s="463"/>
      <c r="E1575" s="463" t="s">
        <v>1419</v>
      </c>
      <c r="F1575" s="463" t="s">
        <v>1419</v>
      </c>
      <c r="G1575" s="463"/>
      <c r="H1575" s="463">
        <v>70133</v>
      </c>
      <c r="I1575" s="463" t="s">
        <v>193</v>
      </c>
      <c r="J1575" s="426"/>
      <c r="K1575" s="393">
        <v>10000000</v>
      </c>
      <c r="L1575" s="394"/>
      <c r="M1575" s="394" t="s">
        <v>5133</v>
      </c>
      <c r="N1575" s="426"/>
      <c r="O1575" s="379"/>
    </row>
    <row r="1576" spans="1:16" ht="63.75" customHeight="1" x14ac:dyDescent="0.35">
      <c r="A1576" s="479" t="s">
        <v>5012</v>
      </c>
      <c r="B1576" s="463" t="s">
        <v>5013</v>
      </c>
      <c r="C1576" s="463"/>
      <c r="D1576" s="463"/>
      <c r="E1576" s="463" t="s">
        <v>1419</v>
      </c>
      <c r="F1576" s="463" t="s">
        <v>1419</v>
      </c>
      <c r="G1576" s="463"/>
      <c r="H1576" s="463">
        <v>70133</v>
      </c>
      <c r="I1576" s="463" t="s">
        <v>193</v>
      </c>
      <c r="J1576" s="426"/>
      <c r="K1576" s="393">
        <v>30000000</v>
      </c>
      <c r="L1576" s="394"/>
      <c r="M1576" s="394" t="s">
        <v>5133</v>
      </c>
      <c r="N1576" s="426"/>
      <c r="O1576" s="379"/>
    </row>
    <row r="1577" spans="1:16" ht="75" customHeight="1" x14ac:dyDescent="0.35">
      <c r="A1577" s="479" t="s">
        <v>5014</v>
      </c>
      <c r="B1577" s="463" t="s">
        <v>5015</v>
      </c>
      <c r="C1577" s="463"/>
      <c r="D1577" s="463"/>
      <c r="E1577" s="463" t="s">
        <v>1419</v>
      </c>
      <c r="F1577" s="463" t="s">
        <v>1419</v>
      </c>
      <c r="G1577" s="463"/>
      <c r="H1577" s="463">
        <v>70133</v>
      </c>
      <c r="I1577" s="463" t="s">
        <v>193</v>
      </c>
      <c r="J1577" s="426"/>
      <c r="K1577" s="393">
        <v>10000000</v>
      </c>
      <c r="L1577" s="394"/>
      <c r="M1577" s="394" t="s">
        <v>5133</v>
      </c>
      <c r="N1577" s="426"/>
      <c r="O1577" s="379"/>
    </row>
    <row r="1578" spans="1:16" ht="75" customHeight="1" x14ac:dyDescent="0.35">
      <c r="A1578" s="479" t="s">
        <v>5016</v>
      </c>
      <c r="B1578" s="463" t="s">
        <v>5017</v>
      </c>
      <c r="C1578" s="463"/>
      <c r="D1578" s="463"/>
      <c r="E1578" s="463" t="s">
        <v>1419</v>
      </c>
      <c r="F1578" s="463" t="s">
        <v>1419</v>
      </c>
      <c r="G1578" s="463"/>
      <c r="H1578" s="463">
        <v>70133</v>
      </c>
      <c r="I1578" s="463" t="s">
        <v>193</v>
      </c>
      <c r="J1578" s="426"/>
      <c r="K1578" s="393">
        <v>1000</v>
      </c>
      <c r="L1578" s="394"/>
      <c r="M1578" s="394" t="s">
        <v>5133</v>
      </c>
      <c r="N1578" s="426"/>
      <c r="O1578" s="379"/>
    </row>
    <row r="1579" spans="1:16" ht="63.75" customHeight="1" x14ac:dyDescent="0.35">
      <c r="A1579" s="479" t="s">
        <v>5018</v>
      </c>
      <c r="B1579" s="463" t="s">
        <v>5019</v>
      </c>
      <c r="C1579" s="463"/>
      <c r="D1579" s="463"/>
      <c r="E1579" s="463" t="s">
        <v>1419</v>
      </c>
      <c r="F1579" s="463" t="s">
        <v>1419</v>
      </c>
      <c r="G1579" s="463"/>
      <c r="H1579" s="463">
        <v>70133</v>
      </c>
      <c r="I1579" s="463" t="s">
        <v>193</v>
      </c>
      <c r="J1579" s="426"/>
      <c r="K1579" s="393">
        <v>1000</v>
      </c>
      <c r="L1579" s="394"/>
      <c r="M1579" s="394" t="s">
        <v>5133</v>
      </c>
      <c r="N1579" s="426"/>
      <c r="O1579" s="379"/>
    </row>
    <row r="1580" spans="1:16" ht="63.75" customHeight="1" x14ac:dyDescent="0.35">
      <c r="A1580" s="479" t="s">
        <v>5020</v>
      </c>
      <c r="B1580" s="463" t="s">
        <v>5021</v>
      </c>
      <c r="C1580" s="463"/>
      <c r="D1580" s="463"/>
      <c r="E1580" s="463" t="s">
        <v>1419</v>
      </c>
      <c r="F1580" s="463" t="s">
        <v>1419</v>
      </c>
      <c r="G1580" s="463"/>
      <c r="H1580" s="463">
        <v>70133</v>
      </c>
      <c r="I1580" s="463" t="s">
        <v>193</v>
      </c>
      <c r="J1580" s="426"/>
      <c r="K1580" s="393">
        <v>1000</v>
      </c>
      <c r="L1580" s="394"/>
      <c r="M1580" s="394" t="s">
        <v>5133</v>
      </c>
      <c r="N1580" s="426"/>
      <c r="O1580" s="379"/>
    </row>
    <row r="1581" spans="1:16" ht="43.5" customHeight="1" x14ac:dyDescent="0.35">
      <c r="A1581" s="479" t="s">
        <v>5022</v>
      </c>
      <c r="B1581" s="463" t="s">
        <v>5023</v>
      </c>
      <c r="C1581" s="463"/>
      <c r="D1581" s="463"/>
      <c r="E1581" s="463" t="s">
        <v>1419</v>
      </c>
      <c r="F1581" s="463" t="s">
        <v>1419</v>
      </c>
      <c r="G1581" s="463"/>
      <c r="H1581" s="463">
        <v>70133</v>
      </c>
      <c r="I1581" s="463" t="s">
        <v>193</v>
      </c>
      <c r="J1581" s="426"/>
      <c r="K1581" s="393">
        <v>1000</v>
      </c>
      <c r="L1581" s="394"/>
      <c r="M1581" s="394" t="s">
        <v>5133</v>
      </c>
      <c r="N1581" s="426"/>
      <c r="O1581" s="379"/>
    </row>
    <row r="1582" spans="1:16" ht="43.5" customHeight="1" x14ac:dyDescent="0.35">
      <c r="A1582" s="479" t="s">
        <v>5024</v>
      </c>
      <c r="B1582" s="463" t="s">
        <v>5025</v>
      </c>
      <c r="C1582" s="463"/>
      <c r="D1582" s="463"/>
      <c r="E1582" s="463" t="s">
        <v>1419</v>
      </c>
      <c r="F1582" s="463" t="s">
        <v>1419</v>
      </c>
      <c r="G1582" s="463"/>
      <c r="H1582" s="463">
        <v>70133</v>
      </c>
      <c r="I1582" s="463" t="s">
        <v>193</v>
      </c>
      <c r="J1582" s="426"/>
      <c r="K1582" s="393">
        <v>20000000</v>
      </c>
      <c r="L1582" s="394"/>
      <c r="M1582" s="394" t="s">
        <v>5133</v>
      </c>
      <c r="N1582" s="426"/>
      <c r="O1582" s="379"/>
    </row>
    <row r="1583" spans="1:16" ht="63.75" customHeight="1" x14ac:dyDescent="0.35">
      <c r="A1583" s="479" t="s">
        <v>5026</v>
      </c>
      <c r="B1583" s="463" t="s">
        <v>5027</v>
      </c>
      <c r="C1583" s="463"/>
      <c r="D1583" s="463"/>
      <c r="E1583" s="463" t="s">
        <v>1419</v>
      </c>
      <c r="F1583" s="463" t="s">
        <v>1419</v>
      </c>
      <c r="G1583" s="463"/>
      <c r="H1583" s="463">
        <v>70133</v>
      </c>
      <c r="I1583" s="463" t="s">
        <v>193</v>
      </c>
      <c r="J1583" s="426"/>
      <c r="K1583" s="393">
        <v>80000000</v>
      </c>
      <c r="L1583" s="394"/>
      <c r="M1583" s="394" t="s">
        <v>5133</v>
      </c>
      <c r="N1583" s="426"/>
      <c r="O1583" s="379"/>
    </row>
    <row r="1584" spans="1:16" ht="48" customHeight="1" x14ac:dyDescent="0.35">
      <c r="A1584" s="479" t="s">
        <v>5028</v>
      </c>
      <c r="B1584" s="463" t="s">
        <v>5029</v>
      </c>
      <c r="C1584" s="463"/>
      <c r="D1584" s="463"/>
      <c r="E1584" s="463" t="s">
        <v>1419</v>
      </c>
      <c r="F1584" s="463" t="s">
        <v>1419</v>
      </c>
      <c r="G1584" s="463"/>
      <c r="H1584" s="463">
        <v>70133</v>
      </c>
      <c r="I1584" s="463" t="s">
        <v>193</v>
      </c>
      <c r="J1584" s="426"/>
      <c r="K1584" s="393">
        <v>10000000</v>
      </c>
      <c r="L1584" s="394"/>
      <c r="M1584" s="394" t="s">
        <v>5133</v>
      </c>
      <c r="N1584" s="426"/>
      <c r="O1584" s="379"/>
    </row>
    <row r="1585" spans="1:15" ht="63.75" customHeight="1" x14ac:dyDescent="0.35">
      <c r="A1585" s="479" t="s">
        <v>5030</v>
      </c>
      <c r="B1585" s="463" t="s">
        <v>5031</v>
      </c>
      <c r="C1585" s="463"/>
      <c r="D1585" s="463"/>
      <c r="E1585" s="463" t="s">
        <v>1419</v>
      </c>
      <c r="F1585" s="463" t="s">
        <v>1419</v>
      </c>
      <c r="G1585" s="463"/>
      <c r="H1585" s="463">
        <v>70133</v>
      </c>
      <c r="I1585" s="463" t="s">
        <v>193</v>
      </c>
      <c r="J1585" s="426"/>
      <c r="K1585" s="393">
        <v>1000</v>
      </c>
      <c r="L1585" s="394"/>
      <c r="M1585" s="394" t="s">
        <v>5133</v>
      </c>
      <c r="N1585" s="426"/>
      <c r="O1585" s="379"/>
    </row>
    <row r="1586" spans="1:15" ht="63.75" customHeight="1" x14ac:dyDescent="0.35">
      <c r="A1586" s="479" t="s">
        <v>5032</v>
      </c>
      <c r="B1586" s="463" t="s">
        <v>5033</v>
      </c>
      <c r="C1586" s="463"/>
      <c r="D1586" s="463"/>
      <c r="E1586" s="463" t="s">
        <v>1419</v>
      </c>
      <c r="F1586" s="463" t="s">
        <v>1419</v>
      </c>
      <c r="G1586" s="463"/>
      <c r="H1586" s="463">
        <v>70133</v>
      </c>
      <c r="I1586" s="463" t="s">
        <v>193</v>
      </c>
      <c r="J1586" s="426"/>
      <c r="K1586" s="393">
        <v>1000</v>
      </c>
      <c r="L1586" s="394"/>
      <c r="M1586" s="394" t="s">
        <v>5133</v>
      </c>
      <c r="N1586" s="426"/>
      <c r="O1586" s="379"/>
    </row>
    <row r="1587" spans="1:15" ht="63.75" customHeight="1" x14ac:dyDescent="0.35">
      <c r="A1587" s="479" t="s">
        <v>5034</v>
      </c>
      <c r="B1587" s="463" t="s">
        <v>5035</v>
      </c>
      <c r="C1587" s="463"/>
      <c r="D1587" s="463"/>
      <c r="E1587" s="463" t="s">
        <v>1419</v>
      </c>
      <c r="F1587" s="463" t="s">
        <v>1419</v>
      </c>
      <c r="G1587" s="463"/>
      <c r="H1587" s="463">
        <v>70133</v>
      </c>
      <c r="I1587" s="463" t="s">
        <v>193</v>
      </c>
      <c r="J1587" s="426"/>
      <c r="K1587" s="393">
        <v>10000000</v>
      </c>
      <c r="L1587" s="394"/>
      <c r="M1587" s="394" t="s">
        <v>5133</v>
      </c>
      <c r="N1587" s="426"/>
      <c r="O1587" s="379"/>
    </row>
    <row r="1588" spans="1:15" ht="63.75" customHeight="1" x14ac:dyDescent="0.35">
      <c r="A1588" s="479" t="s">
        <v>5036</v>
      </c>
      <c r="B1588" s="463" t="s">
        <v>5037</v>
      </c>
      <c r="C1588" s="463"/>
      <c r="D1588" s="463"/>
      <c r="E1588" s="463" t="s">
        <v>1419</v>
      </c>
      <c r="F1588" s="463" t="s">
        <v>1419</v>
      </c>
      <c r="G1588" s="463"/>
      <c r="H1588" s="463">
        <v>70133</v>
      </c>
      <c r="I1588" s="463" t="s">
        <v>193</v>
      </c>
      <c r="J1588" s="426"/>
      <c r="K1588" s="393">
        <v>1000</v>
      </c>
      <c r="L1588" s="394"/>
      <c r="M1588" s="394" t="s">
        <v>5133</v>
      </c>
      <c r="N1588" s="426"/>
      <c r="O1588" s="379"/>
    </row>
    <row r="1589" spans="1:15" ht="63.75" customHeight="1" x14ac:dyDescent="0.35">
      <c r="A1589" s="479" t="s">
        <v>5038</v>
      </c>
      <c r="B1589" s="463" t="s">
        <v>5039</v>
      </c>
      <c r="C1589" s="463"/>
      <c r="D1589" s="463"/>
      <c r="E1589" s="463" t="s">
        <v>1419</v>
      </c>
      <c r="F1589" s="463" t="s">
        <v>1419</v>
      </c>
      <c r="G1589" s="463"/>
      <c r="H1589" s="463">
        <v>70133</v>
      </c>
      <c r="I1589" s="463" t="s">
        <v>193</v>
      </c>
      <c r="J1589" s="426"/>
      <c r="K1589" s="393">
        <v>10000000</v>
      </c>
      <c r="L1589" s="394"/>
      <c r="M1589" s="394" t="s">
        <v>5133</v>
      </c>
      <c r="N1589" s="426"/>
      <c r="O1589" s="379"/>
    </row>
    <row r="1590" spans="1:15" ht="63.75" customHeight="1" x14ac:dyDescent="0.35">
      <c r="A1590" s="479" t="s">
        <v>5040</v>
      </c>
      <c r="B1590" s="463" t="s">
        <v>5041</v>
      </c>
      <c r="C1590" s="463"/>
      <c r="D1590" s="463"/>
      <c r="E1590" s="463" t="s">
        <v>1419</v>
      </c>
      <c r="F1590" s="463" t="s">
        <v>1419</v>
      </c>
      <c r="G1590" s="463"/>
      <c r="H1590" s="463">
        <v>70133</v>
      </c>
      <c r="I1590" s="463" t="s">
        <v>193</v>
      </c>
      <c r="J1590" s="426"/>
      <c r="K1590" s="393">
        <v>1000</v>
      </c>
      <c r="L1590" s="394"/>
      <c r="M1590" s="394" t="s">
        <v>5133</v>
      </c>
      <c r="N1590" s="426"/>
      <c r="O1590" s="379"/>
    </row>
    <row r="1591" spans="1:15" ht="63.75" customHeight="1" x14ac:dyDescent="0.35">
      <c r="A1591" s="479" t="s">
        <v>5042</v>
      </c>
      <c r="B1591" s="463" t="s">
        <v>5043</v>
      </c>
      <c r="C1591" s="463"/>
      <c r="D1591" s="463"/>
      <c r="E1591" s="463" t="s">
        <v>1419</v>
      </c>
      <c r="F1591" s="463" t="s">
        <v>1419</v>
      </c>
      <c r="G1591" s="463"/>
      <c r="H1591" s="463">
        <v>70133</v>
      </c>
      <c r="I1591" s="463" t="s">
        <v>193</v>
      </c>
      <c r="J1591" s="426"/>
      <c r="K1591" s="393">
        <v>1000</v>
      </c>
      <c r="L1591" s="394"/>
      <c r="M1591" s="394" t="s">
        <v>5133</v>
      </c>
      <c r="N1591" s="426"/>
      <c r="O1591" s="379"/>
    </row>
    <row r="1592" spans="1:15" ht="63.75" customHeight="1" x14ac:dyDescent="0.35">
      <c r="A1592" s="479" t="s">
        <v>5044</v>
      </c>
      <c r="B1592" s="463" t="s">
        <v>5045</v>
      </c>
      <c r="C1592" s="463"/>
      <c r="D1592" s="463"/>
      <c r="E1592" s="463" t="s">
        <v>1419</v>
      </c>
      <c r="F1592" s="463" t="s">
        <v>1419</v>
      </c>
      <c r="G1592" s="463"/>
      <c r="H1592" s="463">
        <v>70133</v>
      </c>
      <c r="I1592" s="463" t="s">
        <v>193</v>
      </c>
      <c r="J1592" s="426"/>
      <c r="K1592" s="393">
        <v>1000</v>
      </c>
      <c r="L1592" s="394"/>
      <c r="M1592" s="394" t="s">
        <v>5133</v>
      </c>
      <c r="N1592" s="426"/>
      <c r="O1592" s="379"/>
    </row>
    <row r="1593" spans="1:15" ht="63.75" customHeight="1" x14ac:dyDescent="0.35">
      <c r="A1593" s="479" t="s">
        <v>5046</v>
      </c>
      <c r="B1593" s="463" t="s">
        <v>5047</v>
      </c>
      <c r="C1593" s="463"/>
      <c r="D1593" s="463"/>
      <c r="E1593" s="463" t="s">
        <v>985</v>
      </c>
      <c r="F1593" s="463" t="s">
        <v>985</v>
      </c>
      <c r="G1593" s="463"/>
      <c r="H1593" s="463">
        <v>70133</v>
      </c>
      <c r="I1593" s="463" t="s">
        <v>168</v>
      </c>
      <c r="J1593" s="426"/>
      <c r="K1593" s="393">
        <v>1000</v>
      </c>
      <c r="L1593" s="394"/>
      <c r="M1593" s="394" t="s">
        <v>5133</v>
      </c>
      <c r="N1593" s="426"/>
      <c r="O1593" s="379"/>
    </row>
    <row r="1594" spans="1:15" ht="45" customHeight="1" x14ac:dyDescent="0.35">
      <c r="A1594" s="479" t="s">
        <v>5048</v>
      </c>
      <c r="B1594" s="463" t="s">
        <v>5049</v>
      </c>
      <c r="C1594" s="463"/>
      <c r="D1594" s="463"/>
      <c r="E1594" s="463" t="s">
        <v>1419</v>
      </c>
      <c r="F1594" s="463" t="s">
        <v>1419</v>
      </c>
      <c r="G1594" s="463"/>
      <c r="H1594" s="463">
        <v>70133</v>
      </c>
      <c r="I1594" s="463" t="s">
        <v>193</v>
      </c>
      <c r="J1594" s="426"/>
      <c r="K1594" s="393">
        <v>1000</v>
      </c>
      <c r="L1594" s="394"/>
      <c r="M1594" s="394" t="s">
        <v>5133</v>
      </c>
      <c r="N1594" s="426"/>
      <c r="O1594" s="379"/>
    </row>
    <row r="1595" spans="1:15" ht="63.75" customHeight="1" x14ac:dyDescent="0.35">
      <c r="A1595" s="479" t="s">
        <v>5050</v>
      </c>
      <c r="B1595" s="463" t="s">
        <v>5051</v>
      </c>
      <c r="C1595" s="463"/>
      <c r="D1595" s="463"/>
      <c r="E1595" s="463" t="s">
        <v>1419</v>
      </c>
      <c r="F1595" s="463" t="s">
        <v>1419</v>
      </c>
      <c r="G1595" s="463"/>
      <c r="H1595" s="463">
        <v>70133</v>
      </c>
      <c r="I1595" s="463" t="s">
        <v>193</v>
      </c>
      <c r="J1595" s="426"/>
      <c r="K1595" s="393">
        <v>30000000</v>
      </c>
      <c r="L1595" s="394"/>
      <c r="M1595" s="394" t="s">
        <v>5133</v>
      </c>
      <c r="N1595" s="426"/>
      <c r="O1595" s="379"/>
    </row>
    <row r="1596" spans="1:15" ht="63.75" customHeight="1" x14ac:dyDescent="0.35">
      <c r="A1596" s="479" t="s">
        <v>5052</v>
      </c>
      <c r="B1596" s="463" t="s">
        <v>5053</v>
      </c>
      <c r="C1596" s="463"/>
      <c r="D1596" s="463"/>
      <c r="E1596" s="463" t="s">
        <v>3011</v>
      </c>
      <c r="F1596" s="463" t="s">
        <v>3011</v>
      </c>
      <c r="G1596" s="463"/>
      <c r="H1596" s="463">
        <v>70133</v>
      </c>
      <c r="I1596" s="463" t="s">
        <v>193</v>
      </c>
      <c r="J1596" s="426"/>
      <c r="K1596" s="393">
        <v>35000000</v>
      </c>
      <c r="L1596" s="394"/>
      <c r="M1596" s="394" t="s">
        <v>5133</v>
      </c>
      <c r="N1596" s="426"/>
      <c r="O1596" s="379"/>
    </row>
    <row r="1597" spans="1:15" ht="40.5" customHeight="1" x14ac:dyDescent="0.35">
      <c r="A1597" s="479" t="s">
        <v>5054</v>
      </c>
      <c r="B1597" s="463" t="s">
        <v>5055</v>
      </c>
      <c r="C1597" s="463"/>
      <c r="D1597" s="463"/>
      <c r="E1597" s="463" t="s">
        <v>4876</v>
      </c>
      <c r="F1597" s="463" t="s">
        <v>4876</v>
      </c>
      <c r="G1597" s="463"/>
      <c r="H1597" s="463">
        <v>70133</v>
      </c>
      <c r="I1597" s="463" t="s">
        <v>193</v>
      </c>
      <c r="J1597" s="426"/>
      <c r="K1597" s="393">
        <v>35000000</v>
      </c>
      <c r="L1597" s="394"/>
      <c r="M1597" s="394" t="s">
        <v>5133</v>
      </c>
      <c r="N1597" s="426"/>
      <c r="O1597" s="379"/>
    </row>
    <row r="1598" spans="1:15" ht="45" customHeight="1" x14ac:dyDescent="0.35">
      <c r="A1598" s="479" t="s">
        <v>5056</v>
      </c>
      <c r="B1598" s="463" t="s">
        <v>5057</v>
      </c>
      <c r="C1598" s="463"/>
      <c r="D1598" s="463"/>
      <c r="E1598" s="463" t="s">
        <v>5074</v>
      </c>
      <c r="F1598" s="463" t="s">
        <v>5074</v>
      </c>
      <c r="G1598" s="463"/>
      <c r="H1598" s="463">
        <v>70133</v>
      </c>
      <c r="I1598" s="463" t="s">
        <v>193</v>
      </c>
      <c r="J1598" s="426"/>
      <c r="K1598" s="393">
        <v>30000000</v>
      </c>
      <c r="L1598" s="394"/>
      <c r="M1598" s="394" t="s">
        <v>5133</v>
      </c>
      <c r="N1598" s="426"/>
      <c r="O1598" s="379"/>
    </row>
    <row r="1599" spans="1:15" ht="49.5" customHeight="1" x14ac:dyDescent="0.35">
      <c r="A1599" s="479" t="s">
        <v>5058</v>
      </c>
      <c r="B1599" s="463" t="s">
        <v>5059</v>
      </c>
      <c r="C1599" s="463"/>
      <c r="D1599" s="463"/>
      <c r="E1599" s="463" t="s">
        <v>5075</v>
      </c>
      <c r="F1599" s="463" t="s">
        <v>5075</v>
      </c>
      <c r="G1599" s="463"/>
      <c r="H1599" s="463">
        <v>70133</v>
      </c>
      <c r="I1599" s="463" t="s">
        <v>193</v>
      </c>
      <c r="J1599" s="426"/>
      <c r="K1599" s="393">
        <v>40000000</v>
      </c>
      <c r="L1599" s="394"/>
      <c r="M1599" s="394" t="s">
        <v>5133</v>
      </c>
      <c r="N1599" s="426"/>
      <c r="O1599" s="379"/>
    </row>
    <row r="1600" spans="1:15" ht="63.75" customHeight="1" x14ac:dyDescent="0.35">
      <c r="A1600" s="479" t="s">
        <v>5060</v>
      </c>
      <c r="B1600" s="463" t="s">
        <v>5061</v>
      </c>
      <c r="C1600" s="463"/>
      <c r="D1600" s="463"/>
      <c r="E1600" s="463" t="s">
        <v>5076</v>
      </c>
      <c r="F1600" s="463" t="s">
        <v>5076</v>
      </c>
      <c r="G1600" s="463"/>
      <c r="H1600" s="463">
        <v>70133</v>
      </c>
      <c r="I1600" s="463" t="s">
        <v>193</v>
      </c>
      <c r="J1600" s="426"/>
      <c r="K1600" s="393">
        <v>60000000</v>
      </c>
      <c r="L1600" s="394"/>
      <c r="M1600" s="394" t="s">
        <v>5133</v>
      </c>
      <c r="N1600" s="426"/>
      <c r="O1600" s="379"/>
    </row>
    <row r="1601" spans="1:16" ht="45" customHeight="1" x14ac:dyDescent="0.35">
      <c r="A1601" s="479" t="s">
        <v>5062</v>
      </c>
      <c r="B1601" s="463" t="s">
        <v>5063</v>
      </c>
      <c r="C1601" s="463"/>
      <c r="D1601" s="463"/>
      <c r="E1601" s="463" t="s">
        <v>5077</v>
      </c>
      <c r="F1601" s="463" t="s">
        <v>5077</v>
      </c>
      <c r="G1601" s="463"/>
      <c r="H1601" s="463">
        <v>70133</v>
      </c>
      <c r="I1601" s="463" t="s">
        <v>193</v>
      </c>
      <c r="J1601" s="426"/>
      <c r="K1601" s="393">
        <v>130000000</v>
      </c>
      <c r="L1601" s="394"/>
      <c r="M1601" s="394" t="s">
        <v>5133</v>
      </c>
      <c r="N1601" s="426"/>
      <c r="O1601" s="379"/>
    </row>
    <row r="1602" spans="1:16" ht="63.75" customHeight="1" x14ac:dyDescent="0.35">
      <c r="A1602" s="479" t="s">
        <v>5064</v>
      </c>
      <c r="B1602" s="463" t="s">
        <v>5065</v>
      </c>
      <c r="C1602" s="463"/>
      <c r="D1602" s="463"/>
      <c r="E1602" s="463" t="s">
        <v>5078</v>
      </c>
      <c r="F1602" s="463" t="s">
        <v>5078</v>
      </c>
      <c r="G1602" s="463"/>
      <c r="H1602" s="463">
        <v>70133</v>
      </c>
      <c r="I1602" s="463" t="s">
        <v>193</v>
      </c>
      <c r="J1602" s="426"/>
      <c r="K1602" s="393">
        <v>10000000</v>
      </c>
      <c r="L1602" s="394"/>
      <c r="M1602" s="394" t="s">
        <v>5133</v>
      </c>
      <c r="N1602" s="426"/>
      <c r="O1602" s="379"/>
    </row>
    <row r="1603" spans="1:16" ht="43.5" customHeight="1" x14ac:dyDescent="0.35">
      <c r="A1603" s="479" t="s">
        <v>5066</v>
      </c>
      <c r="B1603" s="463" t="s">
        <v>5067</v>
      </c>
      <c r="C1603" s="463"/>
      <c r="D1603" s="463"/>
      <c r="E1603" s="463" t="s">
        <v>1424</v>
      </c>
      <c r="F1603" s="463" t="s">
        <v>1424</v>
      </c>
      <c r="G1603" s="463"/>
      <c r="H1603" s="463">
        <v>70133</v>
      </c>
      <c r="I1603" s="463" t="s">
        <v>193</v>
      </c>
      <c r="J1603" s="426"/>
      <c r="K1603" s="393">
        <v>20000000</v>
      </c>
      <c r="L1603" s="394"/>
      <c r="M1603" s="394" t="s">
        <v>5133</v>
      </c>
      <c r="N1603" s="426"/>
      <c r="O1603" s="379"/>
    </row>
    <row r="1604" spans="1:16" ht="47.25" customHeight="1" x14ac:dyDescent="0.35">
      <c r="A1604" s="479" t="s">
        <v>5068</v>
      </c>
      <c r="B1604" s="463" t="s">
        <v>5069</v>
      </c>
      <c r="C1604" s="463"/>
      <c r="D1604" s="463"/>
      <c r="E1604" s="463" t="s">
        <v>5079</v>
      </c>
      <c r="F1604" s="463" t="s">
        <v>5079</v>
      </c>
      <c r="G1604" s="463"/>
      <c r="H1604" s="463">
        <v>70133</v>
      </c>
      <c r="I1604" s="463" t="s">
        <v>193</v>
      </c>
      <c r="J1604" s="426"/>
      <c r="K1604" s="393">
        <v>35000000</v>
      </c>
      <c r="L1604" s="394"/>
      <c r="M1604" s="394" t="s">
        <v>5133</v>
      </c>
      <c r="N1604" s="426"/>
      <c r="O1604" s="379"/>
    </row>
    <row r="1605" spans="1:16" ht="82.5" customHeight="1" x14ac:dyDescent="0.35">
      <c r="A1605" s="479" t="s">
        <v>5070</v>
      </c>
      <c r="B1605" s="463" t="s">
        <v>5071</v>
      </c>
      <c r="C1605" s="463"/>
      <c r="D1605" s="463"/>
      <c r="E1605" s="463" t="s">
        <v>5080</v>
      </c>
      <c r="F1605" s="463" t="s">
        <v>5080</v>
      </c>
      <c r="G1605" s="463"/>
      <c r="H1605" s="463">
        <v>70133</v>
      </c>
      <c r="I1605" s="463" t="s">
        <v>193</v>
      </c>
      <c r="J1605" s="426"/>
      <c r="K1605" s="393">
        <v>100000000</v>
      </c>
      <c r="L1605" s="394"/>
      <c r="M1605" s="394" t="s">
        <v>5133</v>
      </c>
      <c r="N1605" s="426"/>
      <c r="O1605" s="379"/>
    </row>
    <row r="1606" spans="1:16" x14ac:dyDescent="0.35">
      <c r="A1606" s="245"/>
      <c r="B1606" s="360" t="s">
        <v>1008</v>
      </c>
      <c r="C1606" s="188"/>
      <c r="D1606" s="257"/>
      <c r="E1606" s="273"/>
      <c r="F1606" s="257"/>
      <c r="G1606" s="273"/>
      <c r="H1606" s="257"/>
      <c r="I1606" s="273"/>
      <c r="J1606" s="259">
        <f>SUM(J1532:J1605)</f>
        <v>3454320016.0699997</v>
      </c>
      <c r="K1606" s="259">
        <f>SUM(K1532:K1605)</f>
        <v>2905000000</v>
      </c>
      <c r="L1606" s="707"/>
      <c r="M1606" s="707"/>
      <c r="N1606" s="259">
        <f>SUM(N1532:N1566)</f>
        <v>1699095794.47</v>
      </c>
      <c r="O1606" s="245" t="s">
        <v>1008</v>
      </c>
      <c r="P1606" s="231" t="s">
        <v>1426</v>
      </c>
    </row>
    <row r="1607" spans="1:16" s="247" customFormat="1" ht="12.75" customHeight="1" x14ac:dyDescent="0.35">
      <c r="A1607" s="286"/>
      <c r="B1607" s="492"/>
      <c r="C1607" s="282"/>
      <c r="D1607" s="283"/>
      <c r="E1607" s="330"/>
      <c r="F1607" s="283"/>
      <c r="G1607" s="330"/>
      <c r="H1607" s="283"/>
      <c r="I1607" s="330"/>
      <c r="J1607" s="285"/>
      <c r="K1607" s="628"/>
      <c r="L1607" s="706"/>
      <c r="M1607" s="706"/>
      <c r="N1607" s="285"/>
      <c r="O1607" s="286"/>
      <c r="P1607" s="246"/>
    </row>
    <row r="1608" spans="1:16" ht="33" customHeight="1" x14ac:dyDescent="0.35">
      <c r="A1608" s="428" t="s">
        <v>1009</v>
      </c>
      <c r="B1608" s="583"/>
      <c r="C1608" s="429"/>
      <c r="D1608" s="430"/>
      <c r="E1608" s="330"/>
      <c r="F1608" s="283"/>
      <c r="G1608" s="330"/>
      <c r="H1608" s="283"/>
      <c r="I1608" s="330"/>
      <c r="J1608" s="285"/>
      <c r="K1608" s="458"/>
      <c r="L1608" s="704"/>
      <c r="M1608" s="704"/>
      <c r="N1608" s="285"/>
      <c r="O1608" s="428"/>
    </row>
    <row r="1609" spans="1:16" ht="72.75" customHeight="1" x14ac:dyDescent="0.35">
      <c r="A1609" s="360" t="s">
        <v>1007</v>
      </c>
      <c r="B1609" s="360" t="s">
        <v>50</v>
      </c>
      <c r="C1609" s="175" t="s">
        <v>898</v>
      </c>
      <c r="D1609" s="257" t="s">
        <v>52</v>
      </c>
      <c r="E1609" s="273" t="s">
        <v>49</v>
      </c>
      <c r="F1609" s="257" t="s">
        <v>1</v>
      </c>
      <c r="G1609" s="176"/>
      <c r="H1609" s="171" t="s">
        <v>51</v>
      </c>
      <c r="I1609" s="176" t="s">
        <v>2</v>
      </c>
      <c r="J1609" s="177" t="s">
        <v>4862</v>
      </c>
      <c r="K1609" s="189" t="s">
        <v>5140</v>
      </c>
      <c r="L1609" s="623" t="s">
        <v>5132</v>
      </c>
      <c r="M1609" s="623" t="s">
        <v>5132</v>
      </c>
      <c r="N1609" s="177" t="s">
        <v>932</v>
      </c>
      <c r="O1609" s="178" t="s">
        <v>50</v>
      </c>
    </row>
    <row r="1610" spans="1:16" ht="57" customHeight="1" x14ac:dyDescent="0.35">
      <c r="A1610" s="479" t="s">
        <v>4878</v>
      </c>
      <c r="B1610" s="500" t="s">
        <v>3430</v>
      </c>
      <c r="C1610" s="593" t="s">
        <v>3249</v>
      </c>
      <c r="D1610" s="593" t="s">
        <v>4</v>
      </c>
      <c r="E1610" s="593"/>
      <c r="F1610" s="593" t="s">
        <v>985</v>
      </c>
      <c r="G1610" s="593"/>
      <c r="H1610" s="593">
        <v>70111</v>
      </c>
      <c r="I1610" s="593" t="s">
        <v>168</v>
      </c>
      <c r="J1610" s="413">
        <f>2700000000+500000000</f>
        <v>3200000000</v>
      </c>
      <c r="K1610" s="655">
        <v>1900000000</v>
      </c>
      <c r="L1610" s="394"/>
      <c r="M1610" s="394" t="s">
        <v>5133</v>
      </c>
      <c r="N1610" s="149"/>
      <c r="O1610" s="411"/>
    </row>
    <row r="1611" spans="1:16" ht="55.5" customHeight="1" x14ac:dyDescent="0.35">
      <c r="A1611" s="479" t="s">
        <v>4879</v>
      </c>
      <c r="B1611" s="500" t="s">
        <v>4713</v>
      </c>
      <c r="C1611" s="593" t="s">
        <v>749</v>
      </c>
      <c r="D1611" s="593" t="s">
        <v>4</v>
      </c>
      <c r="E1611" s="593"/>
      <c r="F1611" s="593" t="s">
        <v>197</v>
      </c>
      <c r="G1611" s="593"/>
      <c r="H1611" s="593">
        <v>70111</v>
      </c>
      <c r="I1611" s="593" t="s">
        <v>193</v>
      </c>
      <c r="J1611" s="413">
        <f>350000000-100000000</f>
        <v>250000000</v>
      </c>
      <c r="K1611" s="627">
        <v>250000000</v>
      </c>
      <c r="L1611" s="394"/>
      <c r="M1611" s="394" t="s">
        <v>5133</v>
      </c>
      <c r="N1611" s="149"/>
      <c r="O1611" s="411"/>
    </row>
    <row r="1612" spans="1:16" ht="56.25" customHeight="1" x14ac:dyDescent="0.35">
      <c r="A1612" s="479" t="s">
        <v>4880</v>
      </c>
      <c r="B1612" s="500" t="s">
        <v>3431</v>
      </c>
      <c r="C1612" s="593" t="s">
        <v>3249</v>
      </c>
      <c r="D1612" s="593" t="s">
        <v>4</v>
      </c>
      <c r="E1612" s="593"/>
      <c r="F1612" s="593" t="s">
        <v>985</v>
      </c>
      <c r="G1612" s="593"/>
      <c r="H1612" s="593">
        <v>70111</v>
      </c>
      <c r="I1612" s="593" t="s">
        <v>643</v>
      </c>
      <c r="J1612" s="413">
        <v>250000000</v>
      </c>
      <c r="K1612" s="627"/>
      <c r="L1612" s="394"/>
      <c r="M1612" s="394" t="s">
        <v>5133</v>
      </c>
      <c r="N1612" s="149"/>
      <c r="O1612" s="411"/>
    </row>
    <row r="1613" spans="1:16" ht="49.5" customHeight="1" x14ac:dyDescent="0.35">
      <c r="A1613" s="479" t="s">
        <v>4881</v>
      </c>
      <c r="B1613" s="500" t="s">
        <v>3432</v>
      </c>
      <c r="C1613" s="593" t="s">
        <v>195</v>
      </c>
      <c r="D1613" s="593" t="s">
        <v>4</v>
      </c>
      <c r="E1613" s="593"/>
      <c r="F1613" s="593" t="s">
        <v>110</v>
      </c>
      <c r="G1613" s="593"/>
      <c r="H1613" s="593">
        <v>70111</v>
      </c>
      <c r="I1613" s="593" t="s">
        <v>3435</v>
      </c>
      <c r="J1613" s="413">
        <v>200000000</v>
      </c>
      <c r="K1613" s="627"/>
      <c r="L1613" s="394"/>
      <c r="M1613" s="394" t="s">
        <v>5133</v>
      </c>
      <c r="N1613" s="149"/>
      <c r="O1613" s="286"/>
    </row>
    <row r="1614" spans="1:16" ht="59.25" customHeight="1" x14ac:dyDescent="0.35">
      <c r="A1614" s="479" t="s">
        <v>4882</v>
      </c>
      <c r="B1614" s="500" t="s">
        <v>3433</v>
      </c>
      <c r="C1614" s="593" t="s">
        <v>3249</v>
      </c>
      <c r="D1614" s="593" t="s">
        <v>4</v>
      </c>
      <c r="E1614" s="593"/>
      <c r="F1614" s="593" t="s">
        <v>996</v>
      </c>
      <c r="G1614" s="593"/>
      <c r="H1614" s="593">
        <v>70111</v>
      </c>
      <c r="I1614" s="593" t="s">
        <v>782</v>
      </c>
      <c r="J1614" s="413">
        <v>100000000</v>
      </c>
      <c r="K1614" s="627"/>
      <c r="L1614" s="394"/>
      <c r="M1614" s="394" t="s">
        <v>5133</v>
      </c>
      <c r="N1614" s="149"/>
      <c r="O1614" s="286"/>
    </row>
    <row r="1615" spans="1:16" ht="45.75" customHeight="1" x14ac:dyDescent="0.35">
      <c r="A1615" s="479" t="s">
        <v>4883</v>
      </c>
      <c r="B1615" s="500" t="s">
        <v>821</v>
      </c>
      <c r="C1615" s="593" t="s">
        <v>3249</v>
      </c>
      <c r="D1615" s="593" t="s">
        <v>4</v>
      </c>
      <c r="E1615" s="593"/>
      <c r="F1615" s="593" t="s">
        <v>54</v>
      </c>
      <c r="G1615" s="593"/>
      <c r="H1615" s="593">
        <v>70111</v>
      </c>
      <c r="I1615" s="593" t="s">
        <v>900</v>
      </c>
      <c r="J1615" s="413">
        <v>5000000</v>
      </c>
      <c r="K1615" s="627"/>
      <c r="L1615" s="394"/>
      <c r="M1615" s="394" t="s">
        <v>5133</v>
      </c>
      <c r="N1615" s="149"/>
      <c r="O1615" s="286"/>
    </row>
    <row r="1616" spans="1:16" ht="43.5" customHeight="1" x14ac:dyDescent="0.35">
      <c r="A1616" s="479" t="s">
        <v>4884</v>
      </c>
      <c r="B1616" s="500" t="s">
        <v>3434</v>
      </c>
      <c r="C1616" s="593" t="s">
        <v>3249</v>
      </c>
      <c r="D1616" s="593" t="s">
        <v>4</v>
      </c>
      <c r="E1616" s="593"/>
      <c r="F1616" s="593" t="s">
        <v>62</v>
      </c>
      <c r="G1616" s="593"/>
      <c r="H1616" s="593">
        <v>70111</v>
      </c>
      <c r="I1616" s="593" t="s">
        <v>904</v>
      </c>
      <c r="J1616" s="413">
        <v>5000000</v>
      </c>
      <c r="K1616" s="627"/>
      <c r="L1616" s="394"/>
      <c r="M1616" s="394" t="s">
        <v>5133</v>
      </c>
      <c r="N1616" s="149"/>
      <c r="O1616" s="286"/>
    </row>
    <row r="1617" spans="1:16" ht="61.5" customHeight="1" x14ac:dyDescent="0.35">
      <c r="A1617" s="479" t="s">
        <v>4885</v>
      </c>
      <c r="B1617" s="500" t="s">
        <v>3389</v>
      </c>
      <c r="C1617" s="593" t="s">
        <v>191</v>
      </c>
      <c r="D1617" s="593" t="s">
        <v>2452</v>
      </c>
      <c r="E1617" s="593" t="s">
        <v>1418</v>
      </c>
      <c r="F1617" s="593" t="s">
        <v>985</v>
      </c>
      <c r="G1617" s="593"/>
      <c r="H1617" s="593" t="s">
        <v>4875</v>
      </c>
      <c r="I1617" s="593" t="s">
        <v>901</v>
      </c>
      <c r="J1617" s="413">
        <v>2000000000</v>
      </c>
      <c r="K1617" s="627">
        <v>1000000000</v>
      </c>
      <c r="L1617" s="394"/>
      <c r="M1617" s="394" t="s">
        <v>5133</v>
      </c>
      <c r="N1617" s="149"/>
      <c r="O1617" s="411"/>
    </row>
    <row r="1618" spans="1:16" ht="61.5" customHeight="1" x14ac:dyDescent="0.35">
      <c r="A1618" s="479" t="s">
        <v>4886</v>
      </c>
      <c r="B1618" s="500" t="s">
        <v>3407</v>
      </c>
      <c r="C1618" s="593" t="s">
        <v>749</v>
      </c>
      <c r="D1618" s="593" t="s">
        <v>2452</v>
      </c>
      <c r="E1618" s="593" t="s">
        <v>2451</v>
      </c>
      <c r="F1618" s="593">
        <v>31050411</v>
      </c>
      <c r="G1618" s="593"/>
      <c r="H1618" s="593" t="str">
        <f>H1617</f>
        <v xml:space="preserve">70443 </v>
      </c>
      <c r="I1618" s="593" t="s">
        <v>193</v>
      </c>
      <c r="J1618" s="413">
        <v>100000000</v>
      </c>
      <c r="K1618" s="627"/>
      <c r="L1618" s="394"/>
      <c r="M1618" s="394" t="s">
        <v>5133</v>
      </c>
      <c r="N1618" s="149"/>
      <c r="O1618" s="411"/>
    </row>
    <row r="1619" spans="1:16" ht="46.5" customHeight="1" x14ac:dyDescent="0.35">
      <c r="A1619" s="245"/>
      <c r="B1619" s="360" t="s">
        <v>1008</v>
      </c>
      <c r="C1619" s="188"/>
      <c r="D1619" s="257"/>
      <c r="E1619" s="273"/>
      <c r="F1619" s="257"/>
      <c r="G1619" s="273"/>
      <c r="H1619" s="257"/>
      <c r="I1619" s="273"/>
      <c r="J1619" s="259">
        <f>SUM(J1610:J1618)</f>
        <v>6110000000</v>
      </c>
      <c r="K1619" s="259">
        <f>SUM(K1610:K1618)</f>
        <v>3150000000</v>
      </c>
      <c r="L1619" s="705"/>
      <c r="M1619" s="705"/>
      <c r="N1619" s="626">
        <v>0</v>
      </c>
      <c r="O1619" s="248" t="s">
        <v>1008</v>
      </c>
    </row>
    <row r="1620" spans="1:16" s="247" customFormat="1" ht="33" customHeight="1" x14ac:dyDescent="0.35">
      <c r="A1620" s="487"/>
      <c r="B1620" s="361" t="s">
        <v>4726</v>
      </c>
      <c r="C1620" s="487"/>
      <c r="D1620" s="487"/>
      <c r="E1620" s="487"/>
      <c r="F1620" s="487"/>
      <c r="G1620" s="487"/>
      <c r="H1620" s="487"/>
      <c r="I1620" s="487"/>
      <c r="J1620" s="575">
        <f>J1619+J1606+J1527</f>
        <v>43564320016.07</v>
      </c>
      <c r="K1620" s="575">
        <f>K1619+K1606+K1527</f>
        <v>27455060007.029999</v>
      </c>
      <c r="L1620" s="709">
        <f>SUM(L1526:L1619)</f>
        <v>1705000000</v>
      </c>
      <c r="M1620" s="709"/>
      <c r="N1620" s="575">
        <f>N1619+N1606+N1527</f>
        <v>32699095794.470001</v>
      </c>
      <c r="O1620" s="342"/>
      <c r="P1620" s="246"/>
    </row>
    <row r="1621" spans="1:16" ht="3.75" customHeight="1" x14ac:dyDescent="0.35">
      <c r="A1621" s="286"/>
      <c r="B1621" s="492"/>
      <c r="C1621" s="282"/>
      <c r="D1621" s="283"/>
      <c r="E1621" s="330"/>
      <c r="F1621" s="283"/>
      <c r="G1621" s="330"/>
      <c r="H1621" s="283"/>
      <c r="I1621" s="330"/>
      <c r="J1621" s="285"/>
      <c r="K1621" s="458"/>
      <c r="L1621" s="704"/>
      <c r="M1621" s="704"/>
      <c r="N1621" s="285"/>
      <c r="O1621" s="286"/>
    </row>
    <row r="1622" spans="1:16" s="247" customFormat="1" ht="27" x14ac:dyDescent="0.3">
      <c r="A1622" s="613" t="s">
        <v>770</v>
      </c>
      <c r="B1622" s="613"/>
      <c r="C1622" s="613"/>
      <c r="D1622" s="613"/>
      <c r="E1622" s="613"/>
      <c r="F1622" s="613"/>
      <c r="G1622" s="613"/>
      <c r="H1622" s="613"/>
      <c r="I1622" s="613"/>
      <c r="J1622" s="613"/>
      <c r="K1622" s="628"/>
      <c r="L1622" s="706"/>
      <c r="M1622" s="706"/>
      <c r="N1622" s="613"/>
      <c r="O1622" s="614"/>
      <c r="P1622" s="246"/>
    </row>
    <row r="1623" spans="1:16" ht="32.25" customHeight="1" x14ac:dyDescent="0.35">
      <c r="A1623" s="401" t="s">
        <v>1383</v>
      </c>
      <c r="B1623" s="716"/>
      <c r="C1623" s="402"/>
      <c r="D1623" s="403"/>
      <c r="E1623" s="404"/>
      <c r="F1623" s="403"/>
      <c r="G1623" s="404"/>
      <c r="H1623" s="403"/>
      <c r="I1623" s="404"/>
      <c r="J1623" s="405"/>
      <c r="K1623" s="458"/>
      <c r="L1623" s="704"/>
      <c r="M1623" s="704"/>
      <c r="N1623" s="405"/>
      <c r="O1623" s="401"/>
    </row>
    <row r="1624" spans="1:16" ht="83.25" customHeight="1" x14ac:dyDescent="0.35">
      <c r="A1624" s="360" t="s">
        <v>1007</v>
      </c>
      <c r="B1624" s="360" t="s">
        <v>50</v>
      </c>
      <c r="C1624" s="175" t="s">
        <v>898</v>
      </c>
      <c r="D1624" s="257" t="s">
        <v>52</v>
      </c>
      <c r="E1624" s="273" t="s">
        <v>49</v>
      </c>
      <c r="F1624" s="257" t="s">
        <v>1</v>
      </c>
      <c r="G1624" s="176"/>
      <c r="H1624" s="171" t="s">
        <v>51</v>
      </c>
      <c r="I1624" s="176" t="s">
        <v>2</v>
      </c>
      <c r="J1624" s="177" t="s">
        <v>4862</v>
      </c>
      <c r="K1624" s="189" t="s">
        <v>5140</v>
      </c>
      <c r="L1624" s="623" t="s">
        <v>5132</v>
      </c>
      <c r="M1624" s="623" t="s">
        <v>5132</v>
      </c>
      <c r="N1624" s="177" t="s">
        <v>932</v>
      </c>
      <c r="O1624" s="178" t="s">
        <v>50</v>
      </c>
    </row>
    <row r="1625" spans="1:16" ht="36" customHeight="1" x14ac:dyDescent="0.35">
      <c r="A1625" s="272" t="s">
        <v>4104</v>
      </c>
      <c r="B1625" s="463" t="s">
        <v>4699</v>
      </c>
      <c r="C1625" s="165" t="s">
        <v>772</v>
      </c>
      <c r="D1625" s="141" t="s">
        <v>4</v>
      </c>
      <c r="E1625" s="237" t="s">
        <v>20</v>
      </c>
      <c r="F1625" s="526">
        <v>31050415</v>
      </c>
      <c r="G1625" s="142"/>
      <c r="H1625" s="141">
        <v>70133</v>
      </c>
      <c r="I1625" s="142" t="s">
        <v>901</v>
      </c>
      <c r="J1625" s="149">
        <v>31000000</v>
      </c>
      <c r="K1625" s="627"/>
      <c r="L1625" s="394"/>
      <c r="M1625" s="394" t="s">
        <v>5133</v>
      </c>
      <c r="N1625" s="149">
        <v>10000000</v>
      </c>
      <c r="O1625" s="252" t="s">
        <v>2516</v>
      </c>
    </row>
    <row r="1626" spans="1:16" ht="36" customHeight="1" x14ac:dyDescent="0.35">
      <c r="A1626" s="272" t="s">
        <v>4105</v>
      </c>
      <c r="B1626" s="463" t="s">
        <v>4700</v>
      </c>
      <c r="C1626" s="165" t="s">
        <v>896</v>
      </c>
      <c r="D1626" s="141" t="s">
        <v>4</v>
      </c>
      <c r="E1626" s="237" t="s">
        <v>20</v>
      </c>
      <c r="F1626" s="526">
        <v>31050415</v>
      </c>
      <c r="G1626" s="142"/>
      <c r="H1626" s="141">
        <v>70133</v>
      </c>
      <c r="I1626" s="142" t="s">
        <v>771</v>
      </c>
      <c r="J1626" s="149">
        <v>2200000</v>
      </c>
      <c r="K1626" s="627"/>
      <c r="L1626" s="394"/>
      <c r="M1626" s="394" t="s">
        <v>5133</v>
      </c>
      <c r="N1626" s="149">
        <v>5000000</v>
      </c>
      <c r="O1626" s="252" t="s">
        <v>2516</v>
      </c>
    </row>
    <row r="1627" spans="1:16" ht="36" customHeight="1" x14ac:dyDescent="0.35">
      <c r="A1627" s="272" t="s">
        <v>4106</v>
      </c>
      <c r="B1627" s="463" t="s">
        <v>4702</v>
      </c>
      <c r="C1627" s="165" t="s">
        <v>896</v>
      </c>
      <c r="D1627" s="141" t="s">
        <v>4</v>
      </c>
      <c r="E1627" s="237" t="s">
        <v>20</v>
      </c>
      <c r="F1627" s="526">
        <v>31050415</v>
      </c>
      <c r="G1627" s="142"/>
      <c r="H1627" s="141">
        <v>70133</v>
      </c>
      <c r="I1627" s="142" t="s">
        <v>771</v>
      </c>
      <c r="J1627" s="149">
        <v>3200000</v>
      </c>
      <c r="K1627" s="627"/>
      <c r="L1627" s="394"/>
      <c r="M1627" s="394" t="s">
        <v>5133</v>
      </c>
      <c r="N1627" s="149">
        <v>5000000</v>
      </c>
      <c r="O1627" s="252" t="s">
        <v>2517</v>
      </c>
    </row>
    <row r="1628" spans="1:16" ht="36" customHeight="1" x14ac:dyDescent="0.35">
      <c r="A1628" s="272" t="s">
        <v>4107</v>
      </c>
      <c r="B1628" s="463" t="s">
        <v>773</v>
      </c>
      <c r="C1628" s="165" t="s">
        <v>5</v>
      </c>
      <c r="D1628" s="141" t="s">
        <v>4</v>
      </c>
      <c r="E1628" s="237" t="s">
        <v>20</v>
      </c>
      <c r="F1628" s="526">
        <v>22021017</v>
      </c>
      <c r="G1628" s="142"/>
      <c r="H1628" s="141">
        <v>70133</v>
      </c>
      <c r="I1628" s="142" t="s">
        <v>771</v>
      </c>
      <c r="J1628" s="149">
        <v>3000000</v>
      </c>
      <c r="K1628" s="627"/>
      <c r="L1628" s="394"/>
      <c r="M1628" s="394" t="s">
        <v>5133</v>
      </c>
      <c r="N1628" s="149">
        <v>140000000</v>
      </c>
      <c r="O1628" s="180" t="s">
        <v>773</v>
      </c>
    </row>
    <row r="1629" spans="1:16" ht="36" customHeight="1" x14ac:dyDescent="0.35">
      <c r="A1629" s="272" t="s">
        <v>4108</v>
      </c>
      <c r="B1629" s="463" t="s">
        <v>4701</v>
      </c>
      <c r="C1629" s="165" t="s">
        <v>2528</v>
      </c>
      <c r="D1629" s="141" t="s">
        <v>4</v>
      </c>
      <c r="E1629" s="237" t="s">
        <v>20</v>
      </c>
      <c r="F1629" s="526">
        <v>31050415</v>
      </c>
      <c r="G1629" s="142"/>
      <c r="H1629" s="141">
        <v>70133</v>
      </c>
      <c r="I1629" s="142" t="s">
        <v>771</v>
      </c>
      <c r="J1629" s="149">
        <v>32000000</v>
      </c>
      <c r="K1629" s="627"/>
      <c r="L1629" s="394"/>
      <c r="M1629" s="394" t="s">
        <v>5133</v>
      </c>
      <c r="N1629" s="149">
        <v>10000000</v>
      </c>
      <c r="O1629" s="252" t="s">
        <v>2516</v>
      </c>
    </row>
    <row r="1630" spans="1:16" ht="36" customHeight="1" x14ac:dyDescent="0.35">
      <c r="A1630" s="272" t="s">
        <v>4109</v>
      </c>
      <c r="B1630" s="463" t="s">
        <v>4703</v>
      </c>
      <c r="C1630" s="165" t="s">
        <v>2528</v>
      </c>
      <c r="D1630" s="141" t="s">
        <v>4</v>
      </c>
      <c r="E1630" s="237" t="s">
        <v>20</v>
      </c>
      <c r="F1630" s="526">
        <v>31050415</v>
      </c>
      <c r="G1630" s="142"/>
      <c r="H1630" s="141">
        <v>70133</v>
      </c>
      <c r="I1630" s="142" t="s">
        <v>771</v>
      </c>
      <c r="J1630" s="149">
        <v>2000000</v>
      </c>
      <c r="K1630" s="627"/>
      <c r="L1630" s="394"/>
      <c r="M1630" s="394" t="s">
        <v>5133</v>
      </c>
      <c r="N1630" s="149">
        <v>10000000</v>
      </c>
      <c r="O1630" s="252" t="s">
        <v>2518</v>
      </c>
    </row>
    <row r="1631" spans="1:16" ht="36" customHeight="1" x14ac:dyDescent="0.35">
      <c r="A1631" s="272" t="s">
        <v>4110</v>
      </c>
      <c r="B1631" s="463" t="s">
        <v>2519</v>
      </c>
      <c r="C1631" s="165" t="s">
        <v>407</v>
      </c>
      <c r="D1631" s="141" t="s">
        <v>4</v>
      </c>
      <c r="E1631" s="237" t="s">
        <v>20</v>
      </c>
      <c r="F1631" s="526">
        <v>31050415</v>
      </c>
      <c r="G1631" s="142"/>
      <c r="H1631" s="141">
        <v>70133</v>
      </c>
      <c r="I1631" s="142" t="s">
        <v>900</v>
      </c>
      <c r="J1631" s="149">
        <v>20000000</v>
      </c>
      <c r="K1631" s="627"/>
      <c r="L1631" s="394"/>
      <c r="M1631" s="394" t="s">
        <v>5133</v>
      </c>
      <c r="N1631" s="149">
        <v>250000000</v>
      </c>
      <c r="O1631" s="180" t="s">
        <v>2519</v>
      </c>
    </row>
    <row r="1632" spans="1:16" ht="36" customHeight="1" x14ac:dyDescent="0.35">
      <c r="A1632" s="272" t="s">
        <v>4111</v>
      </c>
      <c r="B1632" s="463" t="s">
        <v>2520</v>
      </c>
      <c r="C1632" s="165" t="s">
        <v>407</v>
      </c>
      <c r="D1632" s="141" t="s">
        <v>4</v>
      </c>
      <c r="E1632" s="237" t="s">
        <v>20</v>
      </c>
      <c r="F1632" s="526">
        <v>31050415</v>
      </c>
      <c r="G1632" s="142"/>
      <c r="H1632" s="141">
        <v>70133</v>
      </c>
      <c r="I1632" s="142" t="s">
        <v>907</v>
      </c>
      <c r="J1632" s="149">
        <v>25000000</v>
      </c>
      <c r="K1632" s="627">
        <v>125000000</v>
      </c>
      <c r="L1632" s="394"/>
      <c r="M1632" s="394" t="s">
        <v>5133</v>
      </c>
      <c r="N1632" s="149">
        <v>0</v>
      </c>
      <c r="O1632" s="180" t="s">
        <v>2520</v>
      </c>
    </row>
    <row r="1633" spans="1:15" ht="36" customHeight="1" x14ac:dyDescent="0.35">
      <c r="A1633" s="272" t="s">
        <v>4112</v>
      </c>
      <c r="B1633" s="463" t="s">
        <v>2521</v>
      </c>
      <c r="C1633" s="165" t="s">
        <v>407</v>
      </c>
      <c r="D1633" s="141" t="s">
        <v>4</v>
      </c>
      <c r="E1633" s="237" t="s">
        <v>20</v>
      </c>
      <c r="F1633" s="526">
        <v>31050415</v>
      </c>
      <c r="G1633" s="142"/>
      <c r="H1633" s="141">
        <v>70133</v>
      </c>
      <c r="I1633" s="142" t="s">
        <v>771</v>
      </c>
      <c r="J1633" s="149">
        <v>5000000</v>
      </c>
      <c r="K1633" s="627"/>
      <c r="L1633" s="394"/>
      <c r="M1633" s="394" t="s">
        <v>5133</v>
      </c>
      <c r="N1633" s="149">
        <v>0</v>
      </c>
      <c r="O1633" s="180" t="s">
        <v>2521</v>
      </c>
    </row>
    <row r="1634" spans="1:15" ht="36" customHeight="1" x14ac:dyDescent="0.35">
      <c r="A1634" s="272" t="s">
        <v>4113</v>
      </c>
      <c r="B1634" s="463" t="s">
        <v>2522</v>
      </c>
      <c r="C1634" s="165" t="s">
        <v>196</v>
      </c>
      <c r="D1634" s="141" t="s">
        <v>4</v>
      </c>
      <c r="E1634" s="237" t="s">
        <v>20</v>
      </c>
      <c r="F1634" s="526">
        <v>31050415</v>
      </c>
      <c r="G1634" s="142"/>
      <c r="H1634" s="141">
        <v>70133</v>
      </c>
      <c r="I1634" s="142" t="s">
        <v>771</v>
      </c>
      <c r="J1634" s="149">
        <v>10000000</v>
      </c>
      <c r="K1634" s="627"/>
      <c r="L1634" s="394"/>
      <c r="M1634" s="394" t="s">
        <v>5133</v>
      </c>
      <c r="N1634" s="149">
        <v>100000000</v>
      </c>
      <c r="O1634" s="180" t="s">
        <v>2522</v>
      </c>
    </row>
    <row r="1635" spans="1:15" ht="36" customHeight="1" x14ac:dyDescent="0.35">
      <c r="A1635" s="272" t="s">
        <v>4114</v>
      </c>
      <c r="B1635" s="463" t="s">
        <v>2523</v>
      </c>
      <c r="C1635" s="165" t="s">
        <v>196</v>
      </c>
      <c r="D1635" s="141" t="s">
        <v>4</v>
      </c>
      <c r="E1635" s="237" t="s">
        <v>20</v>
      </c>
      <c r="F1635" s="526">
        <v>31050415</v>
      </c>
      <c r="G1635" s="142"/>
      <c r="H1635" s="141">
        <v>70133</v>
      </c>
      <c r="I1635" s="142" t="s">
        <v>771</v>
      </c>
      <c r="J1635" s="149">
        <v>2000000</v>
      </c>
      <c r="K1635" s="627"/>
      <c r="L1635" s="394"/>
      <c r="M1635" s="394" t="s">
        <v>5133</v>
      </c>
      <c r="N1635" s="149">
        <v>0</v>
      </c>
      <c r="O1635" s="180" t="s">
        <v>2523</v>
      </c>
    </row>
    <row r="1636" spans="1:15" ht="58.5" customHeight="1" x14ac:dyDescent="0.35">
      <c r="A1636" s="272" t="s">
        <v>4115</v>
      </c>
      <c r="B1636" s="463" t="s">
        <v>2524</v>
      </c>
      <c r="C1636" s="165" t="s">
        <v>407</v>
      </c>
      <c r="D1636" s="141" t="s">
        <v>4</v>
      </c>
      <c r="E1636" s="237" t="s">
        <v>20</v>
      </c>
      <c r="F1636" s="526">
        <v>31050415</v>
      </c>
      <c r="G1636" s="142"/>
      <c r="H1636" s="141">
        <v>70133</v>
      </c>
      <c r="I1636" s="142" t="s">
        <v>771</v>
      </c>
      <c r="J1636" s="149">
        <v>35000000</v>
      </c>
      <c r="K1636" s="627">
        <v>25000000</v>
      </c>
      <c r="L1636" s="394"/>
      <c r="M1636" s="394" t="s">
        <v>5133</v>
      </c>
      <c r="N1636" s="149">
        <v>65460000</v>
      </c>
      <c r="O1636" s="180" t="s">
        <v>2524</v>
      </c>
    </row>
    <row r="1637" spans="1:15" ht="36" customHeight="1" x14ac:dyDescent="0.35">
      <c r="A1637" s="272" t="s">
        <v>4116</v>
      </c>
      <c r="B1637" s="463" t="s">
        <v>2516</v>
      </c>
      <c r="C1637" s="165">
        <v>51032102</v>
      </c>
      <c r="D1637" s="141" t="s">
        <v>4</v>
      </c>
      <c r="E1637" s="237" t="s">
        <v>20</v>
      </c>
      <c r="F1637" s="526">
        <v>31050415</v>
      </c>
      <c r="G1637" s="142"/>
      <c r="H1637" s="141">
        <v>70133</v>
      </c>
      <c r="I1637" s="142" t="s">
        <v>900</v>
      </c>
      <c r="J1637" s="149">
        <v>31000000</v>
      </c>
      <c r="K1637" s="627"/>
      <c r="L1637" s="394"/>
      <c r="M1637" s="394" t="s">
        <v>5133</v>
      </c>
      <c r="N1637" s="149">
        <v>0</v>
      </c>
      <c r="O1637" s="252" t="s">
        <v>2516</v>
      </c>
    </row>
    <row r="1638" spans="1:15" ht="29.25" customHeight="1" x14ac:dyDescent="0.35">
      <c r="A1638" s="272" t="s">
        <v>4117</v>
      </c>
      <c r="B1638" s="463" t="s">
        <v>2525</v>
      </c>
      <c r="C1638" s="165">
        <v>426</v>
      </c>
      <c r="D1638" s="141" t="s">
        <v>4</v>
      </c>
      <c r="E1638" s="237" t="s">
        <v>20</v>
      </c>
      <c r="F1638" s="526">
        <v>31050418</v>
      </c>
      <c r="G1638" s="142"/>
      <c r="H1638" s="141">
        <v>70133</v>
      </c>
      <c r="I1638" s="142" t="s">
        <v>904</v>
      </c>
      <c r="J1638" s="149">
        <v>500000</v>
      </c>
      <c r="K1638" s="627"/>
      <c r="L1638" s="394"/>
      <c r="M1638" s="394" t="s">
        <v>5133</v>
      </c>
      <c r="N1638" s="149">
        <v>15000000</v>
      </c>
      <c r="O1638" s="180" t="s">
        <v>2525</v>
      </c>
    </row>
    <row r="1639" spans="1:15" ht="36" customHeight="1" x14ac:dyDescent="0.35">
      <c r="A1639" s="272" t="s">
        <v>4118</v>
      </c>
      <c r="B1639" s="463" t="s">
        <v>125</v>
      </c>
      <c r="C1639" s="165">
        <v>426</v>
      </c>
      <c r="D1639" s="141" t="s">
        <v>4</v>
      </c>
      <c r="E1639" s="237" t="s">
        <v>20</v>
      </c>
      <c r="F1639" s="526">
        <v>22020309</v>
      </c>
      <c r="G1639" s="142"/>
      <c r="H1639" s="141">
        <v>70133</v>
      </c>
      <c r="I1639" s="142" t="s">
        <v>901</v>
      </c>
      <c r="J1639" s="149">
        <v>300000</v>
      </c>
      <c r="K1639" s="627"/>
      <c r="L1639" s="394"/>
      <c r="M1639" s="394" t="s">
        <v>5133</v>
      </c>
      <c r="N1639" s="149">
        <v>500000</v>
      </c>
      <c r="O1639" s="252" t="s">
        <v>125</v>
      </c>
    </row>
    <row r="1640" spans="1:15" ht="36" customHeight="1" x14ac:dyDescent="0.35">
      <c r="A1640" s="272" t="s">
        <v>4119</v>
      </c>
      <c r="B1640" s="463" t="s">
        <v>2526</v>
      </c>
      <c r="C1640" s="165">
        <v>426</v>
      </c>
      <c r="D1640" s="141" t="s">
        <v>4</v>
      </c>
      <c r="E1640" s="237" t="s">
        <v>20</v>
      </c>
      <c r="F1640" s="526">
        <v>31050102</v>
      </c>
      <c r="G1640" s="142"/>
      <c r="H1640" s="141">
        <v>70133</v>
      </c>
      <c r="I1640" s="142" t="s">
        <v>902</v>
      </c>
      <c r="J1640" s="149">
        <v>200000</v>
      </c>
      <c r="K1640" s="627"/>
      <c r="L1640" s="394"/>
      <c r="M1640" s="394" t="s">
        <v>5133</v>
      </c>
      <c r="N1640" s="149">
        <v>200000</v>
      </c>
      <c r="O1640" s="252" t="s">
        <v>2526</v>
      </c>
    </row>
    <row r="1641" spans="1:15" ht="36" customHeight="1" x14ac:dyDescent="0.35">
      <c r="A1641" s="272" t="s">
        <v>4120</v>
      </c>
      <c r="B1641" s="463" t="s">
        <v>774</v>
      </c>
      <c r="C1641" s="165">
        <v>426</v>
      </c>
      <c r="D1641" s="141" t="s">
        <v>4</v>
      </c>
      <c r="E1641" s="237" t="s">
        <v>20</v>
      </c>
      <c r="F1641" s="526">
        <v>22020302</v>
      </c>
      <c r="G1641" s="142"/>
      <c r="H1641" s="141">
        <v>70133</v>
      </c>
      <c r="I1641" s="142" t="s">
        <v>901</v>
      </c>
      <c r="J1641" s="149">
        <v>500000</v>
      </c>
      <c r="K1641" s="627"/>
      <c r="L1641" s="394"/>
      <c r="M1641" s="394" t="s">
        <v>5133</v>
      </c>
      <c r="N1641" s="149">
        <v>500000</v>
      </c>
      <c r="O1641" s="252" t="s">
        <v>774</v>
      </c>
    </row>
    <row r="1642" spans="1:15" ht="36" customHeight="1" x14ac:dyDescent="0.35">
      <c r="A1642" s="272" t="s">
        <v>4121</v>
      </c>
      <c r="B1642" s="463" t="s">
        <v>96</v>
      </c>
      <c r="C1642" s="165">
        <v>426</v>
      </c>
      <c r="D1642" s="141" t="s">
        <v>4</v>
      </c>
      <c r="E1642" s="237" t="s">
        <v>20</v>
      </c>
      <c r="F1642" s="526">
        <v>32010501</v>
      </c>
      <c r="G1642" s="142"/>
      <c r="H1642" s="141">
        <v>70133</v>
      </c>
      <c r="I1642" s="142" t="s">
        <v>901</v>
      </c>
      <c r="J1642" s="149">
        <v>3500000</v>
      </c>
      <c r="K1642" s="627">
        <v>1500000</v>
      </c>
      <c r="L1642" s="394"/>
      <c r="M1642" s="394" t="s">
        <v>5133</v>
      </c>
      <c r="N1642" s="149">
        <v>4000000</v>
      </c>
      <c r="O1642" s="252" t="s">
        <v>96</v>
      </c>
    </row>
    <row r="1643" spans="1:15" ht="36" customHeight="1" x14ac:dyDescent="0.35">
      <c r="A1643" s="272" t="s">
        <v>4122</v>
      </c>
      <c r="B1643" s="463" t="s">
        <v>935</v>
      </c>
      <c r="C1643" s="165">
        <v>426</v>
      </c>
      <c r="D1643" s="141" t="s">
        <v>4</v>
      </c>
      <c r="E1643" s="237" t="s">
        <v>20</v>
      </c>
      <c r="F1643" s="526">
        <v>22020301</v>
      </c>
      <c r="G1643" s="142"/>
      <c r="H1643" s="141">
        <v>70133</v>
      </c>
      <c r="I1643" s="142" t="s">
        <v>901</v>
      </c>
      <c r="J1643" s="149">
        <v>806439</v>
      </c>
      <c r="K1643" s="627"/>
      <c r="L1643" s="394"/>
      <c r="M1643" s="394" t="s">
        <v>5133</v>
      </c>
      <c r="N1643" s="149">
        <v>7000000</v>
      </c>
      <c r="O1643" s="252" t="s">
        <v>935</v>
      </c>
    </row>
    <row r="1644" spans="1:15" ht="36" customHeight="1" x14ac:dyDescent="0.35">
      <c r="A1644" s="272" t="s">
        <v>4123</v>
      </c>
      <c r="B1644" s="463" t="s">
        <v>2527</v>
      </c>
      <c r="C1644" s="165">
        <v>426</v>
      </c>
      <c r="D1644" s="141" t="s">
        <v>4</v>
      </c>
      <c r="E1644" s="237" t="s">
        <v>20</v>
      </c>
      <c r="F1644" s="526">
        <v>22020413</v>
      </c>
      <c r="G1644" s="142"/>
      <c r="H1644" s="141">
        <v>70133</v>
      </c>
      <c r="I1644" s="142" t="s">
        <v>901</v>
      </c>
      <c r="J1644" s="149">
        <v>500000</v>
      </c>
      <c r="K1644" s="627"/>
      <c r="L1644" s="394"/>
      <c r="M1644" s="394" t="s">
        <v>5133</v>
      </c>
      <c r="N1644" s="149">
        <v>2500000</v>
      </c>
      <c r="O1644" s="180" t="s">
        <v>2527</v>
      </c>
    </row>
    <row r="1645" spans="1:15" ht="36" customHeight="1" x14ac:dyDescent="0.35">
      <c r="A1645" s="272" t="s">
        <v>4124</v>
      </c>
      <c r="B1645" s="463" t="s">
        <v>60</v>
      </c>
      <c r="C1645" s="165">
        <v>426</v>
      </c>
      <c r="D1645" s="141" t="s">
        <v>4</v>
      </c>
      <c r="E1645" s="237" t="s">
        <v>20</v>
      </c>
      <c r="F1645" s="526">
        <v>22021000</v>
      </c>
      <c r="G1645" s="142"/>
      <c r="H1645" s="141">
        <v>70133</v>
      </c>
      <c r="I1645" s="142" t="s">
        <v>902</v>
      </c>
      <c r="J1645" s="149">
        <v>2500000</v>
      </c>
      <c r="K1645" s="627">
        <v>1500000</v>
      </c>
      <c r="L1645" s="394"/>
      <c r="M1645" s="394" t="s">
        <v>5133</v>
      </c>
      <c r="N1645" s="149">
        <v>2000000</v>
      </c>
      <c r="O1645" s="252" t="s">
        <v>60</v>
      </c>
    </row>
    <row r="1646" spans="1:15" ht="36" customHeight="1" x14ac:dyDescent="0.35">
      <c r="A1646" s="272" t="s">
        <v>4125</v>
      </c>
      <c r="B1646" s="463" t="s">
        <v>3398</v>
      </c>
      <c r="C1646" s="332" t="s">
        <v>5</v>
      </c>
      <c r="D1646" s="332" t="s">
        <v>4</v>
      </c>
      <c r="E1646" s="332" t="s">
        <v>20</v>
      </c>
      <c r="F1646" s="332">
        <v>22021017</v>
      </c>
      <c r="G1646" s="332"/>
      <c r="H1646" s="332">
        <v>70133</v>
      </c>
      <c r="I1646" s="332" t="s">
        <v>771</v>
      </c>
      <c r="J1646" s="149">
        <v>60000000</v>
      </c>
      <c r="K1646" s="627">
        <v>65000000</v>
      </c>
      <c r="L1646" s="627">
        <v>65000000</v>
      </c>
      <c r="M1646" s="394" t="s">
        <v>5123</v>
      </c>
      <c r="N1646" s="149">
        <v>0</v>
      </c>
      <c r="O1646" s="252"/>
    </row>
    <row r="1647" spans="1:15" ht="36" customHeight="1" x14ac:dyDescent="0.35">
      <c r="A1647" s="272" t="s">
        <v>4126</v>
      </c>
      <c r="B1647" s="463" t="s">
        <v>3399</v>
      </c>
      <c r="C1647" s="332" t="s">
        <v>5</v>
      </c>
      <c r="D1647" s="332" t="s">
        <v>4</v>
      </c>
      <c r="E1647" s="332" t="s">
        <v>20</v>
      </c>
      <c r="F1647" s="332">
        <v>22021017</v>
      </c>
      <c r="G1647" s="332"/>
      <c r="H1647" s="332">
        <v>70133</v>
      </c>
      <c r="I1647" s="332" t="s">
        <v>771</v>
      </c>
      <c r="J1647" s="149">
        <v>670600000</v>
      </c>
      <c r="K1647" s="627">
        <v>742000000</v>
      </c>
      <c r="L1647" s="627">
        <v>742000000</v>
      </c>
      <c r="M1647" s="394" t="s">
        <v>5123</v>
      </c>
      <c r="N1647" s="149">
        <v>0</v>
      </c>
      <c r="O1647" s="252"/>
    </row>
    <row r="1648" spans="1:15" ht="36" customHeight="1" x14ac:dyDescent="0.35">
      <c r="A1648" s="272" t="s">
        <v>4127</v>
      </c>
      <c r="B1648" s="463" t="s">
        <v>4596</v>
      </c>
      <c r="C1648" s="332" t="s">
        <v>5</v>
      </c>
      <c r="D1648" s="332" t="s">
        <v>4</v>
      </c>
      <c r="E1648" s="332" t="s">
        <v>20</v>
      </c>
      <c r="F1648" s="332">
        <v>22021017</v>
      </c>
      <c r="G1648" s="332"/>
      <c r="H1648" s="332">
        <v>70133</v>
      </c>
      <c r="I1648" s="332" t="s">
        <v>771</v>
      </c>
      <c r="J1648" s="149">
        <v>400000000</v>
      </c>
      <c r="K1648" s="627">
        <v>240000000</v>
      </c>
      <c r="L1648" s="627">
        <v>240000000</v>
      </c>
      <c r="M1648" s="394" t="s">
        <v>5123</v>
      </c>
      <c r="N1648" s="149"/>
      <c r="O1648" s="252"/>
    </row>
    <row r="1649" spans="1:16" ht="36" customHeight="1" x14ac:dyDescent="0.35">
      <c r="A1649" s="245"/>
      <c r="B1649" s="360" t="s">
        <v>1008</v>
      </c>
      <c r="C1649" s="175"/>
      <c r="D1649" s="171"/>
      <c r="E1649" s="273"/>
      <c r="F1649" s="257"/>
      <c r="G1649" s="176"/>
      <c r="H1649" s="171"/>
      <c r="I1649" s="176"/>
      <c r="J1649" s="177">
        <f>SUM(J1625:J1648)</f>
        <v>1340806439</v>
      </c>
      <c r="K1649" s="177">
        <f t="shared" ref="K1649:N1649" si="0">SUM(K1625:K1648)</f>
        <v>1200000000</v>
      </c>
      <c r="L1649" s="189"/>
      <c r="M1649" s="189"/>
      <c r="N1649" s="177">
        <f t="shared" si="0"/>
        <v>627160000</v>
      </c>
      <c r="O1649" s="178" t="s">
        <v>1008</v>
      </c>
    </row>
    <row r="1650" spans="1:16" s="247" customFormat="1" ht="22.5" customHeight="1" x14ac:dyDescent="0.35">
      <c r="A1650" s="286"/>
      <c r="B1650" s="492"/>
      <c r="C1650" s="155"/>
      <c r="D1650" s="154"/>
      <c r="E1650" s="330"/>
      <c r="F1650" s="283"/>
      <c r="G1650" s="156"/>
      <c r="H1650" s="154"/>
      <c r="I1650" s="156"/>
      <c r="J1650" s="527"/>
      <c r="K1650" s="628"/>
      <c r="L1650" s="706"/>
      <c r="M1650" s="706"/>
      <c r="N1650" s="157"/>
      <c r="O1650" s="158"/>
      <c r="P1650" s="246"/>
    </row>
    <row r="1651" spans="1:16" ht="33.75" hidden="1" customHeight="1" x14ac:dyDescent="0.35">
      <c r="A1651" s="286"/>
      <c r="B1651" s="492"/>
      <c r="C1651" s="155"/>
      <c r="D1651" s="154"/>
      <c r="E1651" s="330"/>
      <c r="F1651" s="283"/>
      <c r="G1651" s="156"/>
      <c r="H1651" s="154"/>
      <c r="I1651" s="156"/>
      <c r="K1651" s="458"/>
      <c r="L1651" s="704"/>
      <c r="M1651" s="704"/>
      <c r="N1651" s="157"/>
      <c r="O1651" s="158"/>
      <c r="P1651" s="431">
        <f>1100000000</f>
        <v>1100000000</v>
      </c>
    </row>
    <row r="1652" spans="1:16" ht="33" customHeight="1" x14ac:dyDescent="0.35">
      <c r="A1652" s="401" t="s">
        <v>1187</v>
      </c>
      <c r="B1652" s="716"/>
      <c r="C1652" s="402"/>
      <c r="D1652" s="403"/>
      <c r="E1652" s="404"/>
      <c r="F1652" s="403"/>
      <c r="G1652" s="404"/>
      <c r="H1652" s="403"/>
      <c r="I1652" s="404"/>
      <c r="J1652" s="405"/>
      <c r="K1652" s="458"/>
      <c r="L1652" s="704"/>
      <c r="M1652" s="704"/>
      <c r="N1652" s="405"/>
      <c r="O1652" s="600"/>
      <c r="P1652" s="177">
        <v>1340806439</v>
      </c>
    </row>
    <row r="1653" spans="1:16" ht="32.25" hidden="1" customHeight="1" x14ac:dyDescent="0.35">
      <c r="A1653" s="428" t="s">
        <v>1187</v>
      </c>
      <c r="B1653" s="583"/>
      <c r="C1653" s="429"/>
      <c r="D1653" s="430"/>
      <c r="E1653" s="494"/>
      <c r="F1653" s="430"/>
      <c r="G1653" s="494"/>
      <c r="H1653" s="430"/>
      <c r="I1653" s="494"/>
      <c r="J1653" s="495" t="e">
        <f>J1647-#REF!-J1646</f>
        <v>#REF!</v>
      </c>
      <c r="K1653" s="458"/>
      <c r="L1653" s="704"/>
      <c r="M1653" s="704"/>
      <c r="N1653" s="495"/>
      <c r="O1653" s="357"/>
    </row>
    <row r="1654" spans="1:16" ht="90.75" customHeight="1" x14ac:dyDescent="0.35">
      <c r="A1654" s="360" t="s">
        <v>1007</v>
      </c>
      <c r="B1654" s="360" t="s">
        <v>50</v>
      </c>
      <c r="C1654" s="175" t="s">
        <v>898</v>
      </c>
      <c r="D1654" s="257" t="s">
        <v>52</v>
      </c>
      <c r="E1654" s="273" t="s">
        <v>49</v>
      </c>
      <c r="F1654" s="257" t="s">
        <v>1</v>
      </c>
      <c r="G1654" s="176"/>
      <c r="H1654" s="171" t="s">
        <v>51</v>
      </c>
      <c r="I1654" s="176" t="s">
        <v>2</v>
      </c>
      <c r="J1654" s="177" t="s">
        <v>4862</v>
      </c>
      <c r="K1654" s="189" t="s">
        <v>5140</v>
      </c>
      <c r="L1654" s="623" t="s">
        <v>5132</v>
      </c>
      <c r="M1654" s="623" t="s">
        <v>5132</v>
      </c>
      <c r="N1654" s="177" t="s">
        <v>932</v>
      </c>
      <c r="O1654" s="178" t="s">
        <v>50</v>
      </c>
    </row>
    <row r="1655" spans="1:16" ht="27.75" customHeight="1" x14ac:dyDescent="0.35">
      <c r="A1655" s="432" t="s">
        <v>4128</v>
      </c>
      <c r="B1655" s="463" t="s">
        <v>55</v>
      </c>
      <c r="C1655" s="165" t="s">
        <v>5</v>
      </c>
      <c r="D1655" s="141" t="s">
        <v>4</v>
      </c>
      <c r="E1655" s="237" t="s">
        <v>30</v>
      </c>
      <c r="F1655" s="163" t="s">
        <v>56</v>
      </c>
      <c r="G1655" s="142"/>
      <c r="H1655" s="141">
        <v>70133</v>
      </c>
      <c r="I1655" s="142" t="s">
        <v>901</v>
      </c>
      <c r="J1655" s="144">
        <v>300000</v>
      </c>
      <c r="K1655" s="144">
        <v>2500000</v>
      </c>
      <c r="L1655" s="394"/>
      <c r="M1655" s="394" t="s">
        <v>5133</v>
      </c>
      <c r="N1655" s="149">
        <v>300000</v>
      </c>
      <c r="O1655" s="180" t="s">
        <v>55</v>
      </c>
    </row>
    <row r="1656" spans="1:16" ht="27.75" customHeight="1" x14ac:dyDescent="0.35">
      <c r="A1656" s="432" t="s">
        <v>4129</v>
      </c>
      <c r="B1656" s="463" t="s">
        <v>180</v>
      </c>
      <c r="C1656" s="165" t="s">
        <v>5</v>
      </c>
      <c r="D1656" s="141" t="s">
        <v>4</v>
      </c>
      <c r="E1656" s="237" t="s">
        <v>30</v>
      </c>
      <c r="F1656" s="163" t="s">
        <v>982</v>
      </c>
      <c r="G1656" s="142"/>
      <c r="H1656" s="141">
        <v>70133</v>
      </c>
      <c r="I1656" s="142" t="s">
        <v>902</v>
      </c>
      <c r="J1656" s="144">
        <v>7416610</v>
      </c>
      <c r="K1656" s="144">
        <v>2500000</v>
      </c>
      <c r="L1656" s="394"/>
      <c r="M1656" s="394" t="s">
        <v>5133</v>
      </c>
      <c r="N1656" s="149">
        <v>7416610</v>
      </c>
      <c r="O1656" s="180" t="s">
        <v>180</v>
      </c>
    </row>
    <row r="1657" spans="1:16" ht="27.75" customHeight="1" x14ac:dyDescent="0.35">
      <c r="A1657" s="432" t="s">
        <v>4130</v>
      </c>
      <c r="B1657" s="463" t="s">
        <v>775</v>
      </c>
      <c r="C1657" s="165" t="s">
        <v>5</v>
      </c>
      <c r="D1657" s="141" t="s">
        <v>4</v>
      </c>
      <c r="E1657" s="237" t="s">
        <v>30</v>
      </c>
      <c r="F1657" s="163" t="s">
        <v>983</v>
      </c>
      <c r="G1657" s="142"/>
      <c r="H1657" s="141">
        <v>70133</v>
      </c>
      <c r="I1657" s="142" t="s">
        <v>902</v>
      </c>
      <c r="J1657" s="144">
        <v>1000000</v>
      </c>
      <c r="K1657" s="144">
        <v>1000000</v>
      </c>
      <c r="L1657" s="394"/>
      <c r="M1657" s="394" t="s">
        <v>5133</v>
      </c>
      <c r="N1657" s="149">
        <v>10000000</v>
      </c>
      <c r="O1657" s="180" t="s">
        <v>775</v>
      </c>
    </row>
    <row r="1658" spans="1:16" ht="27.75" customHeight="1" x14ac:dyDescent="0.35">
      <c r="A1658" s="432" t="s">
        <v>4131</v>
      </c>
      <c r="B1658" s="348" t="s">
        <v>933</v>
      </c>
      <c r="C1658" s="165" t="s">
        <v>5</v>
      </c>
      <c r="D1658" s="141" t="s">
        <v>4</v>
      </c>
      <c r="E1658" s="237" t="s">
        <v>30</v>
      </c>
      <c r="F1658" s="163" t="s">
        <v>983</v>
      </c>
      <c r="G1658" s="142"/>
      <c r="H1658" s="141">
        <v>70133</v>
      </c>
      <c r="I1658" s="142" t="s">
        <v>902</v>
      </c>
      <c r="J1658" s="144">
        <v>5000000</v>
      </c>
      <c r="K1658" s="144">
        <v>5000000</v>
      </c>
      <c r="L1658" s="394"/>
      <c r="M1658" s="394" t="s">
        <v>5133</v>
      </c>
      <c r="N1658" s="149">
        <v>5000000</v>
      </c>
      <c r="O1658" s="347" t="s">
        <v>933</v>
      </c>
    </row>
    <row r="1659" spans="1:16" ht="27.75" customHeight="1" x14ac:dyDescent="0.35">
      <c r="A1659" s="432" t="s">
        <v>4132</v>
      </c>
      <c r="B1659" s="463" t="s">
        <v>776</v>
      </c>
      <c r="C1659" s="165" t="s">
        <v>5</v>
      </c>
      <c r="D1659" s="141" t="s">
        <v>4</v>
      </c>
      <c r="E1659" s="237" t="s">
        <v>30</v>
      </c>
      <c r="F1659" s="163" t="s">
        <v>983</v>
      </c>
      <c r="G1659" s="142"/>
      <c r="H1659" s="141">
        <v>70133</v>
      </c>
      <c r="I1659" s="142" t="s">
        <v>902</v>
      </c>
      <c r="J1659" s="144">
        <v>1000000</v>
      </c>
      <c r="K1659" s="144">
        <v>500000</v>
      </c>
      <c r="L1659" s="394"/>
      <c r="M1659" s="394" t="s">
        <v>5133</v>
      </c>
      <c r="N1659" s="149">
        <v>10000000</v>
      </c>
      <c r="O1659" s="180" t="s">
        <v>776</v>
      </c>
    </row>
    <row r="1660" spans="1:16" ht="27.75" customHeight="1" x14ac:dyDescent="0.35">
      <c r="A1660" s="432" t="s">
        <v>4133</v>
      </c>
      <c r="B1660" s="463" t="s">
        <v>57</v>
      </c>
      <c r="C1660" s="165" t="s">
        <v>5</v>
      </c>
      <c r="D1660" s="141" t="s">
        <v>4</v>
      </c>
      <c r="E1660" s="237" t="s">
        <v>30</v>
      </c>
      <c r="F1660" s="163" t="s">
        <v>108</v>
      </c>
      <c r="G1660" s="142"/>
      <c r="H1660" s="141">
        <v>70133</v>
      </c>
      <c r="I1660" s="142" t="s">
        <v>907</v>
      </c>
      <c r="J1660" s="144">
        <v>500000</v>
      </c>
      <c r="K1660" s="144">
        <v>1000000</v>
      </c>
      <c r="L1660" s="394"/>
      <c r="M1660" s="394" t="s">
        <v>5133</v>
      </c>
      <c r="N1660" s="149">
        <v>500000</v>
      </c>
      <c r="O1660" s="180" t="s">
        <v>57</v>
      </c>
    </row>
    <row r="1661" spans="1:16" ht="27.75" customHeight="1" x14ac:dyDescent="0.35">
      <c r="A1661" s="432" t="s">
        <v>4134</v>
      </c>
      <c r="B1661" s="463" t="s">
        <v>215</v>
      </c>
      <c r="C1661" s="165" t="s">
        <v>5</v>
      </c>
      <c r="D1661" s="141" t="s">
        <v>4</v>
      </c>
      <c r="E1661" s="237" t="s">
        <v>30</v>
      </c>
      <c r="F1661" s="163" t="s">
        <v>54</v>
      </c>
      <c r="G1661" s="142"/>
      <c r="H1661" s="141">
        <v>70133</v>
      </c>
      <c r="I1661" s="142" t="s">
        <v>900</v>
      </c>
      <c r="J1661" s="144">
        <v>5000000</v>
      </c>
      <c r="K1661" s="144">
        <v>1500000</v>
      </c>
      <c r="L1661" s="394"/>
      <c r="M1661" s="394" t="s">
        <v>5133</v>
      </c>
      <c r="N1661" s="149">
        <v>10000000</v>
      </c>
      <c r="O1661" s="180" t="s">
        <v>215</v>
      </c>
    </row>
    <row r="1662" spans="1:16" ht="27.75" customHeight="1" x14ac:dyDescent="0.35">
      <c r="A1662" s="432" t="s">
        <v>4135</v>
      </c>
      <c r="B1662" s="463" t="s">
        <v>119</v>
      </c>
      <c r="C1662" s="165" t="s">
        <v>5</v>
      </c>
      <c r="D1662" s="141" t="s">
        <v>4</v>
      </c>
      <c r="E1662" s="237" t="s">
        <v>31</v>
      </c>
      <c r="F1662" s="163" t="s">
        <v>62</v>
      </c>
      <c r="G1662" s="142"/>
      <c r="H1662" s="141">
        <v>70133</v>
      </c>
      <c r="I1662" s="142" t="s">
        <v>904</v>
      </c>
      <c r="J1662" s="144">
        <v>5000000</v>
      </c>
      <c r="K1662" s="144">
        <v>6000000</v>
      </c>
      <c r="L1662" s="394"/>
      <c r="M1662" s="394" t="s">
        <v>5133</v>
      </c>
      <c r="N1662" s="149">
        <v>5000000</v>
      </c>
      <c r="O1662" s="180" t="s">
        <v>119</v>
      </c>
    </row>
    <row r="1663" spans="1:16" ht="24" customHeight="1" x14ac:dyDescent="0.35">
      <c r="A1663" s="245"/>
      <c r="B1663" s="360" t="s">
        <v>1008</v>
      </c>
      <c r="C1663" s="188"/>
      <c r="D1663" s="257"/>
      <c r="E1663" s="273"/>
      <c r="F1663" s="257"/>
      <c r="G1663" s="273"/>
      <c r="H1663" s="257"/>
      <c r="I1663" s="273"/>
      <c r="J1663" s="259">
        <f>SUM(J1655:J1662)</f>
        <v>25216610</v>
      </c>
      <c r="K1663" s="259">
        <f>SUM(K1655:K1662)</f>
        <v>20000000</v>
      </c>
      <c r="L1663" s="707"/>
      <c r="M1663" s="707"/>
      <c r="N1663" s="259">
        <f>SUM(N1655:N1662)</f>
        <v>48216610</v>
      </c>
      <c r="O1663" s="245" t="s">
        <v>1008</v>
      </c>
    </row>
    <row r="1664" spans="1:16" s="247" customFormat="1" ht="27.75" customHeight="1" x14ac:dyDescent="0.35">
      <c r="A1664" s="286"/>
      <c r="B1664" s="492"/>
      <c r="C1664" s="282"/>
      <c r="D1664" s="283"/>
      <c r="E1664" s="330"/>
      <c r="F1664" s="283"/>
      <c r="G1664" s="330"/>
      <c r="H1664" s="283"/>
      <c r="I1664" s="330"/>
      <c r="J1664" s="285"/>
      <c r="K1664" s="628"/>
      <c r="L1664" s="706"/>
      <c r="M1664" s="706"/>
      <c r="N1664" s="285"/>
      <c r="O1664" s="286"/>
      <c r="P1664" s="246"/>
    </row>
    <row r="1665" spans="1:26" ht="36" hidden="1" customHeight="1" x14ac:dyDescent="0.35">
      <c r="A1665" s="401" t="s">
        <v>1322</v>
      </c>
      <c r="B1665" s="716"/>
      <c r="C1665" s="402"/>
      <c r="D1665" s="403"/>
      <c r="E1665" s="404"/>
      <c r="F1665" s="403"/>
      <c r="G1665" s="404"/>
      <c r="H1665" s="403"/>
      <c r="I1665" s="404"/>
      <c r="J1665" s="405"/>
      <c r="K1665" s="458"/>
      <c r="L1665" s="704"/>
      <c r="M1665" s="704"/>
      <c r="N1665" s="405"/>
      <c r="O1665" s="600"/>
    </row>
    <row r="1666" spans="1:26" ht="31.5" customHeight="1" x14ac:dyDescent="0.35">
      <c r="A1666" s="401" t="s">
        <v>1322</v>
      </c>
      <c r="B1666" s="716"/>
      <c r="C1666" s="402"/>
      <c r="D1666" s="403"/>
      <c r="E1666" s="404"/>
      <c r="F1666" s="403"/>
      <c r="G1666" s="404"/>
      <c r="H1666" s="403"/>
      <c r="I1666" s="404"/>
      <c r="J1666" s="405"/>
      <c r="K1666" s="458"/>
      <c r="L1666" s="704"/>
      <c r="M1666" s="704"/>
      <c r="N1666" s="405"/>
      <c r="O1666" s="600"/>
    </row>
    <row r="1667" spans="1:26" ht="84" customHeight="1" x14ac:dyDescent="0.35">
      <c r="A1667" s="187" t="s">
        <v>1007</v>
      </c>
      <c r="B1667" s="360" t="s">
        <v>50</v>
      </c>
      <c r="C1667" s="175" t="s">
        <v>898</v>
      </c>
      <c r="D1667" s="257" t="s">
        <v>52</v>
      </c>
      <c r="E1667" s="273" t="s">
        <v>49</v>
      </c>
      <c r="F1667" s="257" t="s">
        <v>1</v>
      </c>
      <c r="G1667" s="176"/>
      <c r="H1667" s="171" t="s">
        <v>51</v>
      </c>
      <c r="I1667" s="176" t="s">
        <v>2</v>
      </c>
      <c r="J1667" s="177" t="s">
        <v>4862</v>
      </c>
      <c r="K1667" s="189" t="s">
        <v>5140</v>
      </c>
      <c r="L1667" s="623" t="s">
        <v>5132</v>
      </c>
      <c r="M1667" s="623" t="s">
        <v>5132</v>
      </c>
      <c r="N1667" s="177" t="s">
        <v>932</v>
      </c>
      <c r="O1667" s="178" t="s">
        <v>50</v>
      </c>
    </row>
    <row r="1668" spans="1:26" s="235" customFormat="1" ht="48.75" customHeight="1" x14ac:dyDescent="0.35">
      <c r="A1668" s="479" t="s">
        <v>1323</v>
      </c>
      <c r="B1668" s="348" t="s">
        <v>1332</v>
      </c>
      <c r="C1668" s="165" t="s">
        <v>5</v>
      </c>
      <c r="D1668" s="141" t="s">
        <v>4</v>
      </c>
      <c r="E1668" s="237" t="s">
        <v>31</v>
      </c>
      <c r="F1668" s="163" t="s">
        <v>62</v>
      </c>
      <c r="G1668" s="142"/>
      <c r="H1668" s="141">
        <v>70133</v>
      </c>
      <c r="I1668" s="142" t="s">
        <v>904</v>
      </c>
      <c r="J1668" s="144">
        <v>4000000</v>
      </c>
      <c r="K1668" s="394">
        <v>13000000</v>
      </c>
      <c r="L1668" s="394"/>
      <c r="M1668" s="394" t="s">
        <v>5133</v>
      </c>
      <c r="N1668" s="149">
        <v>4000000</v>
      </c>
      <c r="O1668" s="433" t="s">
        <v>1332</v>
      </c>
      <c r="P1668" s="234"/>
    </row>
    <row r="1669" spans="1:26" ht="33" customHeight="1" x14ac:dyDescent="0.35">
      <c r="A1669" s="479" t="s">
        <v>1324</v>
      </c>
      <c r="B1669" s="348" t="s">
        <v>1333</v>
      </c>
      <c r="C1669" s="165" t="s">
        <v>5</v>
      </c>
      <c r="D1669" s="141" t="s">
        <v>4</v>
      </c>
      <c r="E1669" s="237" t="s">
        <v>31</v>
      </c>
      <c r="F1669" s="163" t="s">
        <v>62</v>
      </c>
      <c r="G1669" s="142"/>
      <c r="H1669" s="141">
        <v>70133</v>
      </c>
      <c r="I1669" s="142" t="s">
        <v>904</v>
      </c>
      <c r="J1669" s="144">
        <v>5000000</v>
      </c>
      <c r="K1669" s="627">
        <v>16500000</v>
      </c>
      <c r="L1669" s="394"/>
      <c r="M1669" s="394" t="s">
        <v>5133</v>
      </c>
      <c r="N1669" s="149">
        <v>5000000</v>
      </c>
      <c r="O1669" s="433" t="s">
        <v>1333</v>
      </c>
    </row>
    <row r="1670" spans="1:26" ht="39.75" customHeight="1" x14ac:dyDescent="0.35">
      <c r="A1670" s="479" t="s">
        <v>1325</v>
      </c>
      <c r="B1670" s="348" t="s">
        <v>934</v>
      </c>
      <c r="C1670" s="165" t="s">
        <v>5</v>
      </c>
      <c r="D1670" s="141" t="s">
        <v>4</v>
      </c>
      <c r="E1670" s="237" t="s">
        <v>31</v>
      </c>
      <c r="F1670" s="163" t="s">
        <v>983</v>
      </c>
      <c r="G1670" s="142"/>
      <c r="H1670" s="141">
        <v>70133</v>
      </c>
      <c r="I1670" s="142" t="s">
        <v>902</v>
      </c>
      <c r="J1670" s="144">
        <f>5079500+50000000</f>
        <v>55079500</v>
      </c>
      <c r="K1670" s="627">
        <v>2000000</v>
      </c>
      <c r="L1670" s="394"/>
      <c r="M1670" s="394" t="s">
        <v>5133</v>
      </c>
      <c r="N1670" s="149">
        <v>10000000</v>
      </c>
      <c r="O1670" s="433" t="s">
        <v>934</v>
      </c>
    </row>
    <row r="1671" spans="1:26" ht="39.75" customHeight="1" x14ac:dyDescent="0.35">
      <c r="A1671" s="479" t="s">
        <v>1326</v>
      </c>
      <c r="B1671" s="348" t="s">
        <v>55</v>
      </c>
      <c r="C1671" s="165" t="s">
        <v>5</v>
      </c>
      <c r="D1671" s="141" t="s">
        <v>4</v>
      </c>
      <c r="E1671" s="237" t="s">
        <v>31</v>
      </c>
      <c r="F1671" s="163" t="s">
        <v>56</v>
      </c>
      <c r="G1671" s="142"/>
      <c r="H1671" s="141">
        <v>70133</v>
      </c>
      <c r="I1671" s="142" t="s">
        <v>901</v>
      </c>
      <c r="J1671" s="144">
        <v>1000000</v>
      </c>
      <c r="K1671" s="627"/>
      <c r="L1671" s="394"/>
      <c r="M1671" s="394" t="s">
        <v>5133</v>
      </c>
      <c r="N1671" s="149">
        <v>1000000</v>
      </c>
      <c r="O1671" s="433" t="s">
        <v>55</v>
      </c>
    </row>
    <row r="1672" spans="1:26" ht="27.75" customHeight="1" x14ac:dyDescent="0.35">
      <c r="A1672" s="479" t="s">
        <v>1327</v>
      </c>
      <c r="B1672" s="348" t="s">
        <v>122</v>
      </c>
      <c r="C1672" s="165" t="s">
        <v>5</v>
      </c>
      <c r="D1672" s="141" t="s">
        <v>4</v>
      </c>
      <c r="E1672" s="237" t="s">
        <v>31</v>
      </c>
      <c r="F1672" s="163" t="s">
        <v>108</v>
      </c>
      <c r="G1672" s="142"/>
      <c r="H1672" s="141">
        <v>70133</v>
      </c>
      <c r="I1672" s="142" t="s">
        <v>907</v>
      </c>
      <c r="J1672" s="144">
        <v>1500000</v>
      </c>
      <c r="K1672" s="627">
        <v>3000000</v>
      </c>
      <c r="L1672" s="394"/>
      <c r="M1672" s="394" t="s">
        <v>5133</v>
      </c>
      <c r="N1672" s="149">
        <v>1500000</v>
      </c>
      <c r="O1672" s="433" t="s">
        <v>122</v>
      </c>
    </row>
    <row r="1673" spans="1:26" ht="23.25" customHeight="1" x14ac:dyDescent="0.35">
      <c r="A1673" s="479" t="s">
        <v>1328</v>
      </c>
      <c r="B1673" s="348" t="s">
        <v>935</v>
      </c>
      <c r="C1673" s="165" t="s">
        <v>5</v>
      </c>
      <c r="D1673" s="141" t="s">
        <v>4</v>
      </c>
      <c r="E1673" s="237" t="s">
        <v>31</v>
      </c>
      <c r="F1673" s="163" t="s">
        <v>62</v>
      </c>
      <c r="G1673" s="142"/>
      <c r="H1673" s="141">
        <v>70133</v>
      </c>
      <c r="I1673" s="142" t="s">
        <v>904</v>
      </c>
      <c r="J1673" s="144">
        <v>1800000</v>
      </c>
      <c r="K1673" s="627">
        <v>5000000</v>
      </c>
      <c r="L1673" s="394"/>
      <c r="M1673" s="394" t="s">
        <v>5133</v>
      </c>
      <c r="N1673" s="149">
        <v>1000000</v>
      </c>
      <c r="O1673" s="433" t="s">
        <v>935</v>
      </c>
    </row>
    <row r="1674" spans="1:26" ht="24" customHeight="1" x14ac:dyDescent="0.35">
      <c r="A1674" s="479" t="s">
        <v>1329</v>
      </c>
      <c r="B1674" s="348" t="s">
        <v>936</v>
      </c>
      <c r="C1674" s="165" t="s">
        <v>5</v>
      </c>
      <c r="D1674" s="141" t="s">
        <v>4</v>
      </c>
      <c r="E1674" s="237" t="s">
        <v>31</v>
      </c>
      <c r="F1674" s="163" t="s">
        <v>105</v>
      </c>
      <c r="G1674" s="142"/>
      <c r="H1674" s="141">
        <v>70133</v>
      </c>
      <c r="I1674" s="142" t="s">
        <v>59</v>
      </c>
      <c r="J1674" s="144">
        <v>1000000</v>
      </c>
      <c r="K1674" s="627">
        <v>2500000</v>
      </c>
      <c r="L1674" s="394"/>
      <c r="M1674" s="394" t="s">
        <v>5133</v>
      </c>
      <c r="N1674" s="149">
        <v>1000000</v>
      </c>
      <c r="O1674" s="433" t="s">
        <v>936</v>
      </c>
    </row>
    <row r="1675" spans="1:26" ht="38.25" customHeight="1" x14ac:dyDescent="0.35">
      <c r="A1675" s="479" t="s">
        <v>1330</v>
      </c>
      <c r="B1675" s="348" t="s">
        <v>60</v>
      </c>
      <c r="C1675" s="165" t="s">
        <v>5</v>
      </c>
      <c r="D1675" s="141" t="s">
        <v>4</v>
      </c>
      <c r="E1675" s="237" t="s">
        <v>31</v>
      </c>
      <c r="F1675" s="163" t="s">
        <v>983</v>
      </c>
      <c r="G1675" s="142"/>
      <c r="H1675" s="141">
        <v>70133</v>
      </c>
      <c r="I1675" s="142" t="s">
        <v>902</v>
      </c>
      <c r="J1675" s="144">
        <v>7000000</v>
      </c>
      <c r="K1675" s="627">
        <v>4000000</v>
      </c>
      <c r="L1675" s="394"/>
      <c r="M1675" s="394" t="s">
        <v>5133</v>
      </c>
      <c r="N1675" s="149">
        <v>5000000</v>
      </c>
      <c r="O1675" s="433" t="s">
        <v>60</v>
      </c>
    </row>
    <row r="1676" spans="1:26" ht="25.5" customHeight="1" x14ac:dyDescent="0.35">
      <c r="A1676" s="479" t="s">
        <v>1331</v>
      </c>
      <c r="B1676" s="348" t="s">
        <v>937</v>
      </c>
      <c r="C1676" s="290" t="s">
        <v>196</v>
      </c>
      <c r="D1676" s="141" t="s">
        <v>4</v>
      </c>
      <c r="E1676" s="237" t="s">
        <v>31</v>
      </c>
      <c r="F1676" s="163" t="s">
        <v>131</v>
      </c>
      <c r="G1676" s="142"/>
      <c r="H1676" s="141">
        <v>70133</v>
      </c>
      <c r="I1676" s="142" t="s">
        <v>903</v>
      </c>
      <c r="J1676" s="144">
        <f>25469497+50000000</f>
        <v>75469497</v>
      </c>
      <c r="K1676" s="627">
        <v>37000000</v>
      </c>
      <c r="L1676" s="394"/>
      <c r="M1676" s="394" t="s">
        <v>5133</v>
      </c>
      <c r="N1676" s="149">
        <v>40000000</v>
      </c>
      <c r="O1676" s="433" t="s">
        <v>937</v>
      </c>
    </row>
    <row r="1677" spans="1:26" ht="22.5" customHeight="1" x14ac:dyDescent="0.35">
      <c r="A1677" s="245"/>
      <c r="B1677" s="360" t="s">
        <v>1008</v>
      </c>
      <c r="C1677" s="188"/>
      <c r="D1677" s="257"/>
      <c r="E1677" s="273"/>
      <c r="F1677" s="257"/>
      <c r="G1677" s="273"/>
      <c r="H1677" s="257"/>
      <c r="I1677" s="273"/>
      <c r="J1677" s="259">
        <f>SUM(J1668:J1676)</f>
        <v>151848997</v>
      </c>
      <c r="K1677" s="259">
        <f>SUM(K1668:K1676)</f>
        <v>83000000</v>
      </c>
      <c r="L1677" s="707"/>
      <c r="M1677" s="707"/>
      <c r="N1677" s="259">
        <v>70500000</v>
      </c>
      <c r="O1677" s="245" t="s">
        <v>1008</v>
      </c>
    </row>
    <row r="1678" spans="1:26" s="247" customFormat="1" ht="27" customHeight="1" x14ac:dyDescent="0.3">
      <c r="A1678" s="342"/>
      <c r="B1678" s="361"/>
      <c r="C1678" s="338"/>
      <c r="D1678" s="339"/>
      <c r="E1678" s="340"/>
      <c r="F1678" s="339"/>
      <c r="G1678" s="340"/>
      <c r="H1678" s="339"/>
      <c r="I1678" s="340"/>
      <c r="J1678" s="341"/>
      <c r="K1678" s="628"/>
      <c r="L1678" s="706"/>
      <c r="M1678" s="706"/>
      <c r="N1678" s="341"/>
      <c r="O1678" s="342"/>
      <c r="P1678" s="357" t="s">
        <v>777</v>
      </c>
      <c r="Q1678" s="357"/>
      <c r="R1678" s="357"/>
      <c r="S1678" s="357"/>
      <c r="T1678" s="357"/>
      <c r="U1678" s="357"/>
      <c r="V1678" s="357"/>
      <c r="W1678" s="357"/>
      <c r="X1678" s="357"/>
      <c r="Y1678" s="357"/>
      <c r="Z1678" s="605"/>
    </row>
    <row r="1679" spans="1:26" s="247" customFormat="1" ht="22.5" customHeight="1" x14ac:dyDescent="0.3">
      <c r="A1679" s="527"/>
      <c r="B1679" s="591"/>
      <c r="C1679" s="527"/>
      <c r="D1679" s="527"/>
      <c r="E1679" s="527"/>
      <c r="F1679" s="527"/>
      <c r="G1679" s="527"/>
      <c r="H1679" s="527"/>
      <c r="I1679" s="527"/>
      <c r="J1679" s="528"/>
      <c r="K1679" s="628"/>
      <c r="L1679" s="706"/>
      <c r="M1679" s="706"/>
      <c r="N1679" s="527"/>
      <c r="P1679" s="246"/>
    </row>
    <row r="1680" spans="1:26" ht="29.25" customHeight="1" x14ac:dyDescent="0.35">
      <c r="A1680" s="600" t="s">
        <v>1321</v>
      </c>
      <c r="B1680" s="600"/>
      <c r="C1680" s="600"/>
      <c r="D1680" s="600"/>
      <c r="E1680" s="600"/>
      <c r="F1680" s="600"/>
      <c r="G1680" s="600"/>
      <c r="H1680" s="600"/>
      <c r="I1680" s="600"/>
      <c r="J1680" s="600"/>
      <c r="K1680" s="458"/>
      <c r="L1680" s="704"/>
      <c r="M1680" s="704"/>
      <c r="N1680" s="600"/>
      <c r="O1680" s="601"/>
    </row>
    <row r="1681" spans="1:16" ht="77.25" customHeight="1" x14ac:dyDescent="0.35">
      <c r="A1681" s="360" t="s">
        <v>1007</v>
      </c>
      <c r="B1681" s="360" t="s">
        <v>50</v>
      </c>
      <c r="C1681" s="175" t="s">
        <v>898</v>
      </c>
      <c r="D1681" s="257" t="s">
        <v>52</v>
      </c>
      <c r="E1681" s="273" t="s">
        <v>49</v>
      </c>
      <c r="F1681" s="257" t="s">
        <v>1</v>
      </c>
      <c r="G1681" s="176"/>
      <c r="H1681" s="171" t="s">
        <v>51</v>
      </c>
      <c r="I1681" s="176" t="s">
        <v>2</v>
      </c>
      <c r="J1681" s="177" t="s">
        <v>4862</v>
      </c>
      <c r="K1681" s="189" t="s">
        <v>5140</v>
      </c>
      <c r="L1681" s="623" t="s">
        <v>5132</v>
      </c>
      <c r="M1681" s="623" t="s">
        <v>5132</v>
      </c>
      <c r="N1681" s="177" t="s">
        <v>932</v>
      </c>
      <c r="O1681" s="178" t="s">
        <v>50</v>
      </c>
    </row>
    <row r="1682" spans="1:16" ht="42.75" customHeight="1" x14ac:dyDescent="0.35">
      <c r="A1682" s="432" t="s">
        <v>4136</v>
      </c>
      <c r="B1682" s="348" t="s">
        <v>274</v>
      </c>
      <c r="C1682" s="529" t="s">
        <v>5</v>
      </c>
      <c r="D1682" s="141" t="s">
        <v>4</v>
      </c>
      <c r="E1682" s="163" t="s">
        <v>10</v>
      </c>
      <c r="F1682" s="163" t="s">
        <v>783</v>
      </c>
      <c r="G1682" s="169"/>
      <c r="H1682" s="141">
        <v>70540</v>
      </c>
      <c r="I1682" s="142" t="s">
        <v>784</v>
      </c>
      <c r="J1682" s="144">
        <v>3000000</v>
      </c>
      <c r="K1682" s="627">
        <v>10000000</v>
      </c>
      <c r="L1682" s="627">
        <v>10000000</v>
      </c>
      <c r="M1682" s="394" t="s">
        <v>5123</v>
      </c>
      <c r="N1682" s="166">
        <v>10000000</v>
      </c>
      <c r="O1682" s="473" t="s">
        <v>3129</v>
      </c>
    </row>
    <row r="1683" spans="1:16" ht="42.75" customHeight="1" x14ac:dyDescent="0.35">
      <c r="A1683" s="432" t="s">
        <v>4137</v>
      </c>
      <c r="B1683" s="180" t="s">
        <v>4680</v>
      </c>
      <c r="C1683" s="529" t="s">
        <v>5</v>
      </c>
      <c r="D1683" s="141" t="s">
        <v>4</v>
      </c>
      <c r="E1683" s="163" t="s">
        <v>3152</v>
      </c>
      <c r="F1683" s="163" t="s">
        <v>783</v>
      </c>
      <c r="G1683" s="169"/>
      <c r="H1683" s="141">
        <v>70540</v>
      </c>
      <c r="I1683" s="142" t="s">
        <v>784</v>
      </c>
      <c r="J1683" s="144">
        <v>200000000</v>
      </c>
      <c r="K1683" s="627">
        <v>100000000</v>
      </c>
      <c r="L1683" s="394"/>
      <c r="M1683" s="394" t="s">
        <v>5133</v>
      </c>
      <c r="N1683" s="166">
        <v>15000000</v>
      </c>
      <c r="O1683" s="473" t="s">
        <v>3130</v>
      </c>
    </row>
    <row r="1684" spans="1:16" ht="42.75" customHeight="1" x14ac:dyDescent="0.35">
      <c r="A1684" s="432" t="s">
        <v>4138</v>
      </c>
      <c r="B1684" s="180" t="s">
        <v>4681</v>
      </c>
      <c r="C1684" s="529" t="s">
        <v>5</v>
      </c>
      <c r="D1684" s="141" t="s">
        <v>4</v>
      </c>
      <c r="E1684" s="163" t="s">
        <v>10</v>
      </c>
      <c r="F1684" s="163" t="s">
        <v>783</v>
      </c>
      <c r="G1684" s="169"/>
      <c r="H1684" s="141">
        <v>70540</v>
      </c>
      <c r="I1684" s="142" t="s">
        <v>784</v>
      </c>
      <c r="J1684" s="144">
        <f>302000000+100000000</f>
        <v>402000000</v>
      </c>
      <c r="K1684" s="627">
        <v>180000000</v>
      </c>
      <c r="L1684" s="394"/>
      <c r="M1684" s="394" t="s">
        <v>5133</v>
      </c>
      <c r="N1684" s="166">
        <v>50000000</v>
      </c>
      <c r="O1684" s="474" t="s">
        <v>3131</v>
      </c>
      <c r="P1684" s="231">
        <f>J1684-449000000</f>
        <v>-47000000</v>
      </c>
    </row>
    <row r="1685" spans="1:16" ht="42.75" customHeight="1" x14ac:dyDescent="0.35">
      <c r="A1685" s="432" t="s">
        <v>4139</v>
      </c>
      <c r="B1685" s="180" t="s">
        <v>4682</v>
      </c>
      <c r="C1685" s="529" t="s">
        <v>5</v>
      </c>
      <c r="D1685" s="141" t="s">
        <v>4</v>
      </c>
      <c r="E1685" s="163" t="s">
        <v>10</v>
      </c>
      <c r="F1685" s="163" t="s">
        <v>783</v>
      </c>
      <c r="G1685" s="169"/>
      <c r="H1685" s="141">
        <v>70540</v>
      </c>
      <c r="I1685" s="142" t="s">
        <v>784</v>
      </c>
      <c r="J1685" s="144">
        <v>8000000</v>
      </c>
      <c r="K1685" s="627">
        <v>4000000</v>
      </c>
      <c r="L1685" s="394"/>
      <c r="M1685" s="394" t="s">
        <v>5133</v>
      </c>
      <c r="N1685" s="166">
        <v>10000000</v>
      </c>
      <c r="O1685" s="473" t="s">
        <v>3132</v>
      </c>
    </row>
    <row r="1686" spans="1:16" ht="57.75" customHeight="1" x14ac:dyDescent="0.35">
      <c r="A1686" s="432" t="s">
        <v>4140</v>
      </c>
      <c r="B1686" s="180" t="s">
        <v>4689</v>
      </c>
      <c r="C1686" s="529" t="s">
        <v>5</v>
      </c>
      <c r="D1686" s="141" t="s">
        <v>4</v>
      </c>
      <c r="E1686" s="163" t="s">
        <v>3152</v>
      </c>
      <c r="F1686" s="163" t="s">
        <v>783</v>
      </c>
      <c r="G1686" s="169"/>
      <c r="H1686" s="141">
        <v>70540</v>
      </c>
      <c r="I1686" s="142" t="s">
        <v>77</v>
      </c>
      <c r="J1686" s="144">
        <v>29000000</v>
      </c>
      <c r="K1686" s="627">
        <v>20000000</v>
      </c>
      <c r="L1686" s="627">
        <v>20000000</v>
      </c>
      <c r="M1686" s="394" t="s">
        <v>5123</v>
      </c>
      <c r="N1686" s="166">
        <v>20000000</v>
      </c>
      <c r="O1686" s="475" t="s">
        <v>3133</v>
      </c>
    </row>
    <row r="1687" spans="1:16" ht="58.5" customHeight="1" x14ac:dyDescent="0.35">
      <c r="A1687" s="432" t="s">
        <v>4141</v>
      </c>
      <c r="B1687" s="180" t="s">
        <v>4683</v>
      </c>
      <c r="C1687" s="529" t="s">
        <v>188</v>
      </c>
      <c r="D1687" s="141" t="s">
        <v>4</v>
      </c>
      <c r="E1687" s="163" t="s">
        <v>10</v>
      </c>
      <c r="F1687" s="163" t="s">
        <v>769</v>
      </c>
      <c r="G1687" s="169"/>
      <c r="H1687" s="141">
        <v>70560</v>
      </c>
      <c r="I1687" s="142" t="s">
        <v>643</v>
      </c>
      <c r="J1687" s="144">
        <v>27000000</v>
      </c>
      <c r="K1687" s="627">
        <v>12000000</v>
      </c>
      <c r="L1687" s="394"/>
      <c r="M1687" s="394" t="s">
        <v>5123</v>
      </c>
      <c r="N1687" s="166">
        <v>200000000</v>
      </c>
      <c r="O1687" s="475" t="s">
        <v>3155</v>
      </c>
    </row>
    <row r="1688" spans="1:16" ht="38.25" customHeight="1" x14ac:dyDescent="0.35">
      <c r="A1688" s="432" t="s">
        <v>4142</v>
      </c>
      <c r="B1688" s="180" t="s">
        <v>4668</v>
      </c>
      <c r="C1688" s="529" t="s">
        <v>471</v>
      </c>
      <c r="D1688" s="141" t="s">
        <v>4</v>
      </c>
      <c r="E1688" s="163" t="s">
        <v>10</v>
      </c>
      <c r="F1688" s="163" t="s">
        <v>769</v>
      </c>
      <c r="G1688" s="169"/>
      <c r="H1688" s="141">
        <v>70540</v>
      </c>
      <c r="I1688" s="142" t="s">
        <v>643</v>
      </c>
      <c r="J1688" s="144">
        <v>40000000</v>
      </c>
      <c r="K1688" s="627"/>
      <c r="L1688" s="394"/>
      <c r="M1688" s="394" t="s">
        <v>5133</v>
      </c>
      <c r="N1688" s="166">
        <v>100000000</v>
      </c>
      <c r="O1688" s="475" t="s">
        <v>3134</v>
      </c>
    </row>
    <row r="1689" spans="1:16" ht="42.75" customHeight="1" x14ac:dyDescent="0.35">
      <c r="A1689" s="432" t="s">
        <v>4143</v>
      </c>
      <c r="B1689" s="180" t="s">
        <v>4669</v>
      </c>
      <c r="C1689" s="529" t="s">
        <v>5</v>
      </c>
      <c r="D1689" s="141" t="s">
        <v>4</v>
      </c>
      <c r="E1689" s="163" t="s">
        <v>10</v>
      </c>
      <c r="F1689" s="163" t="s">
        <v>769</v>
      </c>
      <c r="G1689" s="169"/>
      <c r="H1689" s="141">
        <v>70560</v>
      </c>
      <c r="I1689" s="142" t="s">
        <v>643</v>
      </c>
      <c r="J1689" s="144">
        <v>10000000</v>
      </c>
      <c r="K1689" s="627">
        <v>10000000</v>
      </c>
      <c r="L1689" s="394"/>
      <c r="M1689" s="394" t="s">
        <v>5133</v>
      </c>
      <c r="N1689" s="166">
        <v>70000000</v>
      </c>
      <c r="O1689" s="475" t="s">
        <v>3135</v>
      </c>
      <c r="P1689" s="231">
        <f>200000000-147000000</f>
        <v>53000000</v>
      </c>
    </row>
    <row r="1690" spans="1:16" ht="56.25" customHeight="1" x14ac:dyDescent="0.35">
      <c r="A1690" s="432" t="s">
        <v>4144</v>
      </c>
      <c r="B1690" s="180" t="s">
        <v>4670</v>
      </c>
      <c r="C1690" s="529" t="s">
        <v>5</v>
      </c>
      <c r="D1690" s="141" t="s">
        <v>4</v>
      </c>
      <c r="E1690" s="163" t="s">
        <v>3153</v>
      </c>
      <c r="F1690" s="163" t="s">
        <v>778</v>
      </c>
      <c r="G1690" s="169"/>
      <c r="H1690" s="141">
        <v>70560</v>
      </c>
      <c r="I1690" s="142" t="s">
        <v>779</v>
      </c>
      <c r="J1690" s="144">
        <v>40000000</v>
      </c>
      <c r="K1690" s="627">
        <v>35000000</v>
      </c>
      <c r="L1690" s="394"/>
      <c r="M1690" s="394" t="s">
        <v>5133</v>
      </c>
      <c r="N1690" s="166">
        <v>100000000</v>
      </c>
      <c r="O1690" s="475" t="s">
        <v>3136</v>
      </c>
    </row>
    <row r="1691" spans="1:16" ht="58.5" customHeight="1" x14ac:dyDescent="0.35">
      <c r="A1691" s="432" t="s">
        <v>4145</v>
      </c>
      <c r="B1691" s="180" t="s">
        <v>4684</v>
      </c>
      <c r="C1691" s="529" t="s">
        <v>5</v>
      </c>
      <c r="D1691" s="141" t="s">
        <v>4</v>
      </c>
      <c r="E1691" s="163" t="s">
        <v>10</v>
      </c>
      <c r="F1691" s="163" t="s">
        <v>778</v>
      </c>
      <c r="G1691" s="169"/>
      <c r="H1691" s="141">
        <v>70560</v>
      </c>
      <c r="I1691" s="142" t="s">
        <v>779</v>
      </c>
      <c r="J1691" s="144">
        <v>10000000</v>
      </c>
      <c r="K1691" s="627">
        <v>10000000</v>
      </c>
      <c r="L1691" s="394"/>
      <c r="M1691" s="394" t="s">
        <v>5133</v>
      </c>
      <c r="N1691" s="166">
        <v>420000000</v>
      </c>
      <c r="O1691" s="475" t="s">
        <v>3137</v>
      </c>
    </row>
    <row r="1692" spans="1:16" ht="42.75" customHeight="1" x14ac:dyDescent="0.35">
      <c r="A1692" s="432" t="s">
        <v>4146</v>
      </c>
      <c r="B1692" s="180" t="s">
        <v>4685</v>
      </c>
      <c r="C1692" s="481" t="s">
        <v>390</v>
      </c>
      <c r="D1692" s="141" t="s">
        <v>4</v>
      </c>
      <c r="E1692" s="163" t="s">
        <v>10</v>
      </c>
      <c r="F1692" s="163" t="s">
        <v>778</v>
      </c>
      <c r="G1692" s="169"/>
      <c r="H1692" s="141">
        <v>70560</v>
      </c>
      <c r="I1692" s="142" t="s">
        <v>779</v>
      </c>
      <c r="J1692" s="144">
        <f>50000000+200000000</f>
        <v>250000000</v>
      </c>
      <c r="K1692" s="627">
        <v>90000000</v>
      </c>
      <c r="L1692" s="394"/>
      <c r="M1692" s="394" t="s">
        <v>5133</v>
      </c>
      <c r="N1692" s="166">
        <v>20000000</v>
      </c>
      <c r="O1692" s="475" t="s">
        <v>3138</v>
      </c>
    </row>
    <row r="1693" spans="1:16" ht="42.75" customHeight="1" x14ac:dyDescent="0.35">
      <c r="A1693" s="432" t="s">
        <v>4147</v>
      </c>
      <c r="B1693" s="180" t="s">
        <v>4671</v>
      </c>
      <c r="C1693" s="529" t="s">
        <v>5</v>
      </c>
      <c r="D1693" s="141" t="s">
        <v>4</v>
      </c>
      <c r="E1693" s="163" t="s">
        <v>10</v>
      </c>
      <c r="F1693" s="163" t="s">
        <v>938</v>
      </c>
      <c r="G1693" s="169"/>
      <c r="H1693" s="141">
        <v>70560</v>
      </c>
      <c r="I1693" s="169" t="s">
        <v>782</v>
      </c>
      <c r="J1693" s="144">
        <v>5000000</v>
      </c>
      <c r="K1693" s="627">
        <v>3000000</v>
      </c>
      <c r="L1693" s="394"/>
      <c r="M1693" s="394" t="s">
        <v>5133</v>
      </c>
      <c r="N1693" s="166">
        <v>30000000</v>
      </c>
      <c r="O1693" s="475" t="s">
        <v>3139</v>
      </c>
    </row>
    <row r="1694" spans="1:16" ht="42.75" customHeight="1" x14ac:dyDescent="0.35">
      <c r="A1694" s="432" t="s">
        <v>4148</v>
      </c>
      <c r="B1694" s="180" t="s">
        <v>4672</v>
      </c>
      <c r="C1694" s="529" t="s">
        <v>5</v>
      </c>
      <c r="D1694" s="141" t="s">
        <v>4</v>
      </c>
      <c r="E1694" s="163" t="s">
        <v>10</v>
      </c>
      <c r="F1694" s="163" t="s">
        <v>780</v>
      </c>
      <c r="G1694" s="169"/>
      <c r="H1694" s="141">
        <v>70540</v>
      </c>
      <c r="I1694" s="142" t="s">
        <v>781</v>
      </c>
      <c r="J1694" s="144">
        <v>5000000</v>
      </c>
      <c r="K1694" s="627"/>
      <c r="L1694" s="394"/>
      <c r="M1694" s="394" t="s">
        <v>5133</v>
      </c>
      <c r="N1694" s="166">
        <v>100000000</v>
      </c>
      <c r="O1694" s="475" t="s">
        <v>3140</v>
      </c>
    </row>
    <row r="1695" spans="1:16" ht="42.75" customHeight="1" x14ac:dyDescent="0.35">
      <c r="A1695" s="432" t="s">
        <v>4149</v>
      </c>
      <c r="B1695" s="180" t="s">
        <v>4673</v>
      </c>
      <c r="C1695" s="529" t="s">
        <v>5</v>
      </c>
      <c r="D1695" s="141" t="s">
        <v>4</v>
      </c>
      <c r="E1695" s="163" t="s">
        <v>10</v>
      </c>
      <c r="F1695" s="163" t="s">
        <v>275</v>
      </c>
      <c r="G1695" s="169"/>
      <c r="H1695" s="141">
        <v>70560</v>
      </c>
      <c r="I1695" s="142" t="s">
        <v>99</v>
      </c>
      <c r="J1695" s="144">
        <f>7700560+18000000</f>
        <v>25700560</v>
      </c>
      <c r="K1695" s="627">
        <v>7700560</v>
      </c>
      <c r="L1695" s="394"/>
      <c r="M1695" s="394" t="s">
        <v>5133</v>
      </c>
      <c r="N1695" s="166">
        <v>10000000</v>
      </c>
      <c r="O1695" s="476" t="s">
        <v>3141</v>
      </c>
    </row>
    <row r="1696" spans="1:16" ht="42.75" customHeight="1" x14ac:dyDescent="0.35">
      <c r="A1696" s="432" t="s">
        <v>4150</v>
      </c>
      <c r="B1696" s="180" t="s">
        <v>4686</v>
      </c>
      <c r="C1696" s="529" t="s">
        <v>5</v>
      </c>
      <c r="D1696" s="141" t="s">
        <v>4</v>
      </c>
      <c r="E1696" s="163" t="s">
        <v>10</v>
      </c>
      <c r="F1696" s="163" t="s">
        <v>275</v>
      </c>
      <c r="G1696" s="169"/>
      <c r="H1696" s="141">
        <v>70560</v>
      </c>
      <c r="I1696" s="142" t="s">
        <v>99</v>
      </c>
      <c r="J1696" s="144">
        <v>2000000</v>
      </c>
      <c r="K1696" s="627">
        <v>4000000</v>
      </c>
      <c r="L1696" s="394"/>
      <c r="M1696" s="394" t="s">
        <v>5133</v>
      </c>
      <c r="N1696" s="166">
        <v>30000000</v>
      </c>
      <c r="O1696" s="475" t="s">
        <v>3142</v>
      </c>
    </row>
    <row r="1697" spans="1:16" ht="42.75" customHeight="1" x14ac:dyDescent="0.35">
      <c r="A1697" s="432" t="s">
        <v>4151</v>
      </c>
      <c r="B1697" s="180" t="s">
        <v>4674</v>
      </c>
      <c r="C1697" s="529" t="s">
        <v>5</v>
      </c>
      <c r="D1697" s="141" t="s">
        <v>4</v>
      </c>
      <c r="E1697" s="163" t="s">
        <v>10</v>
      </c>
      <c r="F1697" s="163" t="s">
        <v>275</v>
      </c>
      <c r="G1697" s="169"/>
      <c r="H1697" s="141">
        <v>70560</v>
      </c>
      <c r="I1697" s="142" t="s">
        <v>99</v>
      </c>
      <c r="J1697" s="144">
        <v>2000000</v>
      </c>
      <c r="K1697" s="627">
        <v>2000000</v>
      </c>
      <c r="L1697" s="394"/>
      <c r="M1697" s="394" t="s">
        <v>5133</v>
      </c>
      <c r="N1697" s="166">
        <v>30000000</v>
      </c>
      <c r="O1697" s="477" t="s">
        <v>3143</v>
      </c>
    </row>
    <row r="1698" spans="1:16" ht="42.75" customHeight="1" x14ac:dyDescent="0.35">
      <c r="A1698" s="432" t="s">
        <v>4152</v>
      </c>
      <c r="B1698" s="180" t="s">
        <v>4688</v>
      </c>
      <c r="C1698" s="529" t="s">
        <v>5</v>
      </c>
      <c r="D1698" s="141"/>
      <c r="E1698" s="163" t="s">
        <v>10</v>
      </c>
      <c r="F1698" s="163" t="s">
        <v>62</v>
      </c>
      <c r="G1698" s="169"/>
      <c r="H1698" s="141">
        <v>70133</v>
      </c>
      <c r="I1698" s="142" t="s">
        <v>779</v>
      </c>
      <c r="J1698" s="144">
        <v>3000000</v>
      </c>
      <c r="K1698" s="627">
        <v>3000000</v>
      </c>
      <c r="L1698" s="394"/>
      <c r="M1698" s="394" t="s">
        <v>5133</v>
      </c>
      <c r="N1698" s="166"/>
      <c r="O1698" s="475" t="s">
        <v>3144</v>
      </c>
    </row>
    <row r="1699" spans="1:16" ht="54" customHeight="1" x14ac:dyDescent="0.35">
      <c r="A1699" s="432" t="s">
        <v>4153</v>
      </c>
      <c r="B1699" s="180" t="s">
        <v>4690</v>
      </c>
      <c r="C1699" s="529" t="s">
        <v>5</v>
      </c>
      <c r="D1699" s="141"/>
      <c r="E1699" s="163" t="s">
        <v>10</v>
      </c>
      <c r="F1699" s="163" t="s">
        <v>3154</v>
      </c>
      <c r="G1699" s="169"/>
      <c r="H1699" s="141">
        <v>70133</v>
      </c>
      <c r="I1699" s="142" t="s">
        <v>779</v>
      </c>
      <c r="J1699" s="144">
        <v>500000</v>
      </c>
      <c r="K1699" s="627"/>
      <c r="L1699" s="394"/>
      <c r="M1699" s="394" t="s">
        <v>5133</v>
      </c>
      <c r="N1699" s="166"/>
      <c r="O1699" s="475" t="s">
        <v>3145</v>
      </c>
    </row>
    <row r="1700" spans="1:16" ht="42.75" customHeight="1" x14ac:dyDescent="0.35">
      <c r="A1700" s="432" t="s">
        <v>4154</v>
      </c>
      <c r="B1700" s="180" t="s">
        <v>4675</v>
      </c>
      <c r="C1700" s="529" t="s">
        <v>5</v>
      </c>
      <c r="D1700" s="141"/>
      <c r="E1700" s="163" t="s">
        <v>10</v>
      </c>
      <c r="F1700" s="163" t="s">
        <v>989</v>
      </c>
      <c r="G1700" s="169"/>
      <c r="H1700" s="141">
        <v>70133</v>
      </c>
      <c r="I1700" s="169" t="s">
        <v>782</v>
      </c>
      <c r="J1700" s="144">
        <v>200000</v>
      </c>
      <c r="K1700" s="627"/>
      <c r="L1700" s="394"/>
      <c r="M1700" s="394" t="s">
        <v>5133</v>
      </c>
      <c r="N1700" s="166"/>
      <c r="O1700" s="474" t="s">
        <v>3146</v>
      </c>
    </row>
    <row r="1701" spans="1:16" ht="31.5" customHeight="1" x14ac:dyDescent="0.35">
      <c r="A1701" s="432" t="s">
        <v>4155</v>
      </c>
      <c r="B1701" s="180" t="s">
        <v>4687</v>
      </c>
      <c r="C1701" s="529" t="s">
        <v>5</v>
      </c>
      <c r="D1701" s="141"/>
      <c r="E1701" s="163" t="s">
        <v>10</v>
      </c>
      <c r="F1701" s="163" t="s">
        <v>56</v>
      </c>
      <c r="G1701" s="169"/>
      <c r="H1701" s="141">
        <v>70133</v>
      </c>
      <c r="I1701" s="142" t="s">
        <v>781</v>
      </c>
      <c r="J1701" s="144">
        <v>1000000</v>
      </c>
      <c r="K1701" s="627">
        <v>1000000</v>
      </c>
      <c r="L1701" s="394"/>
      <c r="M1701" s="394" t="s">
        <v>5133</v>
      </c>
      <c r="N1701" s="166"/>
      <c r="O1701" s="475" t="s">
        <v>3147</v>
      </c>
    </row>
    <row r="1702" spans="1:16" ht="32.25" customHeight="1" x14ac:dyDescent="0.35">
      <c r="A1702" s="432" t="s">
        <v>4156</v>
      </c>
      <c r="B1702" s="180" t="s">
        <v>4676</v>
      </c>
      <c r="C1702" s="529" t="s">
        <v>5</v>
      </c>
      <c r="D1702" s="141"/>
      <c r="E1702" s="163" t="s">
        <v>10</v>
      </c>
      <c r="F1702" s="163" t="s">
        <v>988</v>
      </c>
      <c r="G1702" s="169"/>
      <c r="H1702" s="141">
        <v>70133</v>
      </c>
      <c r="I1702" s="142" t="s">
        <v>99</v>
      </c>
      <c r="J1702" s="144">
        <v>1000000</v>
      </c>
      <c r="K1702" s="627">
        <v>1000000</v>
      </c>
      <c r="L1702" s="394"/>
      <c r="M1702" s="394" t="s">
        <v>5133</v>
      </c>
      <c r="N1702" s="166"/>
      <c r="O1702" s="244" t="s">
        <v>3148</v>
      </c>
    </row>
    <row r="1703" spans="1:16" ht="42.75" customHeight="1" x14ac:dyDescent="0.35">
      <c r="A1703" s="432" t="s">
        <v>4157</v>
      </c>
      <c r="B1703" s="180" t="s">
        <v>4677</v>
      </c>
      <c r="C1703" s="529" t="s">
        <v>5</v>
      </c>
      <c r="D1703" s="141"/>
      <c r="E1703" s="163" t="s">
        <v>10</v>
      </c>
      <c r="F1703" s="163" t="s">
        <v>983</v>
      </c>
      <c r="G1703" s="169"/>
      <c r="H1703" s="141">
        <v>70133</v>
      </c>
      <c r="I1703" s="142" t="s">
        <v>99</v>
      </c>
      <c r="J1703" s="144">
        <v>2000000</v>
      </c>
      <c r="K1703" s="627">
        <v>3000000</v>
      </c>
      <c r="L1703" s="394"/>
      <c r="M1703" s="394" t="s">
        <v>5133</v>
      </c>
      <c r="N1703" s="166"/>
      <c r="O1703" s="244" t="s">
        <v>3149</v>
      </c>
    </row>
    <row r="1704" spans="1:16" ht="42.75" customHeight="1" x14ac:dyDescent="0.35">
      <c r="A1704" s="432" t="s">
        <v>4158</v>
      </c>
      <c r="B1704" s="180" t="s">
        <v>4678</v>
      </c>
      <c r="C1704" s="529" t="s">
        <v>5</v>
      </c>
      <c r="D1704" s="141"/>
      <c r="E1704" s="163" t="s">
        <v>10</v>
      </c>
      <c r="F1704" s="163" t="s">
        <v>938</v>
      </c>
      <c r="G1704" s="169"/>
      <c r="H1704" s="141">
        <v>70133</v>
      </c>
      <c r="I1704" s="142" t="s">
        <v>99</v>
      </c>
      <c r="J1704" s="144">
        <v>50000000</v>
      </c>
      <c r="K1704" s="627">
        <v>0</v>
      </c>
      <c r="L1704" s="394"/>
      <c r="M1704" s="394" t="s">
        <v>5133</v>
      </c>
      <c r="N1704" s="166"/>
      <c r="O1704" s="475" t="s">
        <v>3150</v>
      </c>
    </row>
    <row r="1705" spans="1:16" ht="42.75" customHeight="1" x14ac:dyDescent="0.35">
      <c r="A1705" s="432" t="s">
        <v>4159</v>
      </c>
      <c r="B1705" s="180" t="s">
        <v>4679</v>
      </c>
      <c r="C1705" s="529" t="s">
        <v>5</v>
      </c>
      <c r="D1705" s="141"/>
      <c r="E1705" s="163" t="s">
        <v>10</v>
      </c>
      <c r="F1705" s="163" t="s">
        <v>275</v>
      </c>
      <c r="G1705" s="169"/>
      <c r="H1705" s="141">
        <v>70133</v>
      </c>
      <c r="I1705" s="142" t="s">
        <v>99</v>
      </c>
      <c r="J1705" s="144">
        <f>15000000+15000000</f>
        <v>30000000</v>
      </c>
      <c r="K1705" s="627">
        <v>10000000</v>
      </c>
      <c r="L1705" s="394"/>
      <c r="M1705" s="394" t="s">
        <v>5133</v>
      </c>
      <c r="N1705" s="166"/>
      <c r="O1705" s="475" t="s">
        <v>3151</v>
      </c>
    </row>
    <row r="1706" spans="1:16" ht="42.75" customHeight="1" x14ac:dyDescent="0.35">
      <c r="A1706" s="530"/>
      <c r="B1706" s="360" t="s">
        <v>1008</v>
      </c>
      <c r="C1706" s="188"/>
      <c r="D1706" s="257"/>
      <c r="E1706" s="273"/>
      <c r="F1706" s="257"/>
      <c r="G1706" s="273"/>
      <c r="H1706" s="257"/>
      <c r="I1706" s="273"/>
      <c r="J1706" s="259">
        <f>SUM(J1682:J1705)</f>
        <v>1146400560</v>
      </c>
      <c r="K1706" s="259">
        <f>SUM(K1682:K1705)</f>
        <v>505700560</v>
      </c>
      <c r="L1706" s="707"/>
      <c r="M1706" s="707"/>
      <c r="N1706" s="259">
        <f>SUM(N1682:N1697)</f>
        <v>1215000000</v>
      </c>
      <c r="O1706" s="245" t="s">
        <v>1008</v>
      </c>
    </row>
    <row r="1707" spans="1:16" s="247" customFormat="1" ht="31.5" customHeight="1" x14ac:dyDescent="0.35">
      <c r="A1707" s="286"/>
      <c r="B1707" s="499"/>
      <c r="C1707" s="282"/>
      <c r="D1707" s="154"/>
      <c r="E1707" s="330"/>
      <c r="F1707" s="283"/>
      <c r="G1707" s="284"/>
      <c r="H1707" s="154"/>
      <c r="I1707" s="350"/>
      <c r="J1707" s="341"/>
      <c r="K1707" s="341"/>
      <c r="L1707" s="709"/>
      <c r="M1707" s="709"/>
      <c r="N1707" s="388"/>
      <c r="O1707" s="434"/>
      <c r="P1707" s="246"/>
    </row>
    <row r="1708" spans="1:16" ht="20.25" customHeight="1" x14ac:dyDescent="0.35">
      <c r="A1708" s="600" t="s">
        <v>4678</v>
      </c>
      <c r="B1708" s="492"/>
      <c r="C1708" s="282"/>
      <c r="D1708" s="283"/>
      <c r="E1708" s="330"/>
      <c r="F1708" s="283"/>
      <c r="G1708" s="330"/>
      <c r="H1708" s="283"/>
      <c r="I1708" s="330"/>
      <c r="J1708" s="285"/>
      <c r="K1708" s="458"/>
      <c r="L1708" s="704"/>
      <c r="M1708" s="704"/>
      <c r="N1708" s="285"/>
      <c r="O1708" s="286"/>
    </row>
    <row r="1709" spans="1:16" ht="77.25" customHeight="1" x14ac:dyDescent="0.35">
      <c r="A1709" s="187" t="s">
        <v>1007</v>
      </c>
      <c r="B1709" s="360" t="s">
        <v>50</v>
      </c>
      <c r="C1709" s="175" t="s">
        <v>898</v>
      </c>
      <c r="D1709" s="175" t="s">
        <v>52</v>
      </c>
      <c r="E1709" s="187" t="s">
        <v>49</v>
      </c>
      <c r="F1709" s="175" t="s">
        <v>1</v>
      </c>
      <c r="G1709" s="187"/>
      <c r="H1709" s="175" t="s">
        <v>51</v>
      </c>
      <c r="I1709" s="187" t="s">
        <v>2</v>
      </c>
      <c r="J1709" s="189" t="s">
        <v>4862</v>
      </c>
      <c r="K1709" s="189" t="s">
        <v>5140</v>
      </c>
      <c r="L1709" s="623" t="s">
        <v>5132</v>
      </c>
      <c r="M1709" s="623" t="s">
        <v>5132</v>
      </c>
      <c r="N1709" s="189" t="s">
        <v>932</v>
      </c>
      <c r="O1709" s="187" t="s">
        <v>50</v>
      </c>
    </row>
    <row r="1710" spans="1:16" ht="20.25" customHeight="1" x14ac:dyDescent="0.35">
      <c r="A1710" s="432" t="s">
        <v>5111</v>
      </c>
      <c r="B1710" s="180" t="s">
        <v>5102</v>
      </c>
      <c r="C1710" s="180" t="s">
        <v>5</v>
      </c>
      <c r="D1710" s="180" t="s">
        <v>4</v>
      </c>
      <c r="E1710" s="180" t="s">
        <v>5107</v>
      </c>
      <c r="F1710" s="180" t="s">
        <v>62</v>
      </c>
      <c r="G1710" s="180"/>
      <c r="H1710" s="180">
        <v>70540</v>
      </c>
      <c r="I1710" s="180" t="s">
        <v>904</v>
      </c>
      <c r="J1710" s="393">
        <v>12000000</v>
      </c>
      <c r="K1710" s="627">
        <v>2000000</v>
      </c>
      <c r="L1710" s="394"/>
      <c r="M1710" s="394" t="s">
        <v>5133</v>
      </c>
      <c r="N1710" s="149"/>
      <c r="O1710" s="286"/>
    </row>
    <row r="1711" spans="1:16" ht="20.25" customHeight="1" x14ac:dyDescent="0.35">
      <c r="A1711" s="432" t="s">
        <v>5112</v>
      </c>
      <c r="B1711" s="180" t="s">
        <v>5103</v>
      </c>
      <c r="C1711" s="180" t="s">
        <v>5</v>
      </c>
      <c r="D1711" s="180" t="s">
        <v>4</v>
      </c>
      <c r="E1711" s="180" t="s">
        <v>5107</v>
      </c>
      <c r="F1711" s="180" t="s">
        <v>54</v>
      </c>
      <c r="G1711" s="180"/>
      <c r="H1711" s="180">
        <v>70540</v>
      </c>
      <c r="I1711" s="180" t="s">
        <v>900</v>
      </c>
      <c r="J1711" s="393">
        <v>10000000</v>
      </c>
      <c r="K1711" s="627">
        <v>2000000</v>
      </c>
      <c r="L1711" s="394"/>
      <c r="M1711" s="394" t="s">
        <v>5133</v>
      </c>
      <c r="N1711" s="149"/>
      <c r="O1711" s="286"/>
    </row>
    <row r="1712" spans="1:16" ht="20.25" customHeight="1" x14ac:dyDescent="0.35">
      <c r="A1712" s="432" t="s">
        <v>5113</v>
      </c>
      <c r="B1712" s="180" t="s">
        <v>5104</v>
      </c>
      <c r="C1712" s="180" t="s">
        <v>5</v>
      </c>
      <c r="D1712" s="180" t="s">
        <v>4</v>
      </c>
      <c r="E1712" s="180" t="s">
        <v>5107</v>
      </c>
      <c r="F1712" s="180" t="s">
        <v>342</v>
      </c>
      <c r="G1712" s="180"/>
      <c r="H1712" s="180">
        <v>70540</v>
      </c>
      <c r="I1712" s="180" t="s">
        <v>901</v>
      </c>
      <c r="J1712" s="393">
        <v>5000000</v>
      </c>
      <c r="K1712" s="627"/>
      <c r="L1712" s="394"/>
      <c r="M1712" s="394" t="s">
        <v>5133</v>
      </c>
      <c r="N1712" s="149"/>
      <c r="O1712" s="286"/>
    </row>
    <row r="1713" spans="1:16" ht="20.25" customHeight="1" x14ac:dyDescent="0.35">
      <c r="A1713" s="432" t="s">
        <v>5114</v>
      </c>
      <c r="B1713" s="180" t="s">
        <v>57</v>
      </c>
      <c r="C1713" s="180" t="s">
        <v>5</v>
      </c>
      <c r="D1713" s="180" t="s">
        <v>4</v>
      </c>
      <c r="E1713" s="180" t="s">
        <v>5107</v>
      </c>
      <c r="F1713" s="180" t="s">
        <v>988</v>
      </c>
      <c r="G1713" s="180"/>
      <c r="H1713" s="180">
        <v>70540</v>
      </c>
      <c r="I1713" s="180" t="s">
        <v>907</v>
      </c>
      <c r="J1713" s="393">
        <v>4000000</v>
      </c>
      <c r="K1713" s="627">
        <v>100000</v>
      </c>
      <c r="L1713" s="394"/>
      <c r="M1713" s="394" t="s">
        <v>5133</v>
      </c>
      <c r="N1713" s="149"/>
      <c r="O1713" s="286"/>
    </row>
    <row r="1714" spans="1:16" ht="20.25" customHeight="1" x14ac:dyDescent="0.35">
      <c r="A1714" s="432" t="s">
        <v>5115</v>
      </c>
      <c r="B1714" s="180" t="s">
        <v>5105</v>
      </c>
      <c r="C1714" s="180" t="s">
        <v>5</v>
      </c>
      <c r="D1714" s="180" t="s">
        <v>4</v>
      </c>
      <c r="E1714" s="180" t="s">
        <v>5107</v>
      </c>
      <c r="F1714" s="180" t="s">
        <v>275</v>
      </c>
      <c r="G1714" s="180"/>
      <c r="H1714" s="180">
        <v>70540</v>
      </c>
      <c r="I1714" s="180" t="s">
        <v>99</v>
      </c>
      <c r="J1714" s="393">
        <v>5000000</v>
      </c>
      <c r="K1714" s="627">
        <v>7000000</v>
      </c>
      <c r="L1714" s="394"/>
      <c r="M1714" s="394" t="s">
        <v>5133</v>
      </c>
      <c r="N1714" s="149"/>
      <c r="O1714" s="286"/>
    </row>
    <row r="1715" spans="1:16" ht="20.25" customHeight="1" x14ac:dyDescent="0.35">
      <c r="A1715" s="432" t="s">
        <v>5116</v>
      </c>
      <c r="B1715" s="180" t="s">
        <v>5106</v>
      </c>
      <c r="C1715" s="180" t="s">
        <v>5</v>
      </c>
      <c r="D1715" s="180" t="s">
        <v>4</v>
      </c>
      <c r="E1715" s="180" t="s">
        <v>5107</v>
      </c>
      <c r="F1715" s="180" t="s">
        <v>5108</v>
      </c>
      <c r="G1715" s="180"/>
      <c r="H1715" s="180">
        <v>70540</v>
      </c>
      <c r="I1715" s="180" t="s">
        <v>5110</v>
      </c>
      <c r="J1715" s="393">
        <v>3000000</v>
      </c>
      <c r="K1715" s="627"/>
      <c r="L1715" s="394"/>
      <c r="M1715" s="394" t="s">
        <v>5133</v>
      </c>
      <c r="N1715" s="149"/>
      <c r="O1715" s="286"/>
    </row>
    <row r="1716" spans="1:16" ht="20.25" customHeight="1" x14ac:dyDescent="0.35">
      <c r="A1716" s="432" t="s">
        <v>5117</v>
      </c>
      <c r="B1716" s="180" t="s">
        <v>60</v>
      </c>
      <c r="C1716" s="180" t="s">
        <v>5</v>
      </c>
      <c r="D1716" s="180" t="s">
        <v>4</v>
      </c>
      <c r="E1716" s="180" t="s">
        <v>5107</v>
      </c>
      <c r="F1716" s="180" t="s">
        <v>983</v>
      </c>
      <c r="G1716" s="180"/>
      <c r="H1716" s="180">
        <v>70540</v>
      </c>
      <c r="I1716" s="180" t="s">
        <v>902</v>
      </c>
      <c r="J1716" s="393">
        <v>10000000</v>
      </c>
      <c r="K1716" s="627">
        <v>5000000</v>
      </c>
      <c r="L1716" s="394"/>
      <c r="M1716" s="394" t="s">
        <v>5133</v>
      </c>
      <c r="N1716" s="149"/>
      <c r="O1716" s="286"/>
    </row>
    <row r="1717" spans="1:16" ht="20.25" customHeight="1" x14ac:dyDescent="0.35">
      <c r="A1717" s="432" t="s">
        <v>5118</v>
      </c>
      <c r="B1717" s="180" t="s">
        <v>278</v>
      </c>
      <c r="C1717" s="180" t="s">
        <v>5</v>
      </c>
      <c r="D1717" s="180" t="s">
        <v>4</v>
      </c>
      <c r="E1717" s="180" t="s">
        <v>5107</v>
      </c>
      <c r="F1717" s="180" t="s">
        <v>5109</v>
      </c>
      <c r="G1717" s="180"/>
      <c r="H1717" s="180">
        <v>70540</v>
      </c>
      <c r="I1717" s="180" t="s">
        <v>5110</v>
      </c>
      <c r="J1717" s="393">
        <v>1000000</v>
      </c>
      <c r="K1717" s="627">
        <v>100000</v>
      </c>
      <c r="L1717" s="394"/>
      <c r="M1717" s="394" t="s">
        <v>5133</v>
      </c>
      <c r="N1717" s="149"/>
      <c r="O1717" s="286"/>
    </row>
    <row r="1718" spans="1:16" s="247" customFormat="1" ht="20.25" customHeight="1" x14ac:dyDescent="0.3">
      <c r="A1718" s="244"/>
      <c r="B1718" s="178" t="s">
        <v>1008</v>
      </c>
      <c r="C1718" s="178"/>
      <c r="D1718" s="178"/>
      <c r="E1718" s="178"/>
      <c r="F1718" s="178"/>
      <c r="G1718" s="178"/>
      <c r="H1718" s="178"/>
      <c r="I1718" s="178"/>
      <c r="J1718" s="696">
        <f>SUM(J1710:J1717)</f>
        <v>50000000</v>
      </c>
      <c r="K1718" s="696">
        <f>SUM(K1710:K1717)</f>
        <v>16200000</v>
      </c>
      <c r="L1718" s="387"/>
      <c r="M1718" s="387"/>
      <c r="N1718" s="259"/>
      <c r="O1718" s="342"/>
      <c r="P1718" s="246"/>
    </row>
    <row r="1719" spans="1:16" x14ac:dyDescent="0.35">
      <c r="A1719" s="401"/>
      <c r="B1719" s="401"/>
      <c r="C1719" s="401"/>
      <c r="D1719" s="401"/>
      <c r="E1719" s="401"/>
      <c r="F1719" s="401"/>
      <c r="G1719" s="401"/>
      <c r="H1719" s="401"/>
      <c r="I1719" s="401"/>
      <c r="J1719" s="401"/>
      <c r="K1719" s="458"/>
      <c r="L1719" s="704"/>
      <c r="M1719" s="704"/>
      <c r="N1719" s="401"/>
      <c r="O1719" s="401"/>
    </row>
    <row r="1720" spans="1:16" ht="27" customHeight="1" x14ac:dyDescent="0.35">
      <c r="A1720" s="600" t="s">
        <v>1183</v>
      </c>
      <c r="B1720" s="600"/>
      <c r="C1720" s="600"/>
      <c r="D1720" s="600"/>
      <c r="E1720" s="600"/>
      <c r="F1720" s="600"/>
      <c r="G1720" s="600"/>
      <c r="H1720" s="600"/>
      <c r="I1720" s="600"/>
      <c r="J1720" s="600"/>
      <c r="K1720" s="458"/>
      <c r="L1720" s="704"/>
      <c r="M1720" s="704"/>
      <c r="N1720" s="600"/>
      <c r="O1720" s="600"/>
      <c r="P1720" s="231">
        <v>1821573090</v>
      </c>
    </row>
    <row r="1721" spans="1:16" ht="77.25" customHeight="1" x14ac:dyDescent="0.35">
      <c r="A1721" s="187" t="s">
        <v>1007</v>
      </c>
      <c r="B1721" s="360" t="s">
        <v>50</v>
      </c>
      <c r="C1721" s="175" t="s">
        <v>898</v>
      </c>
      <c r="D1721" s="175" t="s">
        <v>52</v>
      </c>
      <c r="E1721" s="187" t="s">
        <v>49</v>
      </c>
      <c r="F1721" s="175" t="s">
        <v>1</v>
      </c>
      <c r="G1721" s="187"/>
      <c r="H1721" s="175" t="s">
        <v>51</v>
      </c>
      <c r="I1721" s="187" t="s">
        <v>2</v>
      </c>
      <c r="J1721" s="189" t="s">
        <v>4862</v>
      </c>
      <c r="K1721" s="189" t="s">
        <v>5140</v>
      </c>
      <c r="L1721" s="623" t="s">
        <v>5132</v>
      </c>
      <c r="M1721" s="623" t="s">
        <v>5132</v>
      </c>
      <c r="N1721" s="189" t="s">
        <v>932</v>
      </c>
      <c r="O1721" s="187" t="s">
        <v>50</v>
      </c>
      <c r="P1721" s="231">
        <v>0.7</v>
      </c>
    </row>
    <row r="1722" spans="1:16" s="353" customFormat="1" ht="36" customHeight="1" x14ac:dyDescent="0.35">
      <c r="A1722" s="319" t="s">
        <v>3014</v>
      </c>
      <c r="B1722" s="463" t="s">
        <v>943</v>
      </c>
      <c r="C1722" s="435" t="s">
        <v>486</v>
      </c>
      <c r="D1722" s="141" t="s">
        <v>4</v>
      </c>
      <c r="E1722" s="332" t="s">
        <v>21</v>
      </c>
      <c r="F1722" s="184" t="s">
        <v>3011</v>
      </c>
      <c r="G1722" s="142"/>
      <c r="H1722" s="331">
        <v>70810</v>
      </c>
      <c r="I1722" s="142" t="s">
        <v>787</v>
      </c>
      <c r="J1722" s="394">
        <v>4000000</v>
      </c>
      <c r="K1722" s="277"/>
      <c r="L1722" s="394"/>
      <c r="M1722" s="394" t="s">
        <v>5133</v>
      </c>
      <c r="N1722" s="394">
        <v>10000000</v>
      </c>
      <c r="O1722" s="180" t="s">
        <v>943</v>
      </c>
      <c r="P1722" s="352">
        <f>P1720*P1721</f>
        <v>1275101163</v>
      </c>
    </row>
    <row r="1723" spans="1:16" ht="64.5" customHeight="1" x14ac:dyDescent="0.35">
      <c r="A1723" s="319" t="s">
        <v>3015</v>
      </c>
      <c r="B1723" s="463" t="s">
        <v>4712</v>
      </c>
      <c r="C1723" s="435" t="s">
        <v>5</v>
      </c>
      <c r="D1723" s="141" t="s">
        <v>4</v>
      </c>
      <c r="E1723" s="332" t="s">
        <v>21</v>
      </c>
      <c r="F1723" s="381" t="s">
        <v>1001</v>
      </c>
      <c r="G1723" s="142"/>
      <c r="H1723" s="331">
        <v>70810</v>
      </c>
      <c r="I1723" s="142" t="s">
        <v>787</v>
      </c>
      <c r="J1723" s="394">
        <v>45000000</v>
      </c>
      <c r="K1723" s="277">
        <v>25000000</v>
      </c>
      <c r="L1723" s="394"/>
      <c r="M1723" s="394" t="s">
        <v>5133</v>
      </c>
      <c r="N1723" s="394">
        <v>20000000</v>
      </c>
      <c r="O1723" s="180" t="s">
        <v>2987</v>
      </c>
      <c r="P1723" s="231">
        <f>P1720*30%</f>
        <v>546471927</v>
      </c>
    </row>
    <row r="1724" spans="1:16" ht="52.5" customHeight="1" x14ac:dyDescent="0.35">
      <c r="A1724" s="319" t="s">
        <v>3016</v>
      </c>
      <c r="B1724" s="463" t="s">
        <v>790</v>
      </c>
      <c r="C1724" s="435" t="s">
        <v>188</v>
      </c>
      <c r="D1724" s="141" t="s">
        <v>4</v>
      </c>
      <c r="E1724" s="332" t="s">
        <v>21</v>
      </c>
      <c r="F1724" s="381" t="s">
        <v>1001</v>
      </c>
      <c r="G1724" s="142"/>
      <c r="H1724" s="331">
        <v>70810</v>
      </c>
      <c r="I1724" s="142" t="s">
        <v>787</v>
      </c>
      <c r="J1724" s="394">
        <v>20000000</v>
      </c>
      <c r="K1724" s="277"/>
      <c r="L1724" s="394"/>
      <c r="M1724" s="394" t="s">
        <v>5133</v>
      </c>
      <c r="N1724" s="394">
        <v>50000000</v>
      </c>
      <c r="O1724" s="180" t="s">
        <v>790</v>
      </c>
    </row>
    <row r="1725" spans="1:16" ht="48.75" customHeight="1" x14ac:dyDescent="0.35">
      <c r="A1725" s="319" t="s">
        <v>3017</v>
      </c>
      <c r="B1725" s="463" t="s">
        <v>2988</v>
      </c>
      <c r="C1725" s="435" t="s">
        <v>309</v>
      </c>
      <c r="D1725" s="141" t="s">
        <v>4</v>
      </c>
      <c r="E1725" s="332" t="s">
        <v>21</v>
      </c>
      <c r="F1725" s="184" t="s">
        <v>3011</v>
      </c>
      <c r="G1725" s="142"/>
      <c r="H1725" s="331">
        <v>70810</v>
      </c>
      <c r="I1725" s="142" t="s">
        <v>787</v>
      </c>
      <c r="J1725" s="394">
        <v>10000000</v>
      </c>
      <c r="K1725" s="277">
        <v>5000000</v>
      </c>
      <c r="L1725" s="394"/>
      <c r="M1725" s="394" t="s">
        <v>5133</v>
      </c>
      <c r="N1725" s="394"/>
      <c r="O1725" s="180" t="s">
        <v>2988</v>
      </c>
    </row>
    <row r="1726" spans="1:16" ht="45.75" customHeight="1" x14ac:dyDescent="0.35">
      <c r="A1726" s="319" t="s">
        <v>3018</v>
      </c>
      <c r="B1726" s="463" t="s">
        <v>953</v>
      </c>
      <c r="C1726" s="435" t="s">
        <v>618</v>
      </c>
      <c r="D1726" s="141" t="s">
        <v>4</v>
      </c>
      <c r="E1726" s="332" t="s">
        <v>21</v>
      </c>
      <c r="F1726" s="381" t="s">
        <v>1001</v>
      </c>
      <c r="G1726" s="142"/>
      <c r="H1726" s="331">
        <v>70810</v>
      </c>
      <c r="I1726" s="142" t="s">
        <v>787</v>
      </c>
      <c r="J1726" s="394">
        <v>635000</v>
      </c>
      <c r="K1726" s="277">
        <v>635000</v>
      </c>
      <c r="L1726" s="394"/>
      <c r="M1726" s="394" t="s">
        <v>5133</v>
      </c>
      <c r="N1726" s="394">
        <v>15000000</v>
      </c>
      <c r="O1726" s="180" t="s">
        <v>953</v>
      </c>
    </row>
    <row r="1727" spans="1:16" ht="54.75" customHeight="1" x14ac:dyDescent="0.35">
      <c r="A1727" s="319" t="s">
        <v>3019</v>
      </c>
      <c r="B1727" s="463" t="s">
        <v>2989</v>
      </c>
      <c r="C1727" s="435" t="s">
        <v>617</v>
      </c>
      <c r="D1727" s="141" t="s">
        <v>4</v>
      </c>
      <c r="E1727" s="332" t="s">
        <v>21</v>
      </c>
      <c r="F1727" s="381" t="s">
        <v>1001</v>
      </c>
      <c r="G1727" s="142"/>
      <c r="H1727" s="331">
        <v>70810</v>
      </c>
      <c r="I1727" s="142" t="s">
        <v>787</v>
      </c>
      <c r="J1727" s="394">
        <v>1500000</v>
      </c>
      <c r="K1727" s="277"/>
      <c r="L1727" s="394"/>
      <c r="M1727" s="394" t="s">
        <v>5133</v>
      </c>
      <c r="N1727" s="394"/>
      <c r="O1727" s="180" t="s">
        <v>2989</v>
      </c>
    </row>
    <row r="1728" spans="1:16" ht="33.75" customHeight="1" x14ac:dyDescent="0.35">
      <c r="A1728" s="319" t="s">
        <v>3020</v>
      </c>
      <c r="B1728" s="463" t="s">
        <v>954</v>
      </c>
      <c r="C1728" s="435" t="s">
        <v>486</v>
      </c>
      <c r="D1728" s="141" t="s">
        <v>4</v>
      </c>
      <c r="E1728" s="332" t="s">
        <v>21</v>
      </c>
      <c r="F1728" s="381" t="s">
        <v>1001</v>
      </c>
      <c r="G1728" s="142"/>
      <c r="H1728" s="331">
        <v>70810</v>
      </c>
      <c r="I1728" s="142" t="s">
        <v>787</v>
      </c>
      <c r="J1728" s="394">
        <f>5000000+195000000</f>
        <v>200000000</v>
      </c>
      <c r="K1728" s="277"/>
      <c r="L1728" s="394"/>
      <c r="M1728" s="394" t="s">
        <v>5133</v>
      </c>
      <c r="N1728" s="394">
        <v>200000000</v>
      </c>
      <c r="O1728" s="180" t="s">
        <v>954</v>
      </c>
    </row>
    <row r="1729" spans="1:15" ht="33.75" customHeight="1" x14ac:dyDescent="0.35">
      <c r="A1729" s="319" t="s">
        <v>3021</v>
      </c>
      <c r="B1729" s="463" t="s">
        <v>939</v>
      </c>
      <c r="C1729" s="435" t="s">
        <v>5</v>
      </c>
      <c r="D1729" s="141" t="s">
        <v>4</v>
      </c>
      <c r="E1729" s="332" t="s">
        <v>21</v>
      </c>
      <c r="F1729" s="381" t="s">
        <v>1001</v>
      </c>
      <c r="G1729" s="142"/>
      <c r="H1729" s="331">
        <v>70810</v>
      </c>
      <c r="I1729" s="142" t="s">
        <v>787</v>
      </c>
      <c r="J1729" s="394">
        <v>2000000</v>
      </c>
      <c r="K1729" s="277">
        <v>1000000</v>
      </c>
      <c r="L1729" s="394"/>
      <c r="M1729" s="394" t="s">
        <v>5133</v>
      </c>
      <c r="N1729" s="394">
        <v>100000000</v>
      </c>
      <c r="O1729" s="180" t="s">
        <v>939</v>
      </c>
    </row>
    <row r="1730" spans="1:15" ht="33.75" customHeight="1" x14ac:dyDescent="0.35">
      <c r="A1730" s="319" t="s">
        <v>3022</v>
      </c>
      <c r="B1730" s="463" t="s">
        <v>785</v>
      </c>
      <c r="C1730" s="435" t="s">
        <v>5</v>
      </c>
      <c r="D1730" s="141" t="s">
        <v>4</v>
      </c>
      <c r="E1730" s="332" t="s">
        <v>21</v>
      </c>
      <c r="F1730" s="381" t="s">
        <v>1001</v>
      </c>
      <c r="G1730" s="142"/>
      <c r="H1730" s="331">
        <v>70810</v>
      </c>
      <c r="I1730" s="142" t="s">
        <v>787</v>
      </c>
      <c r="J1730" s="394">
        <v>100000000</v>
      </c>
      <c r="K1730" s="277"/>
      <c r="L1730" s="394"/>
      <c r="M1730" s="394" t="s">
        <v>5133</v>
      </c>
      <c r="N1730" s="394">
        <v>25000000</v>
      </c>
      <c r="O1730" s="180" t="s">
        <v>785</v>
      </c>
    </row>
    <row r="1731" spans="1:15" ht="33.75" customHeight="1" x14ac:dyDescent="0.35">
      <c r="A1731" s="319" t="s">
        <v>3023</v>
      </c>
      <c r="B1731" s="463" t="s">
        <v>940</v>
      </c>
      <c r="C1731" s="435" t="s">
        <v>469</v>
      </c>
      <c r="D1731" s="141" t="s">
        <v>4</v>
      </c>
      <c r="E1731" s="332" t="s">
        <v>21</v>
      </c>
      <c r="F1731" s="381" t="s">
        <v>1001</v>
      </c>
      <c r="G1731" s="142"/>
      <c r="H1731" s="331">
        <v>70810</v>
      </c>
      <c r="I1731" s="142" t="s">
        <v>787</v>
      </c>
      <c r="J1731" s="394">
        <v>5000000</v>
      </c>
      <c r="K1731" s="277">
        <v>3000000</v>
      </c>
      <c r="L1731" s="394"/>
      <c r="M1731" s="394" t="s">
        <v>5133</v>
      </c>
      <c r="N1731" s="394">
        <v>65000000</v>
      </c>
      <c r="O1731" s="180" t="s">
        <v>940</v>
      </c>
    </row>
    <row r="1732" spans="1:15" ht="33.75" customHeight="1" x14ac:dyDescent="0.35">
      <c r="A1732" s="319" t="s">
        <v>3024</v>
      </c>
      <c r="B1732" s="463" t="s">
        <v>941</v>
      </c>
      <c r="C1732" s="435" t="s">
        <v>411</v>
      </c>
      <c r="D1732" s="141" t="s">
        <v>4</v>
      </c>
      <c r="E1732" s="332" t="s">
        <v>21</v>
      </c>
      <c r="F1732" s="184" t="s">
        <v>3011</v>
      </c>
      <c r="G1732" s="142"/>
      <c r="H1732" s="331">
        <v>70810</v>
      </c>
      <c r="I1732" s="142" t="s">
        <v>787</v>
      </c>
      <c r="J1732" s="394">
        <v>100000000</v>
      </c>
      <c r="K1732" s="277">
        <v>50000000</v>
      </c>
      <c r="L1732" s="394"/>
      <c r="M1732" s="394" t="s">
        <v>5133</v>
      </c>
      <c r="N1732" s="394">
        <v>100000000</v>
      </c>
      <c r="O1732" s="180" t="s">
        <v>941</v>
      </c>
    </row>
    <row r="1733" spans="1:15" ht="33.75" customHeight="1" x14ac:dyDescent="0.35">
      <c r="A1733" s="319" t="s">
        <v>3025</v>
      </c>
      <c r="B1733" s="463" t="s">
        <v>2990</v>
      </c>
      <c r="C1733" s="435" t="s">
        <v>623</v>
      </c>
      <c r="D1733" s="141" t="s">
        <v>4</v>
      </c>
      <c r="E1733" s="332" t="s">
        <v>21</v>
      </c>
      <c r="F1733" s="184" t="s">
        <v>3011</v>
      </c>
      <c r="G1733" s="142"/>
      <c r="H1733" s="331">
        <v>70810</v>
      </c>
      <c r="I1733" s="142" t="s">
        <v>787</v>
      </c>
      <c r="J1733" s="394">
        <v>100000000</v>
      </c>
      <c r="K1733" s="277"/>
      <c r="L1733" s="394"/>
      <c r="M1733" s="394" t="s">
        <v>5133</v>
      </c>
      <c r="N1733" s="394">
        <v>20000000</v>
      </c>
      <c r="O1733" s="180" t="s">
        <v>2990</v>
      </c>
    </row>
    <row r="1734" spans="1:15" ht="33.75" customHeight="1" x14ac:dyDescent="0.35">
      <c r="A1734" s="319" t="s">
        <v>3026</v>
      </c>
      <c r="B1734" s="463" t="s">
        <v>788</v>
      </c>
      <c r="C1734" s="435" t="s">
        <v>471</v>
      </c>
      <c r="D1734" s="141" t="s">
        <v>4</v>
      </c>
      <c r="E1734" s="332" t="s">
        <v>21</v>
      </c>
      <c r="F1734" s="184" t="s">
        <v>3011</v>
      </c>
      <c r="G1734" s="142"/>
      <c r="H1734" s="331">
        <v>70810</v>
      </c>
      <c r="I1734" s="142" t="s">
        <v>787</v>
      </c>
      <c r="J1734" s="394">
        <v>400000000</v>
      </c>
      <c r="K1734" s="277">
        <v>200000000</v>
      </c>
      <c r="L1734" s="394"/>
      <c r="M1734" s="394" t="s">
        <v>5133</v>
      </c>
      <c r="N1734" s="394"/>
      <c r="O1734" s="180" t="s">
        <v>788</v>
      </c>
    </row>
    <row r="1735" spans="1:15" ht="33.75" customHeight="1" x14ac:dyDescent="0.35">
      <c r="A1735" s="319" t="s">
        <v>3027</v>
      </c>
      <c r="B1735" s="463" t="s">
        <v>2991</v>
      </c>
      <c r="C1735" s="435" t="s">
        <v>190</v>
      </c>
      <c r="D1735" s="141" t="s">
        <v>4</v>
      </c>
      <c r="E1735" s="332" t="s">
        <v>21</v>
      </c>
      <c r="F1735" s="184" t="s">
        <v>3011</v>
      </c>
      <c r="G1735" s="142"/>
      <c r="H1735" s="331">
        <v>70810</v>
      </c>
      <c r="I1735" s="142" t="s">
        <v>787</v>
      </c>
      <c r="J1735" s="394">
        <v>10000000</v>
      </c>
      <c r="K1735" s="277"/>
      <c r="L1735" s="394"/>
      <c r="M1735" s="394" t="s">
        <v>5133</v>
      </c>
      <c r="N1735" s="394">
        <v>20000000</v>
      </c>
      <c r="O1735" s="180" t="s">
        <v>2991</v>
      </c>
    </row>
    <row r="1736" spans="1:15" ht="48.75" customHeight="1" x14ac:dyDescent="0.35">
      <c r="A1736" s="319" t="s">
        <v>3028</v>
      </c>
      <c r="B1736" s="463" t="s">
        <v>2992</v>
      </c>
      <c r="C1736" s="435" t="s">
        <v>625</v>
      </c>
      <c r="D1736" s="141" t="s">
        <v>4</v>
      </c>
      <c r="E1736" s="332" t="s">
        <v>21</v>
      </c>
      <c r="F1736" s="184" t="s">
        <v>3011</v>
      </c>
      <c r="G1736" s="142"/>
      <c r="H1736" s="331">
        <v>70810</v>
      </c>
      <c r="I1736" s="142" t="s">
        <v>787</v>
      </c>
      <c r="J1736" s="394">
        <v>10000000</v>
      </c>
      <c r="K1736" s="277"/>
      <c r="L1736" s="394"/>
      <c r="M1736" s="394" t="s">
        <v>5133</v>
      </c>
      <c r="N1736" s="394"/>
      <c r="O1736" s="180" t="s">
        <v>2992</v>
      </c>
    </row>
    <row r="1737" spans="1:15" ht="33.75" customHeight="1" x14ac:dyDescent="0.35">
      <c r="A1737" s="319" t="s">
        <v>3029</v>
      </c>
      <c r="B1737" s="463" t="s">
        <v>2993</v>
      </c>
      <c r="C1737" s="435" t="s">
        <v>618</v>
      </c>
      <c r="D1737" s="141" t="s">
        <v>4</v>
      </c>
      <c r="E1737" s="332" t="s">
        <v>21</v>
      </c>
      <c r="F1737" s="381" t="s">
        <v>3012</v>
      </c>
      <c r="G1737" s="142"/>
      <c r="H1737" s="331">
        <v>70810</v>
      </c>
      <c r="I1737" s="142" t="s">
        <v>787</v>
      </c>
      <c r="J1737" s="394">
        <v>5000000</v>
      </c>
      <c r="K1737" s="277"/>
      <c r="L1737" s="394"/>
      <c r="M1737" s="394" t="s">
        <v>5133</v>
      </c>
      <c r="N1737" s="394">
        <v>5000000</v>
      </c>
      <c r="O1737" s="180" t="s">
        <v>2993</v>
      </c>
    </row>
    <row r="1738" spans="1:15" ht="51" customHeight="1" x14ac:dyDescent="0.35">
      <c r="A1738" s="319" t="s">
        <v>3030</v>
      </c>
      <c r="B1738" s="463" t="s">
        <v>2994</v>
      </c>
      <c r="C1738" s="435" t="s">
        <v>195</v>
      </c>
      <c r="D1738" s="141" t="s">
        <v>4</v>
      </c>
      <c r="E1738" s="332" t="s">
        <v>21</v>
      </c>
      <c r="F1738" s="381" t="s">
        <v>955</v>
      </c>
      <c r="G1738" s="142"/>
      <c r="H1738" s="331">
        <v>70810</v>
      </c>
      <c r="I1738" s="142" t="s">
        <v>787</v>
      </c>
      <c r="J1738" s="394">
        <v>5000000</v>
      </c>
      <c r="K1738" s="277">
        <v>5000000</v>
      </c>
      <c r="L1738" s="394"/>
      <c r="M1738" s="394" t="s">
        <v>5133</v>
      </c>
      <c r="N1738" s="394">
        <v>50000000</v>
      </c>
      <c r="O1738" s="180" t="s">
        <v>2994</v>
      </c>
    </row>
    <row r="1739" spans="1:15" ht="47.25" customHeight="1" x14ac:dyDescent="0.35">
      <c r="A1739" s="319" t="s">
        <v>3031</v>
      </c>
      <c r="B1739" s="463" t="s">
        <v>2995</v>
      </c>
      <c r="C1739" s="435" t="s">
        <v>470</v>
      </c>
      <c r="D1739" s="141" t="s">
        <v>4</v>
      </c>
      <c r="E1739" s="332" t="s">
        <v>21</v>
      </c>
      <c r="F1739" s="381" t="s">
        <v>955</v>
      </c>
      <c r="G1739" s="142"/>
      <c r="H1739" s="331">
        <v>70810</v>
      </c>
      <c r="I1739" s="142" t="s">
        <v>787</v>
      </c>
      <c r="J1739" s="394">
        <v>5000000</v>
      </c>
      <c r="K1739" s="277"/>
      <c r="L1739" s="394"/>
      <c r="M1739" s="394" t="s">
        <v>5133</v>
      </c>
      <c r="N1739" s="394">
        <v>5000000</v>
      </c>
      <c r="O1739" s="180" t="s">
        <v>2995</v>
      </c>
    </row>
    <row r="1740" spans="1:15" ht="33.75" customHeight="1" x14ac:dyDescent="0.35">
      <c r="A1740" s="319" t="s">
        <v>3032</v>
      </c>
      <c r="B1740" s="463" t="s">
        <v>2996</v>
      </c>
      <c r="C1740" s="435" t="s">
        <v>331</v>
      </c>
      <c r="D1740" s="141" t="s">
        <v>4</v>
      </c>
      <c r="E1740" s="332" t="s">
        <v>21</v>
      </c>
      <c r="F1740" s="381" t="s">
        <v>955</v>
      </c>
      <c r="G1740" s="142"/>
      <c r="H1740" s="331">
        <v>70810</v>
      </c>
      <c r="I1740" s="142" t="s">
        <v>787</v>
      </c>
      <c r="J1740" s="394">
        <v>30000000</v>
      </c>
      <c r="K1740" s="277">
        <v>30000000</v>
      </c>
      <c r="L1740" s="394"/>
      <c r="M1740" s="394" t="s">
        <v>5133</v>
      </c>
      <c r="N1740" s="394">
        <v>10000000</v>
      </c>
      <c r="O1740" s="180" t="s">
        <v>2996</v>
      </c>
    </row>
    <row r="1741" spans="1:15" ht="59.25" customHeight="1" x14ac:dyDescent="0.35">
      <c r="A1741" s="319" t="s">
        <v>3033</v>
      </c>
      <c r="B1741" s="463" t="s">
        <v>2997</v>
      </c>
      <c r="C1741" s="435" t="s">
        <v>309</v>
      </c>
      <c r="D1741" s="141" t="s">
        <v>4</v>
      </c>
      <c r="E1741" s="332" t="s">
        <v>21</v>
      </c>
      <c r="F1741" s="381" t="s">
        <v>955</v>
      </c>
      <c r="G1741" s="142"/>
      <c r="H1741" s="331">
        <v>70810</v>
      </c>
      <c r="I1741" s="142" t="s">
        <v>787</v>
      </c>
      <c r="J1741" s="394">
        <v>5000000</v>
      </c>
      <c r="K1741" s="277">
        <v>5000000</v>
      </c>
      <c r="L1741" s="394"/>
      <c r="M1741" s="394" t="s">
        <v>5133</v>
      </c>
      <c r="N1741" s="394">
        <v>30000000</v>
      </c>
      <c r="O1741" s="180" t="s">
        <v>2997</v>
      </c>
    </row>
    <row r="1742" spans="1:15" ht="33.75" customHeight="1" x14ac:dyDescent="0.35">
      <c r="A1742" s="319" t="s">
        <v>3034</v>
      </c>
      <c r="B1742" s="463" t="s">
        <v>789</v>
      </c>
      <c r="C1742" s="435" t="s">
        <v>309</v>
      </c>
      <c r="D1742" s="141" t="s">
        <v>4</v>
      </c>
      <c r="E1742" s="332" t="s">
        <v>21</v>
      </c>
      <c r="F1742" s="184" t="s">
        <v>3011</v>
      </c>
      <c r="G1742" s="142"/>
      <c r="H1742" s="331">
        <v>70810</v>
      </c>
      <c r="I1742" s="142" t="s">
        <v>787</v>
      </c>
      <c r="J1742" s="394">
        <v>10000000</v>
      </c>
      <c r="K1742" s="277">
        <v>5000000</v>
      </c>
      <c r="L1742" s="394"/>
      <c r="M1742" s="394" t="s">
        <v>5133</v>
      </c>
      <c r="N1742" s="394">
        <v>5000000</v>
      </c>
      <c r="O1742" s="180" t="s">
        <v>789</v>
      </c>
    </row>
    <row r="1743" spans="1:15" ht="33.75" customHeight="1" x14ac:dyDescent="0.35">
      <c r="A1743" s="319" t="s">
        <v>3035</v>
      </c>
      <c r="B1743" s="463" t="s">
        <v>2998</v>
      </c>
      <c r="C1743" s="435" t="s">
        <v>188</v>
      </c>
      <c r="D1743" s="141" t="s">
        <v>4</v>
      </c>
      <c r="E1743" s="332" t="s">
        <v>21</v>
      </c>
      <c r="F1743" s="184" t="s">
        <v>3011</v>
      </c>
      <c r="G1743" s="142"/>
      <c r="H1743" s="331">
        <v>70810</v>
      </c>
      <c r="I1743" s="142" t="s">
        <v>787</v>
      </c>
      <c r="J1743" s="394">
        <v>10000000</v>
      </c>
      <c r="K1743" s="277"/>
      <c r="L1743" s="394"/>
      <c r="M1743" s="394" t="s">
        <v>5133</v>
      </c>
      <c r="N1743" s="394">
        <v>10000000</v>
      </c>
      <c r="O1743" s="180" t="s">
        <v>2998</v>
      </c>
    </row>
    <row r="1744" spans="1:15" ht="51" customHeight="1" x14ac:dyDescent="0.35">
      <c r="A1744" s="319" t="s">
        <v>3036</v>
      </c>
      <c r="B1744" s="463" t="s">
        <v>2999</v>
      </c>
      <c r="C1744" s="435" t="s">
        <v>309</v>
      </c>
      <c r="D1744" s="141" t="s">
        <v>4</v>
      </c>
      <c r="E1744" s="332" t="s">
        <v>21</v>
      </c>
      <c r="F1744" s="184" t="s">
        <v>3011</v>
      </c>
      <c r="G1744" s="142"/>
      <c r="H1744" s="331">
        <v>70810</v>
      </c>
      <c r="I1744" s="142" t="s">
        <v>787</v>
      </c>
      <c r="J1744" s="394">
        <v>3000000</v>
      </c>
      <c r="K1744" s="277"/>
      <c r="L1744" s="394"/>
      <c r="M1744" s="394" t="s">
        <v>5133</v>
      </c>
      <c r="N1744" s="394">
        <v>10000000</v>
      </c>
      <c r="O1744" s="180" t="s">
        <v>2999</v>
      </c>
    </row>
    <row r="1745" spans="1:15" ht="30.75" customHeight="1" x14ac:dyDescent="0.35">
      <c r="A1745" s="319" t="s">
        <v>3037</v>
      </c>
      <c r="B1745" s="463" t="s">
        <v>948</v>
      </c>
      <c r="C1745" s="435" t="s">
        <v>188</v>
      </c>
      <c r="D1745" s="141" t="s">
        <v>4</v>
      </c>
      <c r="E1745" s="332" t="s">
        <v>21</v>
      </c>
      <c r="F1745" s="184" t="s">
        <v>3011</v>
      </c>
      <c r="G1745" s="142"/>
      <c r="H1745" s="331">
        <v>70810</v>
      </c>
      <c r="I1745" s="142" t="s">
        <v>787</v>
      </c>
      <c r="J1745" s="394">
        <v>5000000</v>
      </c>
      <c r="K1745" s="277"/>
      <c r="L1745" s="394"/>
      <c r="M1745" s="394" t="s">
        <v>5133</v>
      </c>
      <c r="N1745" s="394">
        <v>10000000</v>
      </c>
      <c r="O1745" s="180" t="s">
        <v>948</v>
      </c>
    </row>
    <row r="1746" spans="1:15" ht="24.75" customHeight="1" x14ac:dyDescent="0.35">
      <c r="A1746" s="319" t="s">
        <v>3038</v>
      </c>
      <c r="B1746" s="463" t="s">
        <v>949</v>
      </c>
      <c r="C1746" s="435" t="s">
        <v>416</v>
      </c>
      <c r="D1746" s="141" t="s">
        <v>4</v>
      </c>
      <c r="E1746" s="332" t="s">
        <v>21</v>
      </c>
      <c r="F1746" s="381" t="s">
        <v>955</v>
      </c>
      <c r="G1746" s="142"/>
      <c r="H1746" s="331">
        <v>70810</v>
      </c>
      <c r="I1746" s="142" t="s">
        <v>787</v>
      </c>
      <c r="J1746" s="394">
        <v>1000000</v>
      </c>
      <c r="K1746" s="277"/>
      <c r="L1746" s="394"/>
      <c r="M1746" s="394" t="s">
        <v>5133</v>
      </c>
      <c r="N1746" s="394">
        <v>200000000</v>
      </c>
      <c r="O1746" s="180" t="s">
        <v>949</v>
      </c>
    </row>
    <row r="1747" spans="1:15" ht="33" customHeight="1" x14ac:dyDescent="0.35">
      <c r="A1747" s="319" t="s">
        <v>3039</v>
      </c>
      <c r="B1747" s="463" t="s">
        <v>791</v>
      </c>
      <c r="C1747" s="435" t="s">
        <v>331</v>
      </c>
      <c r="D1747" s="141" t="s">
        <v>4</v>
      </c>
      <c r="E1747" s="332" t="s">
        <v>21</v>
      </c>
      <c r="F1747" s="381" t="s">
        <v>955</v>
      </c>
      <c r="G1747" s="142"/>
      <c r="H1747" s="331">
        <v>70810</v>
      </c>
      <c r="I1747" s="142" t="s">
        <v>787</v>
      </c>
      <c r="J1747" s="394">
        <v>3000000</v>
      </c>
      <c r="K1747" s="277"/>
      <c r="L1747" s="394"/>
      <c r="M1747" s="394" t="s">
        <v>5133</v>
      </c>
      <c r="N1747" s="394">
        <v>100000000</v>
      </c>
      <c r="O1747" s="180" t="s">
        <v>791</v>
      </c>
    </row>
    <row r="1748" spans="1:15" ht="30.75" customHeight="1" x14ac:dyDescent="0.35">
      <c r="A1748" s="319" t="s">
        <v>3040</v>
      </c>
      <c r="B1748" s="463" t="s">
        <v>3000</v>
      </c>
      <c r="C1748" s="435" t="s">
        <v>354</v>
      </c>
      <c r="D1748" s="141" t="s">
        <v>4</v>
      </c>
      <c r="E1748" s="332" t="s">
        <v>21</v>
      </c>
      <c r="F1748" s="381" t="s">
        <v>955</v>
      </c>
      <c r="G1748" s="142"/>
      <c r="H1748" s="331">
        <v>70810</v>
      </c>
      <c r="I1748" s="142" t="s">
        <v>787</v>
      </c>
      <c r="J1748" s="394">
        <v>150000000</v>
      </c>
      <c r="K1748" s="277"/>
      <c r="L1748" s="394"/>
      <c r="M1748" s="394" t="s">
        <v>5133</v>
      </c>
      <c r="N1748" s="394">
        <v>100000000</v>
      </c>
      <c r="O1748" s="180" t="s">
        <v>3000</v>
      </c>
    </row>
    <row r="1749" spans="1:15" ht="37.5" customHeight="1" x14ac:dyDescent="0.35">
      <c r="A1749" s="319" t="s">
        <v>3041</v>
      </c>
      <c r="B1749" s="463" t="s">
        <v>950</v>
      </c>
      <c r="C1749" s="435" t="s">
        <v>615</v>
      </c>
      <c r="D1749" s="141" t="s">
        <v>4</v>
      </c>
      <c r="E1749" s="332" t="s">
        <v>21</v>
      </c>
      <c r="F1749" s="381" t="s">
        <v>955</v>
      </c>
      <c r="G1749" s="142"/>
      <c r="H1749" s="331">
        <v>70810</v>
      </c>
      <c r="I1749" s="142" t="s">
        <v>787</v>
      </c>
      <c r="J1749" s="394">
        <v>40000000</v>
      </c>
      <c r="K1749" s="277">
        <v>20000000</v>
      </c>
      <c r="L1749" s="394"/>
      <c r="M1749" s="394" t="s">
        <v>5133</v>
      </c>
      <c r="N1749" s="394">
        <v>50000000</v>
      </c>
      <c r="O1749" s="180" t="s">
        <v>950</v>
      </c>
    </row>
    <row r="1750" spans="1:15" ht="30" customHeight="1" x14ac:dyDescent="0.35">
      <c r="A1750" s="319" t="s">
        <v>3042</v>
      </c>
      <c r="B1750" s="463" t="s">
        <v>3001</v>
      </c>
      <c r="C1750" s="435" t="s">
        <v>475</v>
      </c>
      <c r="D1750" s="141" t="s">
        <v>4</v>
      </c>
      <c r="E1750" s="332" t="s">
        <v>21</v>
      </c>
      <c r="F1750" s="381" t="s">
        <v>955</v>
      </c>
      <c r="G1750" s="142"/>
      <c r="H1750" s="331">
        <v>70810</v>
      </c>
      <c r="I1750" s="142" t="s">
        <v>787</v>
      </c>
      <c r="J1750" s="394">
        <v>2000000</v>
      </c>
      <c r="K1750" s="277"/>
      <c r="L1750" s="394"/>
      <c r="M1750" s="394" t="s">
        <v>5133</v>
      </c>
      <c r="N1750" s="394"/>
      <c r="O1750" s="180" t="s">
        <v>3001</v>
      </c>
    </row>
    <row r="1751" spans="1:15" ht="31.5" customHeight="1" x14ac:dyDescent="0.35">
      <c r="A1751" s="319" t="s">
        <v>3043</v>
      </c>
      <c r="B1751" s="463" t="s">
        <v>951</v>
      </c>
      <c r="C1751" s="435" t="s">
        <v>445</v>
      </c>
      <c r="D1751" s="141" t="s">
        <v>4</v>
      </c>
      <c r="E1751" s="332" t="s">
        <v>21</v>
      </c>
      <c r="F1751" s="381" t="s">
        <v>955</v>
      </c>
      <c r="G1751" s="142"/>
      <c r="H1751" s="331">
        <v>70810</v>
      </c>
      <c r="I1751" s="142" t="s">
        <v>787</v>
      </c>
      <c r="J1751" s="394">
        <v>5865000</v>
      </c>
      <c r="K1751" s="149"/>
      <c r="L1751" s="394"/>
      <c r="M1751" s="394" t="s">
        <v>5133</v>
      </c>
      <c r="N1751" s="394">
        <v>3000000</v>
      </c>
      <c r="O1751" s="180" t="s">
        <v>951</v>
      </c>
    </row>
    <row r="1752" spans="1:15" ht="31.5" customHeight="1" x14ac:dyDescent="0.35">
      <c r="A1752" s="319" t="s">
        <v>3044</v>
      </c>
      <c r="B1752" s="463" t="s">
        <v>3002</v>
      </c>
      <c r="C1752" s="435" t="s">
        <v>5</v>
      </c>
      <c r="D1752" s="141" t="s">
        <v>4</v>
      </c>
      <c r="E1752" s="332" t="s">
        <v>21</v>
      </c>
      <c r="F1752" s="184" t="s">
        <v>3011</v>
      </c>
      <c r="G1752" s="142"/>
      <c r="H1752" s="331">
        <v>70810</v>
      </c>
      <c r="I1752" s="142" t="s">
        <v>787</v>
      </c>
      <c r="J1752" s="394">
        <v>20000000</v>
      </c>
      <c r="K1752" s="277">
        <v>20000000</v>
      </c>
      <c r="L1752" s="394"/>
      <c r="M1752" s="394" t="s">
        <v>5133</v>
      </c>
      <c r="N1752" s="394">
        <v>30000000</v>
      </c>
      <c r="O1752" s="180" t="s">
        <v>3002</v>
      </c>
    </row>
    <row r="1753" spans="1:15" ht="31.5" customHeight="1" x14ac:dyDescent="0.35">
      <c r="A1753" s="319" t="s">
        <v>3045</v>
      </c>
      <c r="B1753" s="463" t="s">
        <v>3003</v>
      </c>
      <c r="C1753" s="435" t="s">
        <v>5</v>
      </c>
      <c r="D1753" s="141" t="s">
        <v>4</v>
      </c>
      <c r="E1753" s="332" t="s">
        <v>21</v>
      </c>
      <c r="F1753" s="184" t="s">
        <v>3011</v>
      </c>
      <c r="G1753" s="142"/>
      <c r="H1753" s="331">
        <v>70810</v>
      </c>
      <c r="I1753" s="142" t="s">
        <v>787</v>
      </c>
      <c r="J1753" s="394">
        <v>150000000</v>
      </c>
      <c r="K1753" s="277">
        <v>100000000</v>
      </c>
      <c r="L1753" s="394"/>
      <c r="M1753" s="394" t="s">
        <v>5133</v>
      </c>
      <c r="N1753" s="394">
        <v>150000000</v>
      </c>
      <c r="O1753" s="180" t="s">
        <v>3003</v>
      </c>
    </row>
    <row r="1754" spans="1:15" ht="58.5" customHeight="1" x14ac:dyDescent="0.35">
      <c r="A1754" s="319" t="s">
        <v>3046</v>
      </c>
      <c r="B1754" s="463" t="s">
        <v>3004</v>
      </c>
      <c r="C1754" s="435" t="s">
        <v>309</v>
      </c>
      <c r="D1754" s="141" t="s">
        <v>4</v>
      </c>
      <c r="E1754" s="332" t="s">
        <v>21</v>
      </c>
      <c r="F1754" s="184" t="s">
        <v>3011</v>
      </c>
      <c r="G1754" s="142"/>
      <c r="H1754" s="331">
        <v>70810</v>
      </c>
      <c r="I1754" s="142" t="s">
        <v>787</v>
      </c>
      <c r="J1754" s="394">
        <v>4000000</v>
      </c>
      <c r="K1754" s="277">
        <v>30000000</v>
      </c>
      <c r="L1754" s="394"/>
      <c r="M1754" s="394" t="s">
        <v>5133</v>
      </c>
      <c r="N1754" s="394">
        <v>40000000</v>
      </c>
      <c r="O1754" s="180" t="s">
        <v>3004</v>
      </c>
    </row>
    <row r="1755" spans="1:15" ht="27" customHeight="1" x14ac:dyDescent="0.35">
      <c r="A1755" s="319" t="s">
        <v>3047</v>
      </c>
      <c r="B1755" s="463" t="s">
        <v>942</v>
      </c>
      <c r="C1755" s="435" t="s">
        <v>5</v>
      </c>
      <c r="D1755" s="141" t="s">
        <v>4</v>
      </c>
      <c r="E1755" s="332" t="s">
        <v>21</v>
      </c>
      <c r="F1755" s="184" t="s">
        <v>3011</v>
      </c>
      <c r="G1755" s="142"/>
      <c r="H1755" s="331">
        <v>70810</v>
      </c>
      <c r="I1755" s="142" t="s">
        <v>787</v>
      </c>
      <c r="J1755" s="394">
        <v>50000000</v>
      </c>
      <c r="K1755" s="277">
        <v>50000000</v>
      </c>
      <c r="L1755" s="394"/>
      <c r="M1755" s="394" t="s">
        <v>5133</v>
      </c>
      <c r="N1755" s="394">
        <v>150000000</v>
      </c>
      <c r="O1755" s="180" t="s">
        <v>942</v>
      </c>
    </row>
    <row r="1756" spans="1:15" ht="48" customHeight="1" x14ac:dyDescent="0.35">
      <c r="A1756" s="319" t="s">
        <v>3048</v>
      </c>
      <c r="B1756" s="463" t="s">
        <v>945</v>
      </c>
      <c r="C1756" s="435" t="s">
        <v>309</v>
      </c>
      <c r="D1756" s="141" t="s">
        <v>4</v>
      </c>
      <c r="E1756" s="332" t="s">
        <v>21</v>
      </c>
      <c r="F1756" s="184" t="s">
        <v>3011</v>
      </c>
      <c r="G1756" s="142"/>
      <c r="H1756" s="331">
        <v>70810</v>
      </c>
      <c r="I1756" s="142" t="s">
        <v>787</v>
      </c>
      <c r="J1756" s="394">
        <v>5000000</v>
      </c>
      <c r="K1756" s="277"/>
      <c r="L1756" s="394"/>
      <c r="M1756" s="394" t="s">
        <v>5133</v>
      </c>
      <c r="N1756" s="394">
        <v>20000000</v>
      </c>
      <c r="O1756" s="180" t="s">
        <v>945</v>
      </c>
    </row>
    <row r="1757" spans="1:15" ht="29.25" customHeight="1" x14ac:dyDescent="0.35">
      <c r="A1757" s="319" t="s">
        <v>3049</v>
      </c>
      <c r="B1757" s="463" t="s">
        <v>3005</v>
      </c>
      <c r="C1757" s="435" t="s">
        <v>309</v>
      </c>
      <c r="D1757" s="141" t="s">
        <v>4</v>
      </c>
      <c r="E1757" s="332" t="s">
        <v>21</v>
      </c>
      <c r="F1757" s="381" t="s">
        <v>786</v>
      </c>
      <c r="G1757" s="142"/>
      <c r="H1757" s="331">
        <v>70810</v>
      </c>
      <c r="I1757" s="142" t="s">
        <v>787</v>
      </c>
      <c r="J1757" s="394">
        <v>10000000</v>
      </c>
      <c r="K1757" s="277"/>
      <c r="L1757" s="394"/>
      <c r="M1757" s="394" t="s">
        <v>5133</v>
      </c>
      <c r="N1757" s="394">
        <v>200000000</v>
      </c>
      <c r="O1757" s="180" t="s">
        <v>3005</v>
      </c>
    </row>
    <row r="1758" spans="1:15" ht="30.75" customHeight="1" x14ac:dyDescent="0.35">
      <c r="A1758" s="319" t="s">
        <v>3050</v>
      </c>
      <c r="B1758" s="463" t="s">
        <v>947</v>
      </c>
      <c r="C1758" s="435" t="s">
        <v>5</v>
      </c>
      <c r="D1758" s="141" t="s">
        <v>4</v>
      </c>
      <c r="E1758" s="332" t="s">
        <v>21</v>
      </c>
      <c r="F1758" s="381" t="s">
        <v>786</v>
      </c>
      <c r="G1758" s="142"/>
      <c r="H1758" s="331">
        <v>70810</v>
      </c>
      <c r="I1758" s="142" t="s">
        <v>787</v>
      </c>
      <c r="J1758" s="394">
        <v>50000000</v>
      </c>
      <c r="K1758" s="277">
        <v>65365000</v>
      </c>
      <c r="L1758" s="394"/>
      <c r="M1758" s="394" t="s">
        <v>5133</v>
      </c>
      <c r="N1758" s="394">
        <v>150000000</v>
      </c>
      <c r="O1758" s="180" t="s">
        <v>947</v>
      </c>
    </row>
    <row r="1759" spans="1:15" ht="27.75" customHeight="1" x14ac:dyDescent="0.35">
      <c r="A1759" s="319" t="s">
        <v>3051</v>
      </c>
      <c r="B1759" s="463" t="s">
        <v>952</v>
      </c>
      <c r="C1759" s="435" t="s">
        <v>309</v>
      </c>
      <c r="D1759" s="141" t="s">
        <v>4</v>
      </c>
      <c r="E1759" s="332" t="s">
        <v>21</v>
      </c>
      <c r="F1759" s="381" t="s">
        <v>786</v>
      </c>
      <c r="G1759" s="142"/>
      <c r="H1759" s="331">
        <v>70810</v>
      </c>
      <c r="I1759" s="142" t="s">
        <v>787</v>
      </c>
      <c r="J1759" s="394">
        <v>10000000</v>
      </c>
      <c r="K1759" s="277" t="s">
        <v>4798</v>
      </c>
      <c r="L1759" s="394"/>
      <c r="M1759" s="394" t="s">
        <v>5133</v>
      </c>
      <c r="N1759" s="394">
        <v>30000000</v>
      </c>
      <c r="O1759" s="180" t="s">
        <v>952</v>
      </c>
    </row>
    <row r="1760" spans="1:15" ht="51.75" customHeight="1" x14ac:dyDescent="0.35">
      <c r="A1760" s="319" t="s">
        <v>3052</v>
      </c>
      <c r="B1760" s="463" t="s">
        <v>3006</v>
      </c>
      <c r="C1760" s="435" t="s">
        <v>309</v>
      </c>
      <c r="D1760" s="141" t="s">
        <v>4</v>
      </c>
      <c r="E1760" s="332" t="s">
        <v>21</v>
      </c>
      <c r="F1760" s="381" t="s">
        <v>786</v>
      </c>
      <c r="G1760" s="142"/>
      <c r="H1760" s="331">
        <v>70810</v>
      </c>
      <c r="I1760" s="142" t="s">
        <v>787</v>
      </c>
      <c r="J1760" s="394">
        <v>400000000</v>
      </c>
      <c r="K1760" s="277">
        <v>326000000</v>
      </c>
      <c r="L1760" s="394"/>
      <c r="M1760" s="394" t="s">
        <v>5133</v>
      </c>
      <c r="N1760" s="394">
        <v>1802768631</v>
      </c>
      <c r="O1760" s="180" t="s">
        <v>3006</v>
      </c>
    </row>
    <row r="1761" spans="1:16" ht="33.75" customHeight="1" x14ac:dyDescent="0.35">
      <c r="A1761" s="319" t="s">
        <v>3053</v>
      </c>
      <c r="B1761" s="463" t="s">
        <v>3007</v>
      </c>
      <c r="C1761" s="435" t="s">
        <v>309</v>
      </c>
      <c r="D1761" s="141" t="s">
        <v>4</v>
      </c>
      <c r="E1761" s="332" t="s">
        <v>21</v>
      </c>
      <c r="F1761" s="184" t="s">
        <v>3011</v>
      </c>
      <c r="G1761" s="142"/>
      <c r="H1761" s="331">
        <v>70810</v>
      </c>
      <c r="I1761" s="142" t="s">
        <v>787</v>
      </c>
      <c r="J1761" s="394">
        <v>5000000</v>
      </c>
      <c r="K1761" s="277">
        <v>5000000</v>
      </c>
      <c r="L1761" s="394"/>
      <c r="M1761" s="394" t="s">
        <v>5133</v>
      </c>
      <c r="N1761" s="394">
        <v>12000000</v>
      </c>
      <c r="O1761" s="180" t="s">
        <v>3007</v>
      </c>
    </row>
    <row r="1762" spans="1:16" ht="33.75" customHeight="1" x14ac:dyDescent="0.35">
      <c r="A1762" s="319" t="s">
        <v>3054</v>
      </c>
      <c r="B1762" s="463" t="s">
        <v>3008</v>
      </c>
      <c r="C1762" s="435" t="s">
        <v>469</v>
      </c>
      <c r="D1762" s="141" t="s">
        <v>4</v>
      </c>
      <c r="E1762" s="332" t="s">
        <v>21</v>
      </c>
      <c r="F1762" s="381" t="s">
        <v>105</v>
      </c>
      <c r="G1762" s="142"/>
      <c r="H1762" s="331">
        <v>70810</v>
      </c>
      <c r="I1762" s="142" t="s">
        <v>787</v>
      </c>
      <c r="J1762" s="394">
        <v>40000000</v>
      </c>
      <c r="K1762" s="277">
        <v>40000000</v>
      </c>
      <c r="L1762" s="394"/>
      <c r="M1762" s="394" t="s">
        <v>5133</v>
      </c>
      <c r="N1762" s="394">
        <v>100000000</v>
      </c>
      <c r="O1762" s="180" t="s">
        <v>3008</v>
      </c>
    </row>
    <row r="1763" spans="1:16" ht="36" customHeight="1" x14ac:dyDescent="0.35">
      <c r="A1763" s="319" t="s">
        <v>3055</v>
      </c>
      <c r="B1763" s="463" t="s">
        <v>946</v>
      </c>
      <c r="C1763" s="435" t="s">
        <v>469</v>
      </c>
      <c r="D1763" s="141" t="s">
        <v>4</v>
      </c>
      <c r="E1763" s="332" t="s">
        <v>21</v>
      </c>
      <c r="F1763" s="381" t="s">
        <v>105</v>
      </c>
      <c r="G1763" s="142"/>
      <c r="H1763" s="331">
        <v>70810</v>
      </c>
      <c r="I1763" s="142" t="s">
        <v>787</v>
      </c>
      <c r="J1763" s="394">
        <v>1000000</v>
      </c>
      <c r="K1763" s="277"/>
      <c r="L1763" s="394"/>
      <c r="M1763" s="394" t="s">
        <v>5133</v>
      </c>
      <c r="N1763" s="394">
        <v>100000000</v>
      </c>
      <c r="O1763" s="180" t="s">
        <v>946</v>
      </c>
    </row>
    <row r="1764" spans="1:16" ht="33.75" customHeight="1" x14ac:dyDescent="0.35">
      <c r="A1764" s="319" t="s">
        <v>3056</v>
      </c>
      <c r="B1764" s="463" t="s">
        <v>944</v>
      </c>
      <c r="C1764" s="435" t="s">
        <v>5</v>
      </c>
      <c r="D1764" s="141" t="s">
        <v>4</v>
      </c>
      <c r="E1764" s="332" t="s">
        <v>21</v>
      </c>
      <c r="F1764" s="381" t="s">
        <v>110</v>
      </c>
      <c r="G1764" s="142"/>
      <c r="H1764" s="331">
        <v>70810</v>
      </c>
      <c r="I1764" s="142" t="s">
        <v>787</v>
      </c>
      <c r="J1764" s="394">
        <v>30000000</v>
      </c>
      <c r="K1764" s="277">
        <v>10000000</v>
      </c>
      <c r="L1764" s="394"/>
      <c r="M1764" s="394" t="s">
        <v>5133</v>
      </c>
      <c r="N1764" s="394">
        <v>30000000</v>
      </c>
      <c r="O1764" s="180" t="s">
        <v>944</v>
      </c>
    </row>
    <row r="1765" spans="1:16" ht="30" customHeight="1" x14ac:dyDescent="0.35">
      <c r="A1765" s="319" t="s">
        <v>3057</v>
      </c>
      <c r="B1765" s="463" t="s">
        <v>3009</v>
      </c>
      <c r="C1765" s="165" t="s">
        <v>5</v>
      </c>
      <c r="D1765" s="141" t="s">
        <v>4</v>
      </c>
      <c r="E1765" s="237" t="s">
        <v>27</v>
      </c>
      <c r="F1765" s="163" t="s">
        <v>110</v>
      </c>
      <c r="G1765" s="238"/>
      <c r="H1765" s="141" t="s">
        <v>19</v>
      </c>
      <c r="I1765" s="142" t="s">
        <v>906</v>
      </c>
      <c r="J1765" s="394">
        <v>30000000</v>
      </c>
      <c r="K1765" s="277"/>
      <c r="L1765" s="394"/>
      <c r="M1765" s="394" t="s">
        <v>5133</v>
      </c>
      <c r="N1765" s="394">
        <v>40000000</v>
      </c>
      <c r="O1765" s="180" t="s">
        <v>3009</v>
      </c>
    </row>
    <row r="1766" spans="1:16" ht="48.75" customHeight="1" x14ac:dyDescent="0.35">
      <c r="A1766" s="319" t="s">
        <v>3058</v>
      </c>
      <c r="B1766" s="463" t="s">
        <v>3010</v>
      </c>
      <c r="C1766" s="435" t="s">
        <v>416</v>
      </c>
      <c r="D1766" s="141" t="s">
        <v>4</v>
      </c>
      <c r="E1766" s="332" t="s">
        <v>21</v>
      </c>
      <c r="F1766" s="185" t="s">
        <v>3013</v>
      </c>
      <c r="G1766" s="142"/>
      <c r="H1766" s="331">
        <v>70810</v>
      </c>
      <c r="I1766" s="142" t="s">
        <v>787</v>
      </c>
      <c r="J1766" s="394">
        <v>2000000</v>
      </c>
      <c r="K1766" s="277"/>
      <c r="L1766" s="394"/>
      <c r="M1766" s="394" t="s">
        <v>5133</v>
      </c>
      <c r="N1766" s="394"/>
      <c r="O1766" s="180" t="s">
        <v>3010</v>
      </c>
    </row>
    <row r="1767" spans="1:16" ht="45" customHeight="1" x14ac:dyDescent="0.35">
      <c r="A1767" s="245"/>
      <c r="B1767" s="360" t="s">
        <v>1008</v>
      </c>
      <c r="C1767" s="188"/>
      <c r="D1767" s="257"/>
      <c r="E1767" s="273"/>
      <c r="F1767" s="257"/>
      <c r="G1767" s="273"/>
      <c r="H1767" s="257"/>
      <c r="I1767" s="273"/>
      <c r="J1767" s="259">
        <f>SUM(J1722:J1766)</f>
        <v>2095000000</v>
      </c>
      <c r="K1767" s="259">
        <f>SUM(K1722:K1766)</f>
        <v>996000000</v>
      </c>
      <c r="L1767" s="707"/>
      <c r="M1767" s="707"/>
      <c r="N1767" s="259">
        <f>SUM(N1722:N1766)</f>
        <v>4067768631</v>
      </c>
      <c r="O1767" s="245" t="s">
        <v>1008</v>
      </c>
    </row>
    <row r="1768" spans="1:16" s="247" customFormat="1" x14ac:dyDescent="0.35">
      <c r="A1768" s="286"/>
      <c r="B1768" s="492"/>
      <c r="C1768" s="282"/>
      <c r="D1768" s="283"/>
      <c r="E1768" s="330"/>
      <c r="F1768" s="283"/>
      <c r="G1768" s="330"/>
      <c r="H1768" s="283"/>
      <c r="I1768" s="436"/>
      <c r="J1768" s="285"/>
      <c r="K1768" s="628"/>
      <c r="L1768" s="706"/>
      <c r="M1768" s="706"/>
      <c r="N1768" s="285"/>
      <c r="O1768" s="286"/>
      <c r="P1768" s="246"/>
    </row>
    <row r="1769" spans="1:16" x14ac:dyDescent="0.35">
      <c r="A1769" s="428" t="s">
        <v>1175</v>
      </c>
      <c r="B1769" s="583"/>
      <c r="C1769" s="429"/>
      <c r="D1769" s="430"/>
      <c r="E1769" s="494"/>
      <c r="F1769" s="430"/>
      <c r="G1769" s="494"/>
      <c r="H1769" s="430"/>
      <c r="I1769" s="494"/>
      <c r="J1769" s="495"/>
      <c r="K1769" s="458"/>
      <c r="L1769" s="704"/>
      <c r="M1769" s="704"/>
      <c r="N1769" s="495"/>
      <c r="O1769" s="357"/>
    </row>
    <row r="1770" spans="1:16" s="271" customFormat="1" ht="87.75" customHeight="1" x14ac:dyDescent="0.35">
      <c r="A1770" s="178" t="s">
        <v>1007</v>
      </c>
      <c r="B1770" s="360" t="s">
        <v>50</v>
      </c>
      <c r="C1770" s="326" t="s">
        <v>898</v>
      </c>
      <c r="D1770" s="373" t="s">
        <v>52</v>
      </c>
      <c r="E1770" s="373" t="s">
        <v>49</v>
      </c>
      <c r="F1770" s="373" t="s">
        <v>1</v>
      </c>
      <c r="G1770" s="326"/>
      <c r="H1770" s="326" t="s">
        <v>51</v>
      </c>
      <c r="I1770" s="326" t="s">
        <v>2</v>
      </c>
      <c r="J1770" s="327" t="s">
        <v>4862</v>
      </c>
      <c r="K1770" s="189" t="s">
        <v>5140</v>
      </c>
      <c r="L1770" s="623" t="s">
        <v>5132</v>
      </c>
      <c r="M1770" s="623" t="s">
        <v>5132</v>
      </c>
      <c r="N1770" s="327" t="s">
        <v>1006</v>
      </c>
      <c r="O1770" s="178" t="s">
        <v>50</v>
      </c>
      <c r="P1770" s="289"/>
    </row>
    <row r="1771" spans="1:16" ht="69.75" customHeight="1" x14ac:dyDescent="0.35">
      <c r="A1771" s="319" t="s">
        <v>4160</v>
      </c>
      <c r="B1771" s="463" t="s">
        <v>1466</v>
      </c>
      <c r="C1771" s="442" t="s">
        <v>390</v>
      </c>
      <c r="D1771" s="442">
        <v>2101</v>
      </c>
      <c r="E1771" s="442" t="s">
        <v>25</v>
      </c>
      <c r="F1771" s="594" t="s">
        <v>2980</v>
      </c>
      <c r="G1771" s="442">
        <v>23030103</v>
      </c>
      <c r="H1771" s="442">
        <v>70950</v>
      </c>
      <c r="I1771" s="531">
        <v>50000010104</v>
      </c>
      <c r="J1771" s="277">
        <v>3250000</v>
      </c>
      <c r="K1771" s="627"/>
      <c r="L1771" s="394"/>
      <c r="M1771" s="394" t="s">
        <v>5133</v>
      </c>
      <c r="N1771" s="277">
        <v>3250000</v>
      </c>
      <c r="O1771" s="478"/>
    </row>
    <row r="1772" spans="1:16" ht="51.75" customHeight="1" x14ac:dyDescent="0.35">
      <c r="A1772" s="319" t="s">
        <v>4161</v>
      </c>
      <c r="B1772" s="463" t="s">
        <v>1467</v>
      </c>
      <c r="C1772" s="442">
        <v>101</v>
      </c>
      <c r="D1772" s="442">
        <v>2101</v>
      </c>
      <c r="E1772" s="442" t="s">
        <v>25</v>
      </c>
      <c r="F1772" s="444" t="s">
        <v>2980</v>
      </c>
      <c r="G1772" s="442">
        <v>23030103</v>
      </c>
      <c r="H1772" s="442">
        <v>70950</v>
      </c>
      <c r="I1772" s="531">
        <v>50000010104</v>
      </c>
      <c r="J1772" s="277">
        <v>3403152.63</v>
      </c>
      <c r="K1772" s="627"/>
      <c r="L1772" s="394"/>
      <c r="M1772" s="394" t="s">
        <v>5133</v>
      </c>
      <c r="N1772" s="277">
        <v>3403152.63</v>
      </c>
      <c r="O1772" s="478"/>
    </row>
    <row r="1773" spans="1:16" ht="94.5" customHeight="1" x14ac:dyDescent="0.35">
      <c r="A1773" s="319" t="s">
        <v>4162</v>
      </c>
      <c r="B1773" s="463" t="s">
        <v>1468</v>
      </c>
      <c r="C1773" s="442" t="s">
        <v>390</v>
      </c>
      <c r="D1773" s="442">
        <v>2101</v>
      </c>
      <c r="E1773" s="442" t="s">
        <v>25</v>
      </c>
      <c r="F1773" s="444" t="s">
        <v>999</v>
      </c>
      <c r="G1773" s="442">
        <v>31050406</v>
      </c>
      <c r="H1773" s="442">
        <v>70912</v>
      </c>
      <c r="I1773" s="531">
        <v>50000010104</v>
      </c>
      <c r="J1773" s="277">
        <v>1000000</v>
      </c>
      <c r="K1773" s="627"/>
      <c r="L1773" s="394"/>
      <c r="M1773" s="394" t="s">
        <v>5133</v>
      </c>
      <c r="N1773" s="277">
        <v>1000000</v>
      </c>
      <c r="O1773" s="478"/>
    </row>
    <row r="1774" spans="1:16" ht="82.5" customHeight="1" x14ac:dyDescent="0.35">
      <c r="A1774" s="319" t="s">
        <v>4163</v>
      </c>
      <c r="B1774" s="463" t="s">
        <v>1469</v>
      </c>
      <c r="C1774" s="442" t="s">
        <v>390</v>
      </c>
      <c r="D1774" s="442">
        <v>2101</v>
      </c>
      <c r="E1774" s="442" t="s">
        <v>25</v>
      </c>
      <c r="F1774" s="444" t="s">
        <v>999</v>
      </c>
      <c r="G1774" s="442">
        <v>31050406</v>
      </c>
      <c r="H1774" s="442">
        <v>70912</v>
      </c>
      <c r="I1774" s="531">
        <v>50000010104</v>
      </c>
      <c r="J1774" s="277">
        <v>3750000</v>
      </c>
      <c r="K1774" s="627"/>
      <c r="L1774" s="394"/>
      <c r="M1774" s="394" t="s">
        <v>5133</v>
      </c>
      <c r="N1774" s="277">
        <v>3750000</v>
      </c>
      <c r="O1774" s="478"/>
    </row>
    <row r="1775" spans="1:16" ht="87.75" customHeight="1" x14ac:dyDescent="0.35">
      <c r="A1775" s="319" t="s">
        <v>4164</v>
      </c>
      <c r="B1775" s="463" t="s">
        <v>1470</v>
      </c>
      <c r="C1775" s="442" t="s">
        <v>390</v>
      </c>
      <c r="D1775" s="442">
        <v>2101</v>
      </c>
      <c r="E1775" s="442" t="s">
        <v>25</v>
      </c>
      <c r="F1775" s="444" t="s">
        <v>999</v>
      </c>
      <c r="G1775" s="442">
        <v>31050406</v>
      </c>
      <c r="H1775" s="442">
        <v>70912</v>
      </c>
      <c r="I1775" s="531">
        <v>50000010104</v>
      </c>
      <c r="J1775" s="277">
        <v>1750000</v>
      </c>
      <c r="K1775" s="627"/>
      <c r="L1775" s="394"/>
      <c r="M1775" s="394" t="s">
        <v>5133</v>
      </c>
      <c r="N1775" s="277">
        <v>1750000</v>
      </c>
      <c r="O1775" s="478"/>
    </row>
    <row r="1776" spans="1:16" ht="81" customHeight="1" x14ac:dyDescent="0.35">
      <c r="A1776" s="319" t="s">
        <v>4165</v>
      </c>
      <c r="B1776" s="463" t="s">
        <v>1471</v>
      </c>
      <c r="C1776" s="442" t="s">
        <v>644</v>
      </c>
      <c r="D1776" s="442">
        <v>2101</v>
      </c>
      <c r="E1776" s="442" t="s">
        <v>25</v>
      </c>
      <c r="F1776" s="444" t="s">
        <v>999</v>
      </c>
      <c r="G1776" s="442">
        <v>31050406</v>
      </c>
      <c r="H1776" s="442">
        <v>70950</v>
      </c>
      <c r="I1776" s="531">
        <v>50000010104</v>
      </c>
      <c r="J1776" s="277">
        <v>6000000</v>
      </c>
      <c r="K1776" s="627"/>
      <c r="L1776" s="394"/>
      <c r="M1776" s="394" t="s">
        <v>5133</v>
      </c>
      <c r="N1776" s="277">
        <v>6000000</v>
      </c>
      <c r="O1776" s="478"/>
    </row>
    <row r="1777" spans="1:15" ht="76.5" customHeight="1" x14ac:dyDescent="0.35">
      <c r="A1777" s="319" t="s">
        <v>4166</v>
      </c>
      <c r="B1777" s="463" t="s">
        <v>1472</v>
      </c>
      <c r="C1777" s="442">
        <v>214</v>
      </c>
      <c r="D1777" s="442">
        <v>2101</v>
      </c>
      <c r="E1777" s="442" t="s">
        <v>25</v>
      </c>
      <c r="F1777" s="444" t="s">
        <v>2980</v>
      </c>
      <c r="G1777" s="442">
        <v>23030103</v>
      </c>
      <c r="H1777" s="442">
        <v>70912</v>
      </c>
      <c r="I1777" s="531">
        <v>50000010104</v>
      </c>
      <c r="J1777" s="277">
        <v>2553479</v>
      </c>
      <c r="K1777" s="627"/>
      <c r="L1777" s="394"/>
      <c r="M1777" s="394" t="s">
        <v>5133</v>
      </c>
      <c r="N1777" s="277">
        <v>2553479</v>
      </c>
      <c r="O1777" s="478"/>
    </row>
    <row r="1778" spans="1:15" ht="79.5" customHeight="1" x14ac:dyDescent="0.35">
      <c r="A1778" s="319" t="s">
        <v>4167</v>
      </c>
      <c r="B1778" s="463" t="s">
        <v>1473</v>
      </c>
      <c r="C1778" s="442">
        <v>213</v>
      </c>
      <c r="D1778" s="442">
        <v>2101</v>
      </c>
      <c r="E1778" s="442" t="s">
        <v>25</v>
      </c>
      <c r="F1778" s="444" t="s">
        <v>2980</v>
      </c>
      <c r="G1778" s="442">
        <v>23030103</v>
      </c>
      <c r="H1778" s="442">
        <v>70912</v>
      </c>
      <c r="I1778" s="531">
        <v>50000010104</v>
      </c>
      <c r="J1778" s="277">
        <v>2000000</v>
      </c>
      <c r="K1778" s="627"/>
      <c r="L1778" s="394"/>
      <c r="M1778" s="394" t="s">
        <v>5133</v>
      </c>
      <c r="N1778" s="277">
        <v>2000000</v>
      </c>
      <c r="O1778" s="478"/>
    </row>
    <row r="1779" spans="1:15" ht="87.75" customHeight="1" x14ac:dyDescent="0.35">
      <c r="A1779" s="319" t="s">
        <v>4168</v>
      </c>
      <c r="B1779" s="463" t="s">
        <v>1474</v>
      </c>
      <c r="C1779" s="442">
        <v>213</v>
      </c>
      <c r="D1779" s="442">
        <v>2101</v>
      </c>
      <c r="E1779" s="442" t="s">
        <v>25</v>
      </c>
      <c r="F1779" s="444" t="s">
        <v>2980</v>
      </c>
      <c r="G1779" s="442">
        <v>23030103</v>
      </c>
      <c r="H1779" s="442">
        <v>70912</v>
      </c>
      <c r="I1779" s="531">
        <v>50000010104</v>
      </c>
      <c r="J1779" s="277">
        <v>2038623.5</v>
      </c>
      <c r="K1779" s="627"/>
      <c r="L1779" s="394"/>
      <c r="M1779" s="394" t="s">
        <v>5133</v>
      </c>
      <c r="N1779" s="277">
        <v>2038623.5</v>
      </c>
      <c r="O1779" s="478"/>
    </row>
    <row r="1780" spans="1:15" ht="67.5" customHeight="1" x14ac:dyDescent="0.35">
      <c r="A1780" s="319" t="s">
        <v>4169</v>
      </c>
      <c r="B1780" s="463" t="s">
        <v>1475</v>
      </c>
      <c r="C1780" s="442">
        <v>104</v>
      </c>
      <c r="D1780" s="442">
        <v>2101</v>
      </c>
      <c r="E1780" s="442" t="s">
        <v>25</v>
      </c>
      <c r="F1780" s="444" t="s">
        <v>999</v>
      </c>
      <c r="G1780" s="442">
        <v>31050406</v>
      </c>
      <c r="H1780" s="442">
        <v>70950</v>
      </c>
      <c r="I1780" s="531">
        <v>50000010104</v>
      </c>
      <c r="J1780" s="277">
        <v>3500000</v>
      </c>
      <c r="K1780" s="627"/>
      <c r="L1780" s="394"/>
      <c r="M1780" s="394" t="s">
        <v>5133</v>
      </c>
      <c r="N1780" s="277">
        <v>3500000</v>
      </c>
      <c r="O1780" s="478"/>
    </row>
    <row r="1781" spans="1:15" ht="55.5" customHeight="1" x14ac:dyDescent="0.35">
      <c r="A1781" s="319" t="s">
        <v>4170</v>
      </c>
      <c r="B1781" s="463" t="s">
        <v>1476</v>
      </c>
      <c r="C1781" s="442">
        <v>104</v>
      </c>
      <c r="D1781" s="442">
        <v>2101</v>
      </c>
      <c r="E1781" s="442" t="s">
        <v>25</v>
      </c>
      <c r="F1781" s="444" t="s">
        <v>999</v>
      </c>
      <c r="G1781" s="442">
        <v>31050406</v>
      </c>
      <c r="H1781" s="442">
        <v>70950</v>
      </c>
      <c r="I1781" s="531">
        <v>50000010104</v>
      </c>
      <c r="J1781" s="277">
        <v>3000000</v>
      </c>
      <c r="K1781" s="627"/>
      <c r="L1781" s="394"/>
      <c r="M1781" s="394" t="s">
        <v>5133</v>
      </c>
      <c r="N1781" s="277">
        <v>3000000</v>
      </c>
      <c r="O1781" s="478"/>
    </row>
    <row r="1782" spans="1:15" ht="74.25" customHeight="1" x14ac:dyDescent="0.35">
      <c r="A1782" s="319" t="s">
        <v>4171</v>
      </c>
      <c r="B1782" s="463" t="s">
        <v>1477</v>
      </c>
      <c r="C1782" s="442">
        <v>104</v>
      </c>
      <c r="D1782" s="442">
        <v>2101</v>
      </c>
      <c r="E1782" s="442" t="s">
        <v>25</v>
      </c>
      <c r="F1782" s="444" t="s">
        <v>999</v>
      </c>
      <c r="G1782" s="442">
        <v>31050406</v>
      </c>
      <c r="H1782" s="442">
        <v>70950</v>
      </c>
      <c r="I1782" s="531">
        <v>50000010104</v>
      </c>
      <c r="J1782" s="277">
        <v>11750000</v>
      </c>
      <c r="K1782" s="627"/>
      <c r="L1782" s="394"/>
      <c r="M1782" s="394" t="s">
        <v>5133</v>
      </c>
      <c r="N1782" s="277">
        <v>11750000</v>
      </c>
      <c r="O1782" s="478"/>
    </row>
    <row r="1783" spans="1:15" ht="54" customHeight="1" x14ac:dyDescent="0.35">
      <c r="A1783" s="319" t="s">
        <v>4172</v>
      </c>
      <c r="B1783" s="463" t="s">
        <v>1478</v>
      </c>
      <c r="C1783" s="442">
        <v>104</v>
      </c>
      <c r="D1783" s="442">
        <v>2101</v>
      </c>
      <c r="E1783" s="442" t="s">
        <v>25</v>
      </c>
      <c r="F1783" s="444" t="s">
        <v>999</v>
      </c>
      <c r="G1783" s="442">
        <v>31050406</v>
      </c>
      <c r="H1783" s="442">
        <v>70950</v>
      </c>
      <c r="I1783" s="531">
        <v>50000010104</v>
      </c>
      <c r="J1783" s="277">
        <v>3750000</v>
      </c>
      <c r="K1783" s="627"/>
      <c r="L1783" s="394"/>
      <c r="M1783" s="394" t="s">
        <v>5133</v>
      </c>
      <c r="N1783" s="277">
        <v>3750000</v>
      </c>
      <c r="O1783" s="478"/>
    </row>
    <row r="1784" spans="1:15" ht="62.25" customHeight="1" x14ac:dyDescent="0.35">
      <c r="A1784" s="319" t="s">
        <v>4173</v>
      </c>
      <c r="B1784" s="463" t="s">
        <v>1479</v>
      </c>
      <c r="C1784" s="442">
        <v>104</v>
      </c>
      <c r="D1784" s="442">
        <v>2101</v>
      </c>
      <c r="E1784" s="442" t="s">
        <v>25</v>
      </c>
      <c r="F1784" s="444" t="s">
        <v>999</v>
      </c>
      <c r="G1784" s="442">
        <v>31050406</v>
      </c>
      <c r="H1784" s="442">
        <v>70950</v>
      </c>
      <c r="I1784" s="531">
        <v>50000010104</v>
      </c>
      <c r="J1784" s="277">
        <v>5750000</v>
      </c>
      <c r="K1784" s="627"/>
      <c r="L1784" s="394"/>
      <c r="M1784" s="394" t="s">
        <v>5133</v>
      </c>
      <c r="N1784" s="277">
        <v>5750000</v>
      </c>
      <c r="O1784" s="478"/>
    </row>
    <row r="1785" spans="1:15" ht="71.25" customHeight="1" x14ac:dyDescent="0.35">
      <c r="A1785" s="319" t="s">
        <v>4174</v>
      </c>
      <c r="B1785" s="463" t="s">
        <v>1480</v>
      </c>
      <c r="C1785" s="442">
        <v>104</v>
      </c>
      <c r="D1785" s="442">
        <v>2101</v>
      </c>
      <c r="E1785" s="442" t="s">
        <v>25</v>
      </c>
      <c r="F1785" s="444" t="s">
        <v>999</v>
      </c>
      <c r="G1785" s="442">
        <v>31050406</v>
      </c>
      <c r="H1785" s="442">
        <v>70950</v>
      </c>
      <c r="I1785" s="531">
        <v>50000010104</v>
      </c>
      <c r="J1785" s="277">
        <v>5750000</v>
      </c>
      <c r="K1785" s="627"/>
      <c r="L1785" s="394"/>
      <c r="M1785" s="394" t="s">
        <v>5133</v>
      </c>
      <c r="N1785" s="277">
        <v>5750000</v>
      </c>
      <c r="O1785" s="478"/>
    </row>
    <row r="1786" spans="1:15" ht="68.25" customHeight="1" x14ac:dyDescent="0.35">
      <c r="A1786" s="319" t="s">
        <v>4175</v>
      </c>
      <c r="B1786" s="463" t="s">
        <v>1481</v>
      </c>
      <c r="C1786" s="442">
        <v>104</v>
      </c>
      <c r="D1786" s="442">
        <v>2101</v>
      </c>
      <c r="E1786" s="442" t="s">
        <v>25</v>
      </c>
      <c r="F1786" s="444" t="s">
        <v>2980</v>
      </c>
      <c r="G1786" s="442">
        <v>23030103</v>
      </c>
      <c r="H1786" s="442">
        <v>70950</v>
      </c>
      <c r="I1786" s="531">
        <v>50000010104</v>
      </c>
      <c r="J1786" s="277">
        <v>3676600.72</v>
      </c>
      <c r="K1786" s="627"/>
      <c r="L1786" s="394"/>
      <c r="M1786" s="394" t="s">
        <v>5133</v>
      </c>
      <c r="N1786" s="277"/>
      <c r="O1786" s="478"/>
    </row>
    <row r="1787" spans="1:15" ht="66" customHeight="1" x14ac:dyDescent="0.35">
      <c r="A1787" s="319" t="s">
        <v>4176</v>
      </c>
      <c r="B1787" s="463" t="s">
        <v>1482</v>
      </c>
      <c r="C1787" s="442" t="s">
        <v>793</v>
      </c>
      <c r="D1787" s="442">
        <v>2101</v>
      </c>
      <c r="E1787" s="442" t="s">
        <v>25</v>
      </c>
      <c r="F1787" s="444" t="s">
        <v>2980</v>
      </c>
      <c r="G1787" s="442">
        <v>23030103</v>
      </c>
      <c r="H1787" s="442">
        <v>70912</v>
      </c>
      <c r="I1787" s="531">
        <v>50000010104</v>
      </c>
      <c r="J1787" s="277">
        <v>14113225.34</v>
      </c>
      <c r="K1787" s="627"/>
      <c r="L1787" s="394"/>
      <c r="M1787" s="394" t="s">
        <v>5133</v>
      </c>
      <c r="N1787" s="277">
        <v>14113225.34</v>
      </c>
      <c r="O1787" s="478"/>
    </row>
    <row r="1788" spans="1:15" ht="60" customHeight="1" x14ac:dyDescent="0.35">
      <c r="A1788" s="319" t="s">
        <v>4177</v>
      </c>
      <c r="B1788" s="463" t="s">
        <v>1483</v>
      </c>
      <c r="C1788" s="442" t="s">
        <v>407</v>
      </c>
      <c r="D1788" s="442">
        <v>2101</v>
      </c>
      <c r="E1788" s="442" t="s">
        <v>25</v>
      </c>
      <c r="F1788" s="444" t="s">
        <v>2980</v>
      </c>
      <c r="G1788" s="442">
        <v>23030103</v>
      </c>
      <c r="H1788" s="442">
        <v>70912</v>
      </c>
      <c r="I1788" s="531">
        <v>50000010104</v>
      </c>
      <c r="J1788" s="277">
        <v>26265860.530000001</v>
      </c>
      <c r="K1788" s="627"/>
      <c r="L1788" s="394"/>
      <c r="M1788" s="394" t="s">
        <v>5133</v>
      </c>
      <c r="N1788" s="277">
        <v>26265860.530000001</v>
      </c>
      <c r="O1788" s="478"/>
    </row>
    <row r="1789" spans="1:15" ht="60" customHeight="1" x14ac:dyDescent="0.35">
      <c r="A1789" s="319" t="s">
        <v>4178</v>
      </c>
      <c r="B1789" s="463" t="s">
        <v>1484</v>
      </c>
      <c r="C1789" s="442" t="s">
        <v>746</v>
      </c>
      <c r="D1789" s="442">
        <v>2101</v>
      </c>
      <c r="E1789" s="442" t="s">
        <v>25</v>
      </c>
      <c r="F1789" s="444" t="s">
        <v>2980</v>
      </c>
      <c r="G1789" s="442">
        <v>23030103</v>
      </c>
      <c r="H1789" s="442">
        <v>70912</v>
      </c>
      <c r="I1789" s="531">
        <v>50000010104</v>
      </c>
      <c r="J1789" s="277">
        <v>26265850.530000001</v>
      </c>
      <c r="K1789" s="627"/>
      <c r="L1789" s="394"/>
      <c r="M1789" s="394" t="s">
        <v>5133</v>
      </c>
      <c r="N1789" s="277">
        <v>26265850.530000001</v>
      </c>
      <c r="O1789" s="478"/>
    </row>
    <row r="1790" spans="1:15" ht="60" customHeight="1" x14ac:dyDescent="0.35">
      <c r="A1790" s="319" t="s">
        <v>4179</v>
      </c>
      <c r="B1790" s="463" t="s">
        <v>1485</v>
      </c>
      <c r="C1790" s="442" t="s">
        <v>1486</v>
      </c>
      <c r="D1790" s="442">
        <v>2101</v>
      </c>
      <c r="E1790" s="442" t="s">
        <v>25</v>
      </c>
      <c r="F1790" s="444" t="s">
        <v>62</v>
      </c>
      <c r="G1790" s="442">
        <v>32010601</v>
      </c>
      <c r="H1790" s="442">
        <v>70950</v>
      </c>
      <c r="I1790" s="531">
        <v>220000010106</v>
      </c>
      <c r="J1790" s="277">
        <v>10000000</v>
      </c>
      <c r="K1790" s="627"/>
      <c r="L1790" s="394"/>
      <c r="M1790" s="394" t="s">
        <v>5133</v>
      </c>
      <c r="N1790" s="277"/>
      <c r="O1790" s="478"/>
    </row>
    <row r="1791" spans="1:15" ht="58.5" customHeight="1" x14ac:dyDescent="0.35">
      <c r="A1791" s="319" t="s">
        <v>4180</v>
      </c>
      <c r="B1791" s="463" t="s">
        <v>1487</v>
      </c>
      <c r="C1791" s="442" t="s">
        <v>191</v>
      </c>
      <c r="D1791" s="442">
        <v>2101</v>
      </c>
      <c r="E1791" s="442" t="s">
        <v>25</v>
      </c>
      <c r="F1791" s="444" t="s">
        <v>2980</v>
      </c>
      <c r="G1791" s="442">
        <v>23030103</v>
      </c>
      <c r="H1791" s="442">
        <v>70950</v>
      </c>
      <c r="I1791" s="531">
        <v>50000010104</v>
      </c>
      <c r="J1791" s="277">
        <v>26265360.530000001</v>
      </c>
      <c r="K1791" s="627"/>
      <c r="L1791" s="394"/>
      <c r="M1791" s="394" t="s">
        <v>5133</v>
      </c>
      <c r="N1791" s="277">
        <v>26265360.530000001</v>
      </c>
      <c r="O1791" s="478"/>
    </row>
    <row r="1792" spans="1:15" ht="60.75" customHeight="1" x14ac:dyDescent="0.35">
      <c r="A1792" s="319" t="s">
        <v>4181</v>
      </c>
      <c r="B1792" s="463" t="s">
        <v>1488</v>
      </c>
      <c r="C1792" s="442" t="s">
        <v>191</v>
      </c>
      <c r="D1792" s="442">
        <v>2101</v>
      </c>
      <c r="E1792" s="442" t="s">
        <v>25</v>
      </c>
      <c r="F1792" s="444" t="s">
        <v>2980</v>
      </c>
      <c r="G1792" s="442">
        <v>23030103</v>
      </c>
      <c r="H1792" s="442">
        <v>70950</v>
      </c>
      <c r="I1792" s="531">
        <v>50000010104</v>
      </c>
      <c r="J1792" s="277">
        <v>14113225.34</v>
      </c>
      <c r="K1792" s="627"/>
      <c r="L1792" s="394"/>
      <c r="M1792" s="394" t="s">
        <v>5133</v>
      </c>
      <c r="N1792" s="277">
        <v>14113225.34</v>
      </c>
      <c r="O1792" s="478"/>
    </row>
    <row r="1793" spans="1:15" ht="69.75" customHeight="1" x14ac:dyDescent="0.35">
      <c r="A1793" s="319" t="s">
        <v>4182</v>
      </c>
      <c r="B1793" s="463" t="s">
        <v>1489</v>
      </c>
      <c r="C1793" s="442" t="s">
        <v>1465</v>
      </c>
      <c r="D1793" s="442">
        <v>2101</v>
      </c>
      <c r="E1793" s="442" t="s">
        <v>25</v>
      </c>
      <c r="F1793" s="444" t="s">
        <v>62</v>
      </c>
      <c r="G1793" s="442">
        <v>32010601</v>
      </c>
      <c r="H1793" s="442">
        <v>70950</v>
      </c>
      <c r="I1793" s="531">
        <v>220000010106</v>
      </c>
      <c r="J1793" s="277">
        <v>34620914.130000003</v>
      </c>
      <c r="K1793" s="627"/>
      <c r="L1793" s="394"/>
      <c r="M1793" s="394" t="s">
        <v>5133</v>
      </c>
      <c r="N1793" s="277">
        <v>34620914.130000003</v>
      </c>
      <c r="O1793" s="478"/>
    </row>
    <row r="1794" spans="1:15" ht="62.25" customHeight="1" x14ac:dyDescent="0.35">
      <c r="A1794" s="319" t="s">
        <v>4183</v>
      </c>
      <c r="B1794" s="463" t="s">
        <v>1490</v>
      </c>
      <c r="C1794" s="442" t="s">
        <v>475</v>
      </c>
      <c r="D1794" s="442">
        <v>2101</v>
      </c>
      <c r="E1794" s="442" t="s">
        <v>25</v>
      </c>
      <c r="F1794" s="444" t="s">
        <v>62</v>
      </c>
      <c r="G1794" s="442">
        <v>32010601</v>
      </c>
      <c r="H1794" s="442">
        <v>70950</v>
      </c>
      <c r="I1794" s="531">
        <v>220000010106</v>
      </c>
      <c r="J1794" s="277">
        <v>20000000</v>
      </c>
      <c r="K1794" s="627"/>
      <c r="L1794" s="394"/>
      <c r="M1794" s="394" t="s">
        <v>5133</v>
      </c>
      <c r="N1794" s="277">
        <v>20000000</v>
      </c>
      <c r="O1794" s="478"/>
    </row>
    <row r="1795" spans="1:15" ht="69" customHeight="1" x14ac:dyDescent="0.35">
      <c r="A1795" s="319" t="s">
        <v>4184</v>
      </c>
      <c r="B1795" s="463" t="s">
        <v>1491</v>
      </c>
      <c r="C1795" s="442" t="s">
        <v>392</v>
      </c>
      <c r="D1795" s="442">
        <v>2101</v>
      </c>
      <c r="E1795" s="442" t="s">
        <v>25</v>
      </c>
      <c r="F1795" s="444" t="s">
        <v>2980</v>
      </c>
      <c r="G1795" s="442">
        <v>23030103</v>
      </c>
      <c r="H1795" s="442">
        <v>70950</v>
      </c>
      <c r="I1795" s="531">
        <v>50000010104</v>
      </c>
      <c r="J1795" s="277">
        <v>8817633.7899999991</v>
      </c>
      <c r="K1795" s="627"/>
      <c r="L1795" s="394"/>
      <c r="M1795" s="394" t="s">
        <v>5133</v>
      </c>
      <c r="N1795" s="277">
        <v>14113225</v>
      </c>
      <c r="O1795" s="478"/>
    </row>
    <row r="1796" spans="1:15" ht="50.25" customHeight="1" x14ac:dyDescent="0.35">
      <c r="A1796" s="319" t="s">
        <v>4185</v>
      </c>
      <c r="B1796" s="463" t="s">
        <v>1492</v>
      </c>
      <c r="C1796" s="442" t="s">
        <v>616</v>
      </c>
      <c r="D1796" s="442">
        <v>2101</v>
      </c>
      <c r="E1796" s="442" t="s">
        <v>25</v>
      </c>
      <c r="F1796" s="444" t="s">
        <v>999</v>
      </c>
      <c r="G1796" s="442">
        <v>31050406</v>
      </c>
      <c r="H1796" s="442">
        <v>70950</v>
      </c>
      <c r="I1796" s="531">
        <v>50000010104</v>
      </c>
      <c r="J1796" s="277">
        <v>20686127.629999999</v>
      </c>
      <c r="K1796" s="627"/>
      <c r="L1796" s="394"/>
      <c r="M1796" s="394" t="s">
        <v>5133</v>
      </c>
      <c r="N1796" s="277">
        <v>20686127.629999999</v>
      </c>
      <c r="O1796" s="478"/>
    </row>
    <row r="1797" spans="1:15" ht="49.5" customHeight="1" x14ac:dyDescent="0.35">
      <c r="A1797" s="319" t="s">
        <v>4186</v>
      </c>
      <c r="B1797" s="463" t="s">
        <v>1493</v>
      </c>
      <c r="C1797" s="442" t="s">
        <v>616</v>
      </c>
      <c r="D1797" s="442">
        <v>2101</v>
      </c>
      <c r="E1797" s="442" t="s">
        <v>25</v>
      </c>
      <c r="F1797" s="444" t="s">
        <v>999</v>
      </c>
      <c r="G1797" s="442">
        <v>31050406</v>
      </c>
      <c r="H1797" s="442">
        <v>70950</v>
      </c>
      <c r="I1797" s="531">
        <v>50000010104</v>
      </c>
      <c r="J1797" s="277">
        <v>20686127.629999999</v>
      </c>
      <c r="K1797" s="627"/>
      <c r="L1797" s="394"/>
      <c r="M1797" s="394" t="s">
        <v>5133</v>
      </c>
      <c r="N1797" s="277">
        <v>20686127.629999999</v>
      </c>
      <c r="O1797" s="478"/>
    </row>
    <row r="1798" spans="1:15" ht="76.5" customHeight="1" x14ac:dyDescent="0.35">
      <c r="A1798" s="319" t="s">
        <v>4187</v>
      </c>
      <c r="B1798" s="463" t="s">
        <v>1494</v>
      </c>
      <c r="C1798" s="442" t="s">
        <v>390</v>
      </c>
      <c r="D1798" s="442">
        <v>2101</v>
      </c>
      <c r="E1798" s="442" t="s">
        <v>25</v>
      </c>
      <c r="F1798" s="444" t="s">
        <v>999</v>
      </c>
      <c r="G1798" s="442">
        <v>31050406</v>
      </c>
      <c r="H1798" s="442">
        <v>70950</v>
      </c>
      <c r="I1798" s="531">
        <v>50000010104</v>
      </c>
      <c r="J1798" s="277">
        <v>1230006.2</v>
      </c>
      <c r="K1798" s="627"/>
      <c r="L1798" s="394"/>
      <c r="M1798" s="394" t="s">
        <v>5133</v>
      </c>
      <c r="N1798" s="277">
        <v>20512757</v>
      </c>
      <c r="O1798" s="478"/>
    </row>
    <row r="1799" spans="1:15" ht="72" customHeight="1" x14ac:dyDescent="0.35">
      <c r="A1799" s="319" t="s">
        <v>4188</v>
      </c>
      <c r="B1799" s="463" t="s">
        <v>1495</v>
      </c>
      <c r="C1799" s="442" t="s">
        <v>390</v>
      </c>
      <c r="D1799" s="442">
        <v>2101</v>
      </c>
      <c r="E1799" s="442" t="s">
        <v>25</v>
      </c>
      <c r="F1799" s="444" t="s">
        <v>999</v>
      </c>
      <c r="G1799" s="442">
        <v>31050406</v>
      </c>
      <c r="H1799" s="442">
        <v>70950</v>
      </c>
      <c r="I1799" s="531">
        <v>50000010104</v>
      </c>
      <c r="J1799" s="277">
        <v>2783421.82</v>
      </c>
      <c r="K1799" s="627"/>
      <c r="L1799" s="394"/>
      <c r="M1799" s="394" t="s">
        <v>5133</v>
      </c>
      <c r="N1799" s="277">
        <v>32846788</v>
      </c>
      <c r="O1799" s="478"/>
    </row>
    <row r="1800" spans="1:15" ht="72" customHeight="1" x14ac:dyDescent="0.35">
      <c r="A1800" s="319" t="s">
        <v>4189</v>
      </c>
      <c r="B1800" s="463" t="s">
        <v>1496</v>
      </c>
      <c r="C1800" s="442" t="s">
        <v>390</v>
      </c>
      <c r="D1800" s="442">
        <v>2101</v>
      </c>
      <c r="E1800" s="442" t="s">
        <v>25</v>
      </c>
      <c r="F1800" s="444" t="s">
        <v>999</v>
      </c>
      <c r="G1800" s="442">
        <v>31050406</v>
      </c>
      <c r="H1800" s="442">
        <v>70950</v>
      </c>
      <c r="I1800" s="531">
        <v>50000010104</v>
      </c>
      <c r="J1800" s="277">
        <v>2783425.76</v>
      </c>
      <c r="K1800" s="627"/>
      <c r="L1800" s="394"/>
      <c r="M1800" s="394" t="s">
        <v>5133</v>
      </c>
      <c r="N1800" s="277">
        <v>24846788</v>
      </c>
      <c r="O1800" s="478"/>
    </row>
    <row r="1801" spans="1:15" ht="52.5" customHeight="1" x14ac:dyDescent="0.35">
      <c r="A1801" s="319" t="s">
        <v>4190</v>
      </c>
      <c r="B1801" s="463" t="s">
        <v>1497</v>
      </c>
      <c r="C1801" s="442" t="s">
        <v>415</v>
      </c>
      <c r="D1801" s="442">
        <v>2101</v>
      </c>
      <c r="E1801" s="442" t="s">
        <v>25</v>
      </c>
      <c r="F1801" s="444" t="s">
        <v>999</v>
      </c>
      <c r="G1801" s="442">
        <v>31050406</v>
      </c>
      <c r="H1801" s="442">
        <v>70950</v>
      </c>
      <c r="I1801" s="531">
        <v>50000010104</v>
      </c>
      <c r="J1801" s="277">
        <v>652491.06000000006</v>
      </c>
      <c r="K1801" s="627"/>
      <c r="L1801" s="394"/>
      <c r="M1801" s="394" t="s">
        <v>5133</v>
      </c>
      <c r="N1801" s="277">
        <v>652491.06000000006</v>
      </c>
      <c r="O1801" s="478"/>
    </row>
    <row r="1802" spans="1:15" ht="91.5" customHeight="1" x14ac:dyDescent="0.35">
      <c r="A1802" s="319" t="s">
        <v>4191</v>
      </c>
      <c r="B1802" s="463" t="s">
        <v>1498</v>
      </c>
      <c r="C1802" s="442" t="s">
        <v>415</v>
      </c>
      <c r="D1802" s="442">
        <v>2101</v>
      </c>
      <c r="E1802" s="442" t="s">
        <v>25</v>
      </c>
      <c r="F1802" s="444" t="s">
        <v>999</v>
      </c>
      <c r="G1802" s="442">
        <v>31050406</v>
      </c>
      <c r="H1802" s="442">
        <v>70950</v>
      </c>
      <c r="I1802" s="531">
        <v>50000010104</v>
      </c>
      <c r="J1802" s="277">
        <v>1088183.94</v>
      </c>
      <c r="K1802" s="627"/>
      <c r="L1802" s="394"/>
      <c r="M1802" s="394" t="s">
        <v>5133</v>
      </c>
      <c r="N1802" s="277">
        <v>1088183.94</v>
      </c>
      <c r="O1802" s="478"/>
    </row>
    <row r="1803" spans="1:15" ht="47.25" customHeight="1" x14ac:dyDescent="0.35">
      <c r="A1803" s="319" t="s">
        <v>4192</v>
      </c>
      <c r="B1803" s="463" t="s">
        <v>1499</v>
      </c>
      <c r="C1803" s="442" t="s">
        <v>194</v>
      </c>
      <c r="D1803" s="442">
        <v>2101</v>
      </c>
      <c r="E1803" s="442" t="s">
        <v>25</v>
      </c>
      <c r="F1803" s="444" t="s">
        <v>999</v>
      </c>
      <c r="G1803" s="442">
        <v>31050406</v>
      </c>
      <c r="H1803" s="442">
        <v>70950</v>
      </c>
      <c r="I1803" s="531">
        <v>50000010104</v>
      </c>
      <c r="J1803" s="277">
        <v>740294.63</v>
      </c>
      <c r="K1803" s="627"/>
      <c r="L1803" s="394"/>
      <c r="M1803" s="394" t="s">
        <v>5133</v>
      </c>
      <c r="N1803" s="277">
        <v>740294.63</v>
      </c>
      <c r="O1803" s="478"/>
    </row>
    <row r="1804" spans="1:15" ht="69" customHeight="1" x14ac:dyDescent="0.35">
      <c r="A1804" s="319" t="s">
        <v>4193</v>
      </c>
      <c r="B1804" s="463" t="s">
        <v>1500</v>
      </c>
      <c r="C1804" s="442" t="s">
        <v>194</v>
      </c>
      <c r="D1804" s="442">
        <v>2101</v>
      </c>
      <c r="E1804" s="442" t="s">
        <v>25</v>
      </c>
      <c r="F1804" s="444" t="s">
        <v>2980</v>
      </c>
      <c r="G1804" s="442">
        <v>23030103</v>
      </c>
      <c r="H1804" s="442">
        <v>70950</v>
      </c>
      <c r="I1804" s="531">
        <v>50000010104</v>
      </c>
      <c r="J1804" s="277">
        <v>585899.91</v>
      </c>
      <c r="K1804" s="627"/>
      <c r="L1804" s="394"/>
      <c r="M1804" s="394" t="s">
        <v>5133</v>
      </c>
      <c r="N1804" s="277">
        <v>585899.91</v>
      </c>
      <c r="O1804" s="478"/>
    </row>
    <row r="1805" spans="1:15" ht="72.75" customHeight="1" x14ac:dyDescent="0.35">
      <c r="A1805" s="319" t="s">
        <v>4194</v>
      </c>
      <c r="B1805" s="463" t="s">
        <v>1502</v>
      </c>
      <c r="C1805" s="442">
        <v>212</v>
      </c>
      <c r="D1805" s="442">
        <v>2101</v>
      </c>
      <c r="E1805" s="442" t="s">
        <v>25</v>
      </c>
      <c r="F1805" s="444" t="s">
        <v>999</v>
      </c>
      <c r="G1805" s="442">
        <v>31050406</v>
      </c>
      <c r="H1805" s="442">
        <v>70950</v>
      </c>
      <c r="I1805" s="531">
        <v>50000010104</v>
      </c>
      <c r="J1805" s="277">
        <v>800174.59</v>
      </c>
      <c r="K1805" s="627"/>
      <c r="L1805" s="394"/>
      <c r="M1805" s="394" t="s">
        <v>5133</v>
      </c>
      <c r="N1805" s="277">
        <v>800174.59</v>
      </c>
      <c r="O1805" s="478"/>
    </row>
    <row r="1806" spans="1:15" ht="71.25" customHeight="1" x14ac:dyDescent="0.35">
      <c r="A1806" s="319" t="s">
        <v>4195</v>
      </c>
      <c r="B1806" s="463" t="s">
        <v>1503</v>
      </c>
      <c r="C1806" s="442">
        <v>212</v>
      </c>
      <c r="D1806" s="442">
        <v>2101</v>
      </c>
      <c r="E1806" s="442" t="s">
        <v>25</v>
      </c>
      <c r="F1806" s="444" t="s">
        <v>2980</v>
      </c>
      <c r="G1806" s="442">
        <v>23030103</v>
      </c>
      <c r="H1806" s="442">
        <v>70950</v>
      </c>
      <c r="I1806" s="531">
        <v>50000010104</v>
      </c>
      <c r="J1806" s="277">
        <v>183741.73</v>
      </c>
      <c r="K1806" s="627"/>
      <c r="L1806" s="394"/>
      <c r="M1806" s="394" t="s">
        <v>5133</v>
      </c>
      <c r="N1806" s="277">
        <v>183741.73</v>
      </c>
      <c r="O1806" s="478"/>
    </row>
    <row r="1807" spans="1:15" ht="84" customHeight="1" x14ac:dyDescent="0.35">
      <c r="A1807" s="319" t="s">
        <v>4196</v>
      </c>
      <c r="B1807" s="463" t="s">
        <v>1504</v>
      </c>
      <c r="C1807" s="442" t="s">
        <v>1501</v>
      </c>
      <c r="D1807" s="442">
        <v>2101</v>
      </c>
      <c r="E1807" s="442" t="s">
        <v>25</v>
      </c>
      <c r="F1807" s="444" t="s">
        <v>2980</v>
      </c>
      <c r="G1807" s="442">
        <v>23030103</v>
      </c>
      <c r="H1807" s="442">
        <v>70950</v>
      </c>
      <c r="I1807" s="531">
        <v>50000010104</v>
      </c>
      <c r="J1807" s="277">
        <v>2575901</v>
      </c>
      <c r="K1807" s="627"/>
      <c r="L1807" s="394"/>
      <c r="M1807" s="394" t="s">
        <v>5133</v>
      </c>
      <c r="N1807" s="277">
        <v>2575901</v>
      </c>
      <c r="O1807" s="478"/>
    </row>
    <row r="1808" spans="1:15" ht="65.25" customHeight="1" x14ac:dyDescent="0.35">
      <c r="A1808" s="319" t="s">
        <v>4197</v>
      </c>
      <c r="B1808" s="463" t="s">
        <v>1505</v>
      </c>
      <c r="C1808" s="442" t="s">
        <v>1501</v>
      </c>
      <c r="D1808" s="442">
        <v>2101</v>
      </c>
      <c r="E1808" s="442" t="s">
        <v>25</v>
      </c>
      <c r="F1808" s="444" t="s">
        <v>2980</v>
      </c>
      <c r="G1808" s="442">
        <v>23030103</v>
      </c>
      <c r="H1808" s="442">
        <v>70950</v>
      </c>
      <c r="I1808" s="531">
        <v>50000010104</v>
      </c>
      <c r="J1808" s="277">
        <v>5000000</v>
      </c>
      <c r="K1808" s="627"/>
      <c r="L1808" s="394"/>
      <c r="M1808" s="394" t="s">
        <v>5133</v>
      </c>
      <c r="N1808" s="277"/>
      <c r="O1808" s="478"/>
    </row>
    <row r="1809" spans="1:15" ht="74.25" customHeight="1" x14ac:dyDescent="0.35">
      <c r="A1809" s="319" t="s">
        <v>4198</v>
      </c>
      <c r="B1809" s="463" t="s">
        <v>1506</v>
      </c>
      <c r="C1809" s="442" t="s">
        <v>1501</v>
      </c>
      <c r="D1809" s="442">
        <v>2101</v>
      </c>
      <c r="E1809" s="442" t="s">
        <v>25</v>
      </c>
      <c r="F1809" s="444" t="s">
        <v>2980</v>
      </c>
      <c r="G1809" s="442">
        <v>23030103</v>
      </c>
      <c r="H1809" s="442">
        <v>70950</v>
      </c>
      <c r="I1809" s="531">
        <v>50000010104</v>
      </c>
      <c r="J1809" s="277">
        <v>3654057.37</v>
      </c>
      <c r="K1809" s="627"/>
      <c r="L1809" s="394"/>
      <c r="M1809" s="394" t="s">
        <v>5133</v>
      </c>
      <c r="N1809" s="277">
        <v>3654057.37</v>
      </c>
      <c r="O1809" s="478"/>
    </row>
    <row r="1810" spans="1:15" ht="94.5" customHeight="1" x14ac:dyDescent="0.35">
      <c r="A1810" s="319" t="s">
        <v>4199</v>
      </c>
      <c r="B1810" s="463" t="s">
        <v>1507</v>
      </c>
      <c r="C1810" s="442" t="s">
        <v>1501</v>
      </c>
      <c r="D1810" s="442">
        <v>2101</v>
      </c>
      <c r="E1810" s="442" t="s">
        <v>25</v>
      </c>
      <c r="F1810" s="444" t="s">
        <v>4876</v>
      </c>
      <c r="G1810" s="442">
        <v>23030108</v>
      </c>
      <c r="H1810" s="442">
        <v>70950</v>
      </c>
      <c r="I1810" s="531">
        <v>50000010104</v>
      </c>
      <c r="J1810" s="277">
        <v>4884052.37</v>
      </c>
      <c r="K1810" s="627"/>
      <c r="L1810" s="394"/>
      <c r="M1810" s="394" t="s">
        <v>5133</v>
      </c>
      <c r="N1810" s="277">
        <v>4884052.37</v>
      </c>
      <c r="O1810" s="478"/>
    </row>
    <row r="1811" spans="1:15" ht="90" customHeight="1" x14ac:dyDescent="0.35">
      <c r="A1811" s="319" t="s">
        <v>4200</v>
      </c>
      <c r="B1811" s="463" t="s">
        <v>1508</v>
      </c>
      <c r="C1811" s="442">
        <v>212</v>
      </c>
      <c r="D1811" s="442">
        <v>2101</v>
      </c>
      <c r="E1811" s="442" t="s">
        <v>25</v>
      </c>
      <c r="F1811" s="444" t="s">
        <v>999</v>
      </c>
      <c r="G1811" s="442">
        <v>31050406</v>
      </c>
      <c r="H1811" s="442">
        <v>70950</v>
      </c>
      <c r="I1811" s="531">
        <v>50000010104</v>
      </c>
      <c r="J1811" s="277">
        <v>26265860.73</v>
      </c>
      <c r="K1811" s="627"/>
      <c r="L1811" s="394"/>
      <c r="M1811" s="394" t="s">
        <v>5133</v>
      </c>
      <c r="N1811" s="277">
        <v>26265860.73</v>
      </c>
      <c r="O1811" s="478"/>
    </row>
    <row r="1812" spans="1:15" ht="76.5" customHeight="1" x14ac:dyDescent="0.35">
      <c r="A1812" s="319" t="s">
        <v>4201</v>
      </c>
      <c r="B1812" s="463" t="s">
        <v>1510</v>
      </c>
      <c r="C1812" s="442">
        <v>212</v>
      </c>
      <c r="D1812" s="442">
        <v>2101</v>
      </c>
      <c r="E1812" s="442" t="s">
        <v>25</v>
      </c>
      <c r="F1812" s="444" t="s">
        <v>999</v>
      </c>
      <c r="G1812" s="442">
        <v>31050406</v>
      </c>
      <c r="H1812" s="442">
        <v>70950</v>
      </c>
      <c r="I1812" s="531">
        <v>50000010104</v>
      </c>
      <c r="J1812" s="277">
        <v>31500000</v>
      </c>
      <c r="K1812" s="627"/>
      <c r="L1812" s="394"/>
      <c r="M1812" s="394" t="s">
        <v>5133</v>
      </c>
      <c r="N1812" s="277">
        <v>31500000</v>
      </c>
      <c r="O1812" s="478"/>
    </row>
    <row r="1813" spans="1:15" ht="69" customHeight="1" x14ac:dyDescent="0.35">
      <c r="A1813" s="319" t="s">
        <v>4202</v>
      </c>
      <c r="B1813" s="463" t="s">
        <v>1511</v>
      </c>
      <c r="C1813" s="442">
        <v>320</v>
      </c>
      <c r="D1813" s="442">
        <v>2101</v>
      </c>
      <c r="E1813" s="442" t="s">
        <v>25</v>
      </c>
      <c r="F1813" s="444" t="s">
        <v>62</v>
      </c>
      <c r="G1813" s="442">
        <v>32010601</v>
      </c>
      <c r="H1813" s="442">
        <v>70950</v>
      </c>
      <c r="I1813" s="531">
        <v>220000010106</v>
      </c>
      <c r="J1813" s="277">
        <v>18242475</v>
      </c>
      <c r="K1813" s="627"/>
      <c r="L1813" s="394"/>
      <c r="M1813" s="394" t="s">
        <v>5133</v>
      </c>
      <c r="N1813" s="277">
        <v>18241475</v>
      </c>
      <c r="O1813" s="478"/>
    </row>
    <row r="1814" spans="1:15" ht="60.75" customHeight="1" x14ac:dyDescent="0.35">
      <c r="A1814" s="319" t="s">
        <v>4203</v>
      </c>
      <c r="B1814" s="463" t="s">
        <v>1512</v>
      </c>
      <c r="C1814" s="442">
        <v>213</v>
      </c>
      <c r="D1814" s="442">
        <v>2101</v>
      </c>
      <c r="E1814" s="442" t="s">
        <v>25</v>
      </c>
      <c r="F1814" s="444" t="s">
        <v>2980</v>
      </c>
      <c r="G1814" s="442">
        <v>23030103</v>
      </c>
      <c r="H1814" s="442">
        <v>70950</v>
      </c>
      <c r="I1814" s="531">
        <v>50000010104</v>
      </c>
      <c r="J1814" s="277">
        <v>5999207.9000000004</v>
      </c>
      <c r="K1814" s="627"/>
      <c r="L1814" s="394"/>
      <c r="M1814" s="394" t="s">
        <v>5133</v>
      </c>
      <c r="N1814" s="277">
        <v>14113225</v>
      </c>
      <c r="O1814" s="478"/>
    </row>
    <row r="1815" spans="1:15" ht="78" customHeight="1" x14ac:dyDescent="0.35">
      <c r="A1815" s="319" t="s">
        <v>4204</v>
      </c>
      <c r="B1815" s="463" t="s">
        <v>1514</v>
      </c>
      <c r="C1815" s="442">
        <v>213</v>
      </c>
      <c r="D1815" s="442">
        <v>2101</v>
      </c>
      <c r="E1815" s="442" t="s">
        <v>25</v>
      </c>
      <c r="F1815" s="444" t="s">
        <v>2980</v>
      </c>
      <c r="G1815" s="442">
        <v>23030103</v>
      </c>
      <c r="H1815" s="442">
        <v>70950</v>
      </c>
      <c r="I1815" s="531">
        <v>50000010104</v>
      </c>
      <c r="J1815" s="277">
        <v>1205024.45</v>
      </c>
      <c r="K1815" s="627"/>
      <c r="L1815" s="394"/>
      <c r="M1815" s="394" t="s">
        <v>5133</v>
      </c>
      <c r="N1815" s="277">
        <v>1205024.45</v>
      </c>
      <c r="O1815" s="478"/>
    </row>
    <row r="1816" spans="1:15" ht="74.25" customHeight="1" x14ac:dyDescent="0.35">
      <c r="A1816" s="319" t="s">
        <v>4205</v>
      </c>
      <c r="B1816" s="463" t="s">
        <v>1515</v>
      </c>
      <c r="C1816" s="442" t="s">
        <v>1509</v>
      </c>
      <c r="D1816" s="442">
        <v>2101</v>
      </c>
      <c r="E1816" s="442" t="s">
        <v>25</v>
      </c>
      <c r="F1816" s="444" t="s">
        <v>2980</v>
      </c>
      <c r="G1816" s="442">
        <v>23030103</v>
      </c>
      <c r="H1816" s="442">
        <v>70912</v>
      </c>
      <c r="I1816" s="531">
        <v>50000010104</v>
      </c>
      <c r="J1816" s="277">
        <v>940881.69</v>
      </c>
      <c r="K1816" s="627"/>
      <c r="L1816" s="394"/>
      <c r="M1816" s="394" t="s">
        <v>5133</v>
      </c>
      <c r="N1816" s="277">
        <v>14113225</v>
      </c>
      <c r="O1816" s="478"/>
    </row>
    <row r="1817" spans="1:15" ht="67.5" customHeight="1" x14ac:dyDescent="0.35">
      <c r="A1817" s="319" t="s">
        <v>4206</v>
      </c>
      <c r="B1817" s="463" t="s">
        <v>1516</v>
      </c>
      <c r="C1817" s="442">
        <v>213</v>
      </c>
      <c r="D1817" s="442">
        <v>2101</v>
      </c>
      <c r="E1817" s="442" t="s">
        <v>25</v>
      </c>
      <c r="F1817" s="444" t="s">
        <v>62</v>
      </c>
      <c r="G1817" s="442">
        <v>32010601</v>
      </c>
      <c r="H1817" s="442">
        <v>70950</v>
      </c>
      <c r="I1817" s="531">
        <v>220000010106</v>
      </c>
      <c r="J1817" s="277">
        <v>1234949.45</v>
      </c>
      <c r="K1817" s="627"/>
      <c r="L1817" s="394"/>
      <c r="M1817" s="394" t="s">
        <v>5133</v>
      </c>
      <c r="N1817" s="277">
        <v>1234949.45</v>
      </c>
      <c r="O1817" s="478"/>
    </row>
    <row r="1818" spans="1:15" ht="62.25" customHeight="1" x14ac:dyDescent="0.35">
      <c r="A1818" s="319" t="s">
        <v>4207</v>
      </c>
      <c r="B1818" s="463" t="s">
        <v>1517</v>
      </c>
      <c r="C1818" s="442">
        <v>214</v>
      </c>
      <c r="D1818" s="442">
        <v>2101</v>
      </c>
      <c r="E1818" s="442" t="s">
        <v>25</v>
      </c>
      <c r="F1818" s="444" t="s">
        <v>62</v>
      </c>
      <c r="G1818" s="442">
        <v>32010601</v>
      </c>
      <c r="H1818" s="442">
        <v>70950</v>
      </c>
      <c r="I1818" s="531">
        <v>220000010106</v>
      </c>
      <c r="J1818" s="277">
        <v>1456493.29</v>
      </c>
      <c r="K1818" s="627"/>
      <c r="L1818" s="394"/>
      <c r="M1818" s="394" t="s">
        <v>5133</v>
      </c>
      <c r="N1818" s="277">
        <v>1456493.29</v>
      </c>
      <c r="O1818" s="478"/>
    </row>
    <row r="1819" spans="1:15" ht="74.25" customHeight="1" x14ac:dyDescent="0.35">
      <c r="A1819" s="319" t="s">
        <v>4208</v>
      </c>
      <c r="B1819" s="463" t="s">
        <v>1518</v>
      </c>
      <c r="C1819" s="442" t="s">
        <v>1513</v>
      </c>
      <c r="D1819" s="442">
        <v>2101</v>
      </c>
      <c r="E1819" s="442" t="s">
        <v>25</v>
      </c>
      <c r="F1819" s="444" t="s">
        <v>2980</v>
      </c>
      <c r="G1819" s="442">
        <v>23030103</v>
      </c>
      <c r="H1819" s="442">
        <v>70912</v>
      </c>
      <c r="I1819" s="531">
        <v>50000010104</v>
      </c>
      <c r="J1819" s="277">
        <v>47747213.049999997</v>
      </c>
      <c r="K1819" s="627"/>
      <c r="L1819" s="394"/>
      <c r="M1819" s="394" t="s">
        <v>5133</v>
      </c>
      <c r="N1819" s="277">
        <v>52531721</v>
      </c>
      <c r="O1819" s="478"/>
    </row>
    <row r="1820" spans="1:15" ht="81.75" customHeight="1" x14ac:dyDescent="0.35">
      <c r="A1820" s="319" t="s">
        <v>4209</v>
      </c>
      <c r="B1820" s="463" t="s">
        <v>1519</v>
      </c>
      <c r="C1820" s="442">
        <v>214</v>
      </c>
      <c r="D1820" s="442">
        <v>2101</v>
      </c>
      <c r="E1820" s="442" t="s">
        <v>25</v>
      </c>
      <c r="F1820" s="444" t="s">
        <v>2980</v>
      </c>
      <c r="G1820" s="442">
        <v>23030103</v>
      </c>
      <c r="H1820" s="442">
        <v>70912</v>
      </c>
      <c r="I1820" s="531">
        <v>50000010104</v>
      </c>
      <c r="J1820" s="277">
        <v>26265860.530000001</v>
      </c>
      <c r="K1820" s="627"/>
      <c r="L1820" s="394"/>
      <c r="M1820" s="394" t="s">
        <v>5133</v>
      </c>
      <c r="N1820" s="277">
        <v>26265860.530000001</v>
      </c>
      <c r="O1820" s="478"/>
    </row>
    <row r="1821" spans="1:15" ht="90" customHeight="1" x14ac:dyDescent="0.35">
      <c r="A1821" s="319" t="s">
        <v>4210</v>
      </c>
      <c r="B1821" s="463" t="s">
        <v>794</v>
      </c>
      <c r="C1821" s="442">
        <v>214</v>
      </c>
      <c r="D1821" s="442">
        <v>2101</v>
      </c>
      <c r="E1821" s="442" t="s">
        <v>25</v>
      </c>
      <c r="F1821" s="444" t="s">
        <v>2980</v>
      </c>
      <c r="G1821" s="442">
        <v>23030103</v>
      </c>
      <c r="H1821" s="442">
        <v>70950</v>
      </c>
      <c r="I1821" s="531">
        <v>50000010104</v>
      </c>
      <c r="J1821" s="277">
        <v>4921671.7300000004</v>
      </c>
      <c r="K1821" s="627"/>
      <c r="L1821" s="394"/>
      <c r="M1821" s="394" t="s">
        <v>5133</v>
      </c>
      <c r="N1821" s="277">
        <v>26265860.530000001</v>
      </c>
      <c r="O1821" s="478"/>
    </row>
    <row r="1822" spans="1:15" ht="69" customHeight="1" x14ac:dyDescent="0.35">
      <c r="A1822" s="319" t="s">
        <v>4211</v>
      </c>
      <c r="B1822" s="463" t="s">
        <v>1521</v>
      </c>
      <c r="C1822" s="442">
        <v>214</v>
      </c>
      <c r="D1822" s="442">
        <v>2101</v>
      </c>
      <c r="E1822" s="442" t="s">
        <v>25</v>
      </c>
      <c r="F1822" s="444" t="s">
        <v>2980</v>
      </c>
      <c r="G1822" s="442">
        <v>23030103</v>
      </c>
      <c r="H1822" s="442">
        <v>70950</v>
      </c>
      <c r="I1822" s="531">
        <v>50000010104</v>
      </c>
      <c r="J1822" s="277">
        <v>2426932.37</v>
      </c>
      <c r="K1822" s="627"/>
      <c r="L1822" s="394"/>
      <c r="M1822" s="394" t="s">
        <v>5133</v>
      </c>
      <c r="N1822" s="277">
        <v>26265860.530000001</v>
      </c>
      <c r="O1822" s="478"/>
    </row>
    <row r="1823" spans="1:15" ht="72.75" customHeight="1" x14ac:dyDescent="0.35">
      <c r="A1823" s="319" t="s">
        <v>4212</v>
      </c>
      <c r="B1823" s="463" t="s">
        <v>796</v>
      </c>
      <c r="C1823" s="442" t="s">
        <v>634</v>
      </c>
      <c r="D1823" s="442">
        <v>2101</v>
      </c>
      <c r="E1823" s="442" t="s">
        <v>25</v>
      </c>
      <c r="F1823" s="444" t="s">
        <v>2980</v>
      </c>
      <c r="G1823" s="442">
        <v>23030103</v>
      </c>
      <c r="H1823" s="442">
        <v>70950</v>
      </c>
      <c r="I1823" s="531">
        <v>50000010104</v>
      </c>
      <c r="J1823" s="277">
        <v>2426932.37</v>
      </c>
      <c r="K1823" s="627"/>
      <c r="L1823" s="394"/>
      <c r="M1823" s="394" t="s">
        <v>5133</v>
      </c>
      <c r="N1823" s="277">
        <v>32594215</v>
      </c>
      <c r="O1823" s="478"/>
    </row>
    <row r="1824" spans="1:15" ht="87.75" customHeight="1" x14ac:dyDescent="0.35">
      <c r="A1824" s="319" t="s">
        <v>4213</v>
      </c>
      <c r="B1824" s="463" t="s">
        <v>1522</v>
      </c>
      <c r="C1824" s="442" t="s">
        <v>634</v>
      </c>
      <c r="D1824" s="442">
        <v>2101</v>
      </c>
      <c r="E1824" s="442" t="s">
        <v>25</v>
      </c>
      <c r="F1824" s="444" t="s">
        <v>2980</v>
      </c>
      <c r="G1824" s="442">
        <v>23030103</v>
      </c>
      <c r="H1824" s="442">
        <v>70950</v>
      </c>
      <c r="I1824" s="531">
        <v>50000010104</v>
      </c>
      <c r="J1824" s="277">
        <v>14307734.23</v>
      </c>
      <c r="K1824" s="627"/>
      <c r="L1824" s="394"/>
      <c r="M1824" s="394" t="s">
        <v>5133</v>
      </c>
      <c r="N1824" s="277">
        <v>13709184</v>
      </c>
      <c r="O1824" s="478"/>
    </row>
    <row r="1825" spans="1:15" ht="84.75" customHeight="1" x14ac:dyDescent="0.35">
      <c r="A1825" s="319" t="s">
        <v>4214</v>
      </c>
      <c r="B1825" s="463" t="s">
        <v>1523</v>
      </c>
      <c r="C1825" s="442">
        <v>103</v>
      </c>
      <c r="D1825" s="442">
        <v>2101</v>
      </c>
      <c r="E1825" s="442" t="s">
        <v>25</v>
      </c>
      <c r="F1825" s="444" t="s">
        <v>2980</v>
      </c>
      <c r="G1825" s="442">
        <v>23030103</v>
      </c>
      <c r="H1825" s="442">
        <v>70950</v>
      </c>
      <c r="I1825" s="531">
        <v>50000010104</v>
      </c>
      <c r="J1825" s="277">
        <v>26265860.530000001</v>
      </c>
      <c r="K1825" s="627"/>
      <c r="L1825" s="394"/>
      <c r="M1825" s="394" t="s">
        <v>5133</v>
      </c>
      <c r="N1825" s="277">
        <v>26265860.530000001</v>
      </c>
      <c r="O1825" s="478"/>
    </row>
    <row r="1826" spans="1:15" ht="74.25" customHeight="1" x14ac:dyDescent="0.35">
      <c r="A1826" s="319" t="s">
        <v>4215</v>
      </c>
      <c r="B1826" s="463" t="s">
        <v>1524</v>
      </c>
      <c r="C1826" s="442" t="s">
        <v>1520</v>
      </c>
      <c r="D1826" s="442">
        <v>2101</v>
      </c>
      <c r="E1826" s="442" t="s">
        <v>25</v>
      </c>
      <c r="F1826" s="444" t="s">
        <v>2980</v>
      </c>
      <c r="G1826" s="442">
        <v>23030103</v>
      </c>
      <c r="H1826" s="442">
        <v>70912</v>
      </c>
      <c r="I1826" s="531">
        <v>50000010104</v>
      </c>
      <c r="J1826" s="277">
        <v>26265860.530000001</v>
      </c>
      <c r="K1826" s="627"/>
      <c r="L1826" s="394"/>
      <c r="M1826" s="394" t="s">
        <v>5133</v>
      </c>
      <c r="N1826" s="277">
        <v>26265860.530000001</v>
      </c>
      <c r="O1826" s="478"/>
    </row>
    <row r="1827" spans="1:15" ht="75.75" customHeight="1" x14ac:dyDescent="0.35">
      <c r="A1827" s="319" t="s">
        <v>4216</v>
      </c>
      <c r="B1827" s="463" t="s">
        <v>1525</v>
      </c>
      <c r="C1827" s="442" t="s">
        <v>795</v>
      </c>
      <c r="D1827" s="442">
        <v>2101</v>
      </c>
      <c r="E1827" s="442" t="s">
        <v>25</v>
      </c>
      <c r="F1827" s="444" t="s">
        <v>2980</v>
      </c>
      <c r="G1827" s="442">
        <v>23030103</v>
      </c>
      <c r="H1827" s="442">
        <v>70950</v>
      </c>
      <c r="I1827" s="531">
        <v>50000010104</v>
      </c>
      <c r="J1827" s="277">
        <v>22468278.949999999</v>
      </c>
      <c r="K1827" s="627"/>
      <c r="L1827" s="394"/>
      <c r="M1827" s="394" t="s">
        <v>5133</v>
      </c>
      <c r="N1827" s="277">
        <v>22468278.949999999</v>
      </c>
      <c r="O1827" s="478"/>
    </row>
    <row r="1828" spans="1:15" ht="82.5" customHeight="1" x14ac:dyDescent="0.35">
      <c r="A1828" s="319" t="s">
        <v>4217</v>
      </c>
      <c r="B1828" s="463" t="s">
        <v>1526</v>
      </c>
      <c r="C1828" s="442" t="s">
        <v>646</v>
      </c>
      <c r="D1828" s="442">
        <v>2101</v>
      </c>
      <c r="E1828" s="442" t="s">
        <v>25</v>
      </c>
      <c r="F1828" s="444" t="s">
        <v>2980</v>
      </c>
      <c r="G1828" s="442">
        <v>23030103</v>
      </c>
      <c r="H1828" s="442">
        <v>70950</v>
      </c>
      <c r="I1828" s="531">
        <v>50000010104</v>
      </c>
      <c r="J1828" s="277">
        <v>23177373.539999999</v>
      </c>
      <c r="K1828" s="627"/>
      <c r="L1828" s="394"/>
      <c r="M1828" s="394" t="s">
        <v>5133</v>
      </c>
      <c r="N1828" s="277">
        <v>37500000</v>
      </c>
      <c r="O1828" s="478"/>
    </row>
    <row r="1829" spans="1:15" ht="84.75" customHeight="1" x14ac:dyDescent="0.35">
      <c r="A1829" s="319" t="s">
        <v>4218</v>
      </c>
      <c r="B1829" s="463" t="s">
        <v>1527</v>
      </c>
      <c r="C1829" s="442">
        <v>105</v>
      </c>
      <c r="D1829" s="442">
        <v>2101</v>
      </c>
      <c r="E1829" s="442" t="s">
        <v>25</v>
      </c>
      <c r="F1829" s="444" t="s">
        <v>2980</v>
      </c>
      <c r="G1829" s="442">
        <v>23030103</v>
      </c>
      <c r="H1829" s="442">
        <v>70950</v>
      </c>
      <c r="I1829" s="531">
        <v>50000010104</v>
      </c>
      <c r="J1829" s="277">
        <v>4790139.43</v>
      </c>
      <c r="K1829" s="627"/>
      <c r="L1829" s="394"/>
      <c r="M1829" s="394" t="s">
        <v>5133</v>
      </c>
      <c r="N1829" s="277">
        <v>18249832</v>
      </c>
      <c r="O1829" s="478"/>
    </row>
    <row r="1830" spans="1:15" ht="72.75" customHeight="1" x14ac:dyDescent="0.35">
      <c r="A1830" s="319" t="s">
        <v>4219</v>
      </c>
      <c r="B1830" s="463" t="s">
        <v>1528</v>
      </c>
      <c r="C1830" s="442">
        <v>106</v>
      </c>
      <c r="D1830" s="442">
        <v>2101</v>
      </c>
      <c r="E1830" s="442" t="s">
        <v>25</v>
      </c>
      <c r="F1830" s="444" t="s">
        <v>2980</v>
      </c>
      <c r="G1830" s="442">
        <v>23030103</v>
      </c>
      <c r="H1830" s="442">
        <v>70912</v>
      </c>
      <c r="I1830" s="531">
        <v>50000010104</v>
      </c>
      <c r="J1830" s="277">
        <v>1216434.49</v>
      </c>
      <c r="K1830" s="627"/>
      <c r="L1830" s="394"/>
      <c r="M1830" s="394" t="s">
        <v>5133</v>
      </c>
      <c r="N1830" s="277">
        <v>1216434.49</v>
      </c>
      <c r="O1830" s="478"/>
    </row>
    <row r="1831" spans="1:15" ht="67.5" customHeight="1" x14ac:dyDescent="0.35">
      <c r="A1831" s="319" t="s">
        <v>4220</v>
      </c>
      <c r="B1831" s="463" t="s">
        <v>1529</v>
      </c>
      <c r="C1831" s="442">
        <v>106</v>
      </c>
      <c r="D1831" s="442">
        <v>2101</v>
      </c>
      <c r="E1831" s="442" t="s">
        <v>25</v>
      </c>
      <c r="F1831" s="444" t="s">
        <v>2980</v>
      </c>
      <c r="G1831" s="442">
        <v>23030103</v>
      </c>
      <c r="H1831" s="442">
        <v>70950</v>
      </c>
      <c r="I1831" s="531">
        <v>50000010104</v>
      </c>
      <c r="J1831" s="277">
        <v>828985.87</v>
      </c>
      <c r="K1831" s="627"/>
      <c r="L1831" s="394"/>
      <c r="M1831" s="394" t="s">
        <v>5133</v>
      </c>
      <c r="N1831" s="277">
        <v>828985.87</v>
      </c>
      <c r="O1831" s="478"/>
    </row>
    <row r="1832" spans="1:15" ht="76.5" customHeight="1" x14ac:dyDescent="0.35">
      <c r="A1832" s="319" t="s">
        <v>4221</v>
      </c>
      <c r="B1832" s="463" t="s">
        <v>1530</v>
      </c>
      <c r="C1832" s="442">
        <v>106</v>
      </c>
      <c r="D1832" s="442">
        <v>2101</v>
      </c>
      <c r="E1832" s="442" t="s">
        <v>25</v>
      </c>
      <c r="F1832" s="444" t="s">
        <v>2980</v>
      </c>
      <c r="G1832" s="442">
        <v>23030103</v>
      </c>
      <c r="H1832" s="442">
        <v>70950</v>
      </c>
      <c r="I1832" s="531">
        <v>50000010104</v>
      </c>
      <c r="J1832" s="277">
        <v>1668219.05</v>
      </c>
      <c r="K1832" s="627"/>
      <c r="L1832" s="394"/>
      <c r="M1832" s="394" t="s">
        <v>5133</v>
      </c>
      <c r="N1832" s="277">
        <v>1668219.05</v>
      </c>
      <c r="O1832" s="478"/>
    </row>
    <row r="1833" spans="1:15" ht="66" customHeight="1" x14ac:dyDescent="0.35">
      <c r="A1833" s="319" t="s">
        <v>4222</v>
      </c>
      <c r="B1833" s="463" t="s">
        <v>1531</v>
      </c>
      <c r="C1833" s="442">
        <v>106</v>
      </c>
      <c r="D1833" s="442">
        <v>2101</v>
      </c>
      <c r="E1833" s="442" t="s">
        <v>25</v>
      </c>
      <c r="F1833" s="444" t="s">
        <v>62</v>
      </c>
      <c r="G1833" s="442">
        <v>32010601</v>
      </c>
      <c r="H1833" s="442">
        <v>70950</v>
      </c>
      <c r="I1833" s="531">
        <v>220000010106</v>
      </c>
      <c r="J1833" s="277">
        <v>14113225.34</v>
      </c>
      <c r="K1833" s="627"/>
      <c r="L1833" s="394"/>
      <c r="M1833" s="394" t="s">
        <v>5133</v>
      </c>
      <c r="N1833" s="277">
        <v>14113225.34</v>
      </c>
      <c r="O1833" s="478"/>
    </row>
    <row r="1834" spans="1:15" ht="62.25" customHeight="1" x14ac:dyDescent="0.35">
      <c r="A1834" s="319" t="s">
        <v>4223</v>
      </c>
      <c r="B1834" s="463" t="s">
        <v>1532</v>
      </c>
      <c r="C1834" s="442">
        <v>107</v>
      </c>
      <c r="D1834" s="442">
        <v>2101</v>
      </c>
      <c r="E1834" s="442" t="s">
        <v>25</v>
      </c>
      <c r="F1834" s="444" t="s">
        <v>2980</v>
      </c>
      <c r="G1834" s="442">
        <v>23030103</v>
      </c>
      <c r="H1834" s="442">
        <v>70950</v>
      </c>
      <c r="I1834" s="531">
        <v>50000010104</v>
      </c>
      <c r="J1834" s="277">
        <v>15591183.109999999</v>
      </c>
      <c r="K1834" s="627"/>
      <c r="L1834" s="394"/>
      <c r="M1834" s="394" t="s">
        <v>5133</v>
      </c>
      <c r="N1834" s="277">
        <v>15591183.109999999</v>
      </c>
      <c r="O1834" s="478"/>
    </row>
    <row r="1835" spans="1:15" ht="82.5" customHeight="1" x14ac:dyDescent="0.35">
      <c r="A1835" s="319" t="s">
        <v>4224</v>
      </c>
      <c r="B1835" s="463" t="s">
        <v>1533</v>
      </c>
      <c r="C1835" s="442">
        <v>107</v>
      </c>
      <c r="D1835" s="442">
        <v>2101</v>
      </c>
      <c r="E1835" s="442" t="s">
        <v>25</v>
      </c>
      <c r="F1835" s="444" t="s">
        <v>2980</v>
      </c>
      <c r="G1835" s="442">
        <v>23030103</v>
      </c>
      <c r="H1835" s="442">
        <v>70950</v>
      </c>
      <c r="I1835" s="531">
        <v>50000010104</v>
      </c>
      <c r="J1835" s="277">
        <v>15289327.449999999</v>
      </c>
      <c r="K1835" s="627"/>
      <c r="L1835" s="394"/>
      <c r="M1835" s="394" t="s">
        <v>5133</v>
      </c>
      <c r="N1835" s="277">
        <v>15289327.449999999</v>
      </c>
      <c r="O1835" s="478"/>
    </row>
    <row r="1836" spans="1:15" ht="86.25" customHeight="1" x14ac:dyDescent="0.35">
      <c r="A1836" s="319" t="s">
        <v>4225</v>
      </c>
      <c r="B1836" s="463" t="s">
        <v>1534</v>
      </c>
      <c r="C1836" s="442" t="s">
        <v>485</v>
      </c>
      <c r="D1836" s="442">
        <v>2101</v>
      </c>
      <c r="E1836" s="442" t="s">
        <v>25</v>
      </c>
      <c r="F1836" s="444" t="s">
        <v>2980</v>
      </c>
      <c r="G1836" s="442">
        <v>23030103</v>
      </c>
      <c r="H1836" s="442">
        <v>70912</v>
      </c>
      <c r="I1836" s="531">
        <v>50000010104</v>
      </c>
      <c r="J1836" s="277">
        <v>26265860.530000001</v>
      </c>
      <c r="K1836" s="627"/>
      <c r="L1836" s="394"/>
      <c r="M1836" s="394" t="s">
        <v>5133</v>
      </c>
      <c r="N1836" s="277">
        <v>26265850.530000001</v>
      </c>
      <c r="O1836" s="478"/>
    </row>
    <row r="1837" spans="1:15" ht="63" customHeight="1" x14ac:dyDescent="0.35">
      <c r="A1837" s="319" t="s">
        <v>4226</v>
      </c>
      <c r="B1837" s="463" t="s">
        <v>1535</v>
      </c>
      <c r="C1837" s="442" t="s">
        <v>485</v>
      </c>
      <c r="D1837" s="442">
        <v>2101</v>
      </c>
      <c r="E1837" s="442" t="s">
        <v>25</v>
      </c>
      <c r="F1837" s="444" t="s">
        <v>2980</v>
      </c>
      <c r="G1837" s="442">
        <v>23030103</v>
      </c>
      <c r="H1837" s="442">
        <v>70912</v>
      </c>
      <c r="I1837" s="531">
        <v>50000010104</v>
      </c>
      <c r="J1837" s="277">
        <v>64000000</v>
      </c>
      <c r="K1837" s="627"/>
      <c r="L1837" s="394"/>
      <c r="M1837" s="394" t="s">
        <v>5133</v>
      </c>
      <c r="N1837" s="277">
        <v>48000000</v>
      </c>
      <c r="O1837" s="478"/>
    </row>
    <row r="1838" spans="1:15" ht="48.75" customHeight="1" x14ac:dyDescent="0.35">
      <c r="A1838" s="319" t="s">
        <v>4227</v>
      </c>
      <c r="B1838" s="463" t="s">
        <v>1536</v>
      </c>
      <c r="C1838" s="442" t="s">
        <v>485</v>
      </c>
      <c r="D1838" s="442">
        <v>2101</v>
      </c>
      <c r="E1838" s="442" t="s">
        <v>25</v>
      </c>
      <c r="F1838" s="444" t="s">
        <v>999</v>
      </c>
      <c r="G1838" s="442">
        <v>31050406</v>
      </c>
      <c r="H1838" s="442">
        <v>70912</v>
      </c>
      <c r="I1838" s="531">
        <v>50000010104</v>
      </c>
      <c r="J1838" s="277">
        <v>82265560.530000001</v>
      </c>
      <c r="K1838" s="627"/>
      <c r="L1838" s="394"/>
      <c r="M1838" s="394" t="s">
        <v>5133</v>
      </c>
      <c r="N1838" s="277">
        <v>82265560.530000001</v>
      </c>
      <c r="O1838" s="478"/>
    </row>
    <row r="1839" spans="1:15" ht="67.5" customHeight="1" x14ac:dyDescent="0.35">
      <c r="A1839" s="319" t="s">
        <v>4228</v>
      </c>
      <c r="B1839" s="463" t="s">
        <v>1537</v>
      </c>
      <c r="C1839" s="442" t="s">
        <v>485</v>
      </c>
      <c r="D1839" s="442">
        <v>2101</v>
      </c>
      <c r="E1839" s="442" t="s">
        <v>25</v>
      </c>
      <c r="F1839" s="444" t="s">
        <v>2980</v>
      </c>
      <c r="G1839" s="442">
        <v>23030103</v>
      </c>
      <c r="H1839" s="442">
        <v>70912</v>
      </c>
      <c r="I1839" s="531">
        <v>50000010104</v>
      </c>
      <c r="J1839" s="277">
        <v>24992500</v>
      </c>
      <c r="K1839" s="627"/>
      <c r="L1839" s="394"/>
      <c r="M1839" s="394" t="s">
        <v>5133</v>
      </c>
      <c r="N1839" s="277">
        <v>75000000</v>
      </c>
      <c r="O1839" s="478"/>
    </row>
    <row r="1840" spans="1:15" ht="75.75" customHeight="1" x14ac:dyDescent="0.35">
      <c r="A1840" s="319" t="s">
        <v>4229</v>
      </c>
      <c r="B1840" s="463" t="s">
        <v>1538</v>
      </c>
      <c r="C1840" s="442">
        <v>217</v>
      </c>
      <c r="D1840" s="442">
        <v>2101</v>
      </c>
      <c r="E1840" s="442" t="s">
        <v>25</v>
      </c>
      <c r="F1840" s="444" t="s">
        <v>62</v>
      </c>
      <c r="G1840" s="442">
        <v>32010601</v>
      </c>
      <c r="H1840" s="442">
        <v>70950</v>
      </c>
      <c r="I1840" s="531">
        <v>220000010106</v>
      </c>
      <c r="J1840" s="277">
        <v>75000000</v>
      </c>
      <c r="K1840" s="627"/>
      <c r="L1840" s="394"/>
      <c r="M1840" s="394" t="s">
        <v>5133</v>
      </c>
      <c r="N1840" s="277">
        <v>75000000</v>
      </c>
      <c r="O1840" s="478"/>
    </row>
    <row r="1841" spans="1:16" ht="67.5" customHeight="1" x14ac:dyDescent="0.35">
      <c r="A1841" s="319" t="s">
        <v>4230</v>
      </c>
      <c r="B1841" s="463" t="s">
        <v>1539</v>
      </c>
      <c r="C1841" s="442" t="s">
        <v>641</v>
      </c>
      <c r="D1841" s="442">
        <v>2101</v>
      </c>
      <c r="E1841" s="442" t="s">
        <v>25</v>
      </c>
      <c r="F1841" s="444" t="s">
        <v>2980</v>
      </c>
      <c r="G1841" s="442">
        <v>23030103</v>
      </c>
      <c r="H1841" s="442">
        <v>70950</v>
      </c>
      <c r="I1841" s="531">
        <v>50000010104</v>
      </c>
      <c r="J1841" s="277">
        <v>16444094.210000001</v>
      </c>
      <c r="K1841" s="627"/>
      <c r="L1841" s="394"/>
      <c r="M1841" s="394" t="s">
        <v>5133</v>
      </c>
      <c r="N1841" s="277">
        <v>16444094.210000001</v>
      </c>
      <c r="O1841" s="478"/>
    </row>
    <row r="1842" spans="1:16" ht="79.5" customHeight="1" x14ac:dyDescent="0.35">
      <c r="A1842" s="319" t="s">
        <v>4231</v>
      </c>
      <c r="B1842" s="463" t="s">
        <v>1541</v>
      </c>
      <c r="C1842" s="442">
        <v>108</v>
      </c>
      <c r="D1842" s="442">
        <v>2101</v>
      </c>
      <c r="E1842" s="442" t="s">
        <v>25</v>
      </c>
      <c r="F1842" s="444" t="s">
        <v>2980</v>
      </c>
      <c r="G1842" s="442">
        <v>23030103</v>
      </c>
      <c r="H1842" s="442">
        <v>70912</v>
      </c>
      <c r="I1842" s="531">
        <v>50000010104</v>
      </c>
      <c r="J1842" s="277">
        <v>21079530.739999998</v>
      </c>
      <c r="K1842" s="627"/>
      <c r="L1842" s="394"/>
      <c r="M1842" s="394" t="s">
        <v>5133</v>
      </c>
      <c r="N1842" s="277">
        <v>21079530.739999998</v>
      </c>
      <c r="O1842" s="478"/>
    </row>
    <row r="1843" spans="1:16" ht="132" customHeight="1" x14ac:dyDescent="0.35">
      <c r="A1843" s="319" t="s">
        <v>4232</v>
      </c>
      <c r="B1843" s="463" t="s">
        <v>3452</v>
      </c>
      <c r="C1843" s="442">
        <v>108</v>
      </c>
      <c r="D1843" s="442">
        <v>2101</v>
      </c>
      <c r="E1843" s="442" t="s">
        <v>25</v>
      </c>
      <c r="F1843" s="444" t="s">
        <v>62</v>
      </c>
      <c r="G1843" s="442">
        <v>32010601</v>
      </c>
      <c r="H1843" s="442">
        <v>70950</v>
      </c>
      <c r="I1843" s="531">
        <v>220000010106</v>
      </c>
      <c r="J1843" s="277">
        <v>73500000</v>
      </c>
      <c r="K1843" s="627"/>
      <c r="L1843" s="394"/>
      <c r="M1843" s="394" t="s">
        <v>5133</v>
      </c>
      <c r="N1843" s="149"/>
      <c r="O1843" s="478"/>
    </row>
    <row r="1844" spans="1:16" ht="69.75" customHeight="1" x14ac:dyDescent="0.35">
      <c r="A1844" s="319" t="s">
        <v>4233</v>
      </c>
      <c r="B1844" s="463" t="s">
        <v>4889</v>
      </c>
      <c r="C1844" s="442">
        <v>324</v>
      </c>
      <c r="D1844" s="442">
        <v>2101</v>
      </c>
      <c r="E1844" s="442" t="s">
        <v>25</v>
      </c>
      <c r="F1844" s="444" t="s">
        <v>62</v>
      </c>
      <c r="G1844" s="442">
        <v>32010601</v>
      </c>
      <c r="H1844" s="442">
        <v>70950</v>
      </c>
      <c r="I1844" s="531">
        <v>220000010106</v>
      </c>
      <c r="J1844" s="277">
        <v>29250000</v>
      </c>
      <c r="K1844" s="627"/>
      <c r="L1844" s="394"/>
      <c r="M1844" s="394" t="s">
        <v>5133</v>
      </c>
      <c r="N1844" s="149"/>
      <c r="O1844" s="478"/>
    </row>
    <row r="1845" spans="1:16" ht="43.5" customHeight="1" x14ac:dyDescent="0.35">
      <c r="A1845" s="319" t="s">
        <v>4234</v>
      </c>
      <c r="B1845" s="463" t="s">
        <v>1542</v>
      </c>
      <c r="C1845" s="442">
        <v>325</v>
      </c>
      <c r="D1845" s="442">
        <v>2101</v>
      </c>
      <c r="E1845" s="442" t="s">
        <v>25</v>
      </c>
      <c r="F1845" s="444" t="s">
        <v>62</v>
      </c>
      <c r="G1845" s="442">
        <v>32010601</v>
      </c>
      <c r="H1845" s="442">
        <v>70950</v>
      </c>
      <c r="I1845" s="531">
        <v>220000010106</v>
      </c>
      <c r="J1845" s="277">
        <v>37000000</v>
      </c>
      <c r="K1845" s="627"/>
      <c r="L1845" s="394"/>
      <c r="M1845" s="394" t="s">
        <v>5133</v>
      </c>
      <c r="N1845" s="149"/>
      <c r="O1845" s="478"/>
    </row>
    <row r="1846" spans="1:16" ht="85.5" customHeight="1" x14ac:dyDescent="0.35">
      <c r="A1846" s="319" t="s">
        <v>4235</v>
      </c>
      <c r="B1846" s="463" t="s">
        <v>1543</v>
      </c>
      <c r="C1846" s="442">
        <v>323</v>
      </c>
      <c r="D1846" s="442">
        <v>2101</v>
      </c>
      <c r="E1846" s="442" t="s">
        <v>25</v>
      </c>
      <c r="F1846" s="444" t="s">
        <v>62</v>
      </c>
      <c r="G1846" s="442">
        <v>32010601</v>
      </c>
      <c r="H1846" s="442">
        <v>70950</v>
      </c>
      <c r="I1846" s="531">
        <v>220000010106</v>
      </c>
      <c r="J1846" s="277">
        <v>20817029.23</v>
      </c>
      <c r="K1846" s="627"/>
      <c r="L1846" s="394"/>
      <c r="M1846" s="394" t="s">
        <v>5133</v>
      </c>
      <c r="N1846" s="149"/>
      <c r="O1846" s="478"/>
    </row>
    <row r="1847" spans="1:16" ht="86.25" customHeight="1" x14ac:dyDescent="0.35">
      <c r="A1847" s="319" t="s">
        <v>4236</v>
      </c>
      <c r="B1847" s="463" t="s">
        <v>1544</v>
      </c>
      <c r="C1847" s="442" t="s">
        <v>1540</v>
      </c>
      <c r="D1847" s="442">
        <v>2101</v>
      </c>
      <c r="E1847" s="442" t="s">
        <v>25</v>
      </c>
      <c r="F1847" s="444" t="s">
        <v>2980</v>
      </c>
      <c r="G1847" s="442">
        <v>23030103</v>
      </c>
      <c r="H1847" s="442">
        <v>70950</v>
      </c>
      <c r="I1847" s="531">
        <v>50000010104</v>
      </c>
      <c r="J1847" s="277">
        <v>40828141.579999998</v>
      </c>
      <c r="K1847" s="627"/>
      <c r="L1847" s="394"/>
      <c r="M1847" s="394" t="s">
        <v>5133</v>
      </c>
      <c r="N1847" s="149"/>
      <c r="O1847" s="478"/>
    </row>
    <row r="1848" spans="1:16" ht="150.75" customHeight="1" x14ac:dyDescent="0.35">
      <c r="A1848" s="319" t="s">
        <v>4237</v>
      </c>
      <c r="B1848" s="463" t="s">
        <v>1545</v>
      </c>
      <c r="C1848" s="442" t="s">
        <v>1540</v>
      </c>
      <c r="D1848" s="442">
        <v>2101</v>
      </c>
      <c r="E1848" s="442" t="s">
        <v>25</v>
      </c>
      <c r="F1848" s="444" t="s">
        <v>2980</v>
      </c>
      <c r="G1848" s="442">
        <v>23030103</v>
      </c>
      <c r="H1848" s="442">
        <v>70950</v>
      </c>
      <c r="I1848" s="531">
        <v>50000010104</v>
      </c>
      <c r="J1848" s="277">
        <v>74400000</v>
      </c>
      <c r="K1848" s="627"/>
      <c r="L1848" s="394"/>
      <c r="M1848" s="394" t="s">
        <v>5133</v>
      </c>
      <c r="N1848" s="277"/>
      <c r="O1848" s="478"/>
      <c r="P1848" s="437" t="s">
        <v>1999</v>
      </c>
    </row>
    <row r="1849" spans="1:16" ht="113.25" customHeight="1" x14ac:dyDescent="0.35">
      <c r="A1849" s="319" t="s">
        <v>4238</v>
      </c>
      <c r="B1849" s="463" t="s">
        <v>1546</v>
      </c>
      <c r="C1849" s="442">
        <v>51021000</v>
      </c>
      <c r="D1849" s="442">
        <v>2101</v>
      </c>
      <c r="E1849" s="442" t="s">
        <v>25</v>
      </c>
      <c r="F1849" s="444" t="s">
        <v>2980</v>
      </c>
      <c r="G1849" s="442">
        <v>23030103</v>
      </c>
      <c r="H1849" s="442">
        <v>70950</v>
      </c>
      <c r="I1849" s="531">
        <v>50000010104</v>
      </c>
      <c r="J1849" s="277">
        <v>39792589.649999999</v>
      </c>
      <c r="K1849" s="627"/>
      <c r="L1849" s="394"/>
      <c r="M1849" s="394" t="s">
        <v>5133</v>
      </c>
      <c r="N1849" s="149"/>
      <c r="O1849" s="478"/>
    </row>
    <row r="1850" spans="1:16" ht="150.75" customHeight="1" x14ac:dyDescent="0.35">
      <c r="A1850" s="319" t="s">
        <v>4239</v>
      </c>
      <c r="B1850" s="463" t="s">
        <v>3453</v>
      </c>
      <c r="C1850" s="442">
        <v>51031800</v>
      </c>
      <c r="D1850" s="442">
        <v>2101</v>
      </c>
      <c r="E1850" s="442" t="s">
        <v>25</v>
      </c>
      <c r="F1850" s="444" t="s">
        <v>999</v>
      </c>
      <c r="G1850" s="442">
        <v>31050406</v>
      </c>
      <c r="H1850" s="442">
        <v>70950</v>
      </c>
      <c r="I1850" s="531">
        <v>50000010104</v>
      </c>
      <c r="J1850" s="277">
        <v>51342571.68</v>
      </c>
      <c r="K1850" s="627"/>
      <c r="L1850" s="394"/>
      <c r="M1850" s="394" t="s">
        <v>5133</v>
      </c>
      <c r="N1850" s="149"/>
      <c r="O1850" s="478"/>
    </row>
    <row r="1851" spans="1:16" ht="216" customHeight="1" x14ac:dyDescent="0.35">
      <c r="A1851" s="319" t="s">
        <v>4240</v>
      </c>
      <c r="B1851" s="463" t="s">
        <v>3454</v>
      </c>
      <c r="C1851" s="442">
        <v>51031800</v>
      </c>
      <c r="D1851" s="442">
        <v>2101</v>
      </c>
      <c r="E1851" s="442" t="s">
        <v>25</v>
      </c>
      <c r="F1851" s="444" t="s">
        <v>2980</v>
      </c>
      <c r="G1851" s="442">
        <v>23030103</v>
      </c>
      <c r="H1851" s="442">
        <v>70950</v>
      </c>
      <c r="I1851" s="531">
        <v>50000010104</v>
      </c>
      <c r="J1851" s="277">
        <v>74967037.090000004</v>
      </c>
      <c r="K1851" s="627"/>
      <c r="L1851" s="394"/>
      <c r="M1851" s="394" t="s">
        <v>5133</v>
      </c>
      <c r="N1851" s="149"/>
      <c r="O1851" s="478"/>
    </row>
    <row r="1852" spans="1:16" ht="82.5" customHeight="1" x14ac:dyDescent="0.35">
      <c r="A1852" s="319" t="s">
        <v>4241</v>
      </c>
      <c r="B1852" s="463" t="s">
        <v>1547</v>
      </c>
      <c r="C1852" s="442">
        <v>51031900</v>
      </c>
      <c r="D1852" s="442">
        <v>2101</v>
      </c>
      <c r="E1852" s="442" t="s">
        <v>25</v>
      </c>
      <c r="F1852" s="444" t="s">
        <v>2980</v>
      </c>
      <c r="G1852" s="442">
        <v>23030103</v>
      </c>
      <c r="H1852" s="442">
        <v>70950</v>
      </c>
      <c r="I1852" s="531">
        <v>50000010104</v>
      </c>
      <c r="J1852" s="277">
        <v>24688405.5</v>
      </c>
      <c r="K1852" s="627"/>
      <c r="L1852" s="394"/>
      <c r="M1852" s="394" t="s">
        <v>5133</v>
      </c>
      <c r="N1852" s="277"/>
      <c r="O1852" s="478"/>
    </row>
    <row r="1853" spans="1:16" ht="264" customHeight="1" x14ac:dyDescent="0.35">
      <c r="A1853" s="319" t="s">
        <v>4242</v>
      </c>
      <c r="B1853" s="463" t="s">
        <v>3455</v>
      </c>
      <c r="C1853" s="442">
        <v>51010200</v>
      </c>
      <c r="D1853" s="442">
        <v>2101</v>
      </c>
      <c r="E1853" s="442" t="s">
        <v>25</v>
      </c>
      <c r="F1853" s="444" t="s">
        <v>2980</v>
      </c>
      <c r="G1853" s="442">
        <v>23030103</v>
      </c>
      <c r="H1853" s="442">
        <v>70950</v>
      </c>
      <c r="I1853" s="531">
        <v>50000010104</v>
      </c>
      <c r="J1853" s="277">
        <v>38760519.670000002</v>
      </c>
      <c r="K1853" s="627"/>
      <c r="L1853" s="394"/>
      <c r="M1853" s="394" t="s">
        <v>5133</v>
      </c>
      <c r="N1853" s="277"/>
      <c r="O1853" s="478"/>
    </row>
    <row r="1854" spans="1:16" ht="69.75" customHeight="1" x14ac:dyDescent="0.35">
      <c r="A1854" s="319" t="s">
        <v>4243</v>
      </c>
      <c r="B1854" s="463" t="s">
        <v>1548</v>
      </c>
      <c r="C1854" s="442">
        <v>51021100</v>
      </c>
      <c r="D1854" s="442">
        <v>2101</v>
      </c>
      <c r="E1854" s="442" t="s">
        <v>25</v>
      </c>
      <c r="F1854" s="444" t="s">
        <v>999</v>
      </c>
      <c r="G1854" s="442">
        <v>31050406</v>
      </c>
      <c r="H1854" s="442">
        <v>70950</v>
      </c>
      <c r="I1854" s="531">
        <v>50000010104</v>
      </c>
      <c r="J1854" s="277">
        <v>2534852.33</v>
      </c>
      <c r="K1854" s="627"/>
      <c r="L1854" s="394"/>
      <c r="M1854" s="394" t="s">
        <v>5133</v>
      </c>
      <c r="N1854" s="277"/>
      <c r="O1854" s="478"/>
    </row>
    <row r="1855" spans="1:16" ht="92.25" customHeight="1" x14ac:dyDescent="0.35">
      <c r="A1855" s="319" t="s">
        <v>4244</v>
      </c>
      <c r="B1855" s="463" t="s">
        <v>1549</v>
      </c>
      <c r="C1855" s="442">
        <v>51021100</v>
      </c>
      <c r="D1855" s="442">
        <v>2101</v>
      </c>
      <c r="E1855" s="442" t="s">
        <v>25</v>
      </c>
      <c r="F1855" s="444" t="s">
        <v>999</v>
      </c>
      <c r="G1855" s="442">
        <v>31050406</v>
      </c>
      <c r="H1855" s="442">
        <v>70950</v>
      </c>
      <c r="I1855" s="531">
        <v>50000010104</v>
      </c>
      <c r="J1855" s="277">
        <v>29720639.25</v>
      </c>
      <c r="K1855" s="627"/>
      <c r="L1855" s="394"/>
      <c r="M1855" s="394" t="s">
        <v>5133</v>
      </c>
      <c r="N1855" s="277"/>
      <c r="O1855" s="478">
        <v>1880000000</v>
      </c>
    </row>
    <row r="1856" spans="1:16" ht="135" customHeight="1" x14ac:dyDescent="0.35">
      <c r="A1856" s="319" t="s">
        <v>4245</v>
      </c>
      <c r="B1856" s="463" t="s">
        <v>3456</v>
      </c>
      <c r="C1856" s="442">
        <v>51032100</v>
      </c>
      <c r="D1856" s="442">
        <v>2101</v>
      </c>
      <c r="E1856" s="442" t="s">
        <v>25</v>
      </c>
      <c r="F1856" s="444" t="s">
        <v>2980</v>
      </c>
      <c r="G1856" s="442">
        <v>23030103</v>
      </c>
      <c r="H1856" s="442">
        <v>70912</v>
      </c>
      <c r="I1856" s="531">
        <v>50000010104</v>
      </c>
      <c r="J1856" s="277">
        <v>95802380.969999999</v>
      </c>
      <c r="K1856" s="627"/>
      <c r="L1856" s="394"/>
      <c r="M1856" s="394" t="s">
        <v>5133</v>
      </c>
      <c r="N1856" s="277"/>
      <c r="O1856" s="478">
        <f>O1855-200000000</f>
        <v>1680000000</v>
      </c>
    </row>
    <row r="1857" spans="1:15" ht="130.5" customHeight="1" x14ac:dyDescent="0.35">
      <c r="A1857" s="319" t="s">
        <v>4246</v>
      </c>
      <c r="B1857" s="463" t="s">
        <v>1550</v>
      </c>
      <c r="C1857" s="442">
        <v>51032100</v>
      </c>
      <c r="D1857" s="442">
        <v>2101</v>
      </c>
      <c r="E1857" s="442" t="s">
        <v>25</v>
      </c>
      <c r="F1857" s="444" t="s">
        <v>2980</v>
      </c>
      <c r="G1857" s="442">
        <v>23030103</v>
      </c>
      <c r="H1857" s="442">
        <v>70912</v>
      </c>
      <c r="I1857" s="531">
        <v>50000010104</v>
      </c>
      <c r="J1857" s="277">
        <v>44250000</v>
      </c>
      <c r="K1857" s="627"/>
      <c r="L1857" s="394"/>
      <c r="M1857" s="394" t="s">
        <v>5133</v>
      </c>
      <c r="N1857" s="277"/>
      <c r="O1857" s="478">
        <f>O1855+O1856</f>
        <v>3560000000</v>
      </c>
    </row>
    <row r="1858" spans="1:15" ht="87.75" customHeight="1" x14ac:dyDescent="0.35">
      <c r="A1858" s="319" t="s">
        <v>4247</v>
      </c>
      <c r="B1858" s="463" t="s">
        <v>1551</v>
      </c>
      <c r="C1858" s="442">
        <v>51021400</v>
      </c>
      <c r="D1858" s="442">
        <v>2101</v>
      </c>
      <c r="E1858" s="442" t="s">
        <v>25</v>
      </c>
      <c r="F1858" s="444" t="s">
        <v>2980</v>
      </c>
      <c r="G1858" s="442">
        <v>23030103</v>
      </c>
      <c r="H1858" s="442">
        <v>70950</v>
      </c>
      <c r="I1858" s="531">
        <v>50000010104</v>
      </c>
      <c r="J1858" s="277">
        <v>2923008</v>
      </c>
      <c r="K1858" s="627"/>
      <c r="L1858" s="394"/>
      <c r="M1858" s="394" t="s">
        <v>5133</v>
      </c>
      <c r="N1858" s="277"/>
      <c r="O1858" s="478"/>
    </row>
    <row r="1859" spans="1:15" ht="62.25" customHeight="1" x14ac:dyDescent="0.35">
      <c r="A1859" s="319" t="s">
        <v>4248</v>
      </c>
      <c r="B1859" s="463" t="s">
        <v>1552</v>
      </c>
      <c r="C1859" s="442">
        <v>51021400</v>
      </c>
      <c r="D1859" s="442">
        <v>2101</v>
      </c>
      <c r="E1859" s="442" t="s">
        <v>25</v>
      </c>
      <c r="F1859" s="444" t="s">
        <v>999</v>
      </c>
      <c r="G1859" s="442">
        <v>31050406</v>
      </c>
      <c r="H1859" s="442">
        <v>70912</v>
      </c>
      <c r="I1859" s="531">
        <v>50000010104</v>
      </c>
      <c r="J1859" s="277">
        <v>16851178.600000001</v>
      </c>
      <c r="K1859" s="627"/>
      <c r="L1859" s="394"/>
      <c r="M1859" s="394" t="s">
        <v>5133</v>
      </c>
      <c r="N1859" s="277"/>
      <c r="O1859" s="478"/>
    </row>
    <row r="1860" spans="1:15" ht="132" customHeight="1" x14ac:dyDescent="0.35">
      <c r="A1860" s="319" t="s">
        <v>4249</v>
      </c>
      <c r="B1860" s="463" t="s">
        <v>1553</v>
      </c>
      <c r="C1860" s="442">
        <v>51021400</v>
      </c>
      <c r="D1860" s="442">
        <v>2101</v>
      </c>
      <c r="E1860" s="442" t="s">
        <v>25</v>
      </c>
      <c r="F1860" s="444" t="s">
        <v>999</v>
      </c>
      <c r="G1860" s="442">
        <v>31050406</v>
      </c>
      <c r="H1860" s="442">
        <v>70912</v>
      </c>
      <c r="I1860" s="531">
        <v>50000010104</v>
      </c>
      <c r="J1860" s="277">
        <v>81000000</v>
      </c>
      <c r="K1860" s="627"/>
      <c r="L1860" s="394"/>
      <c r="M1860" s="394" t="s">
        <v>5133</v>
      </c>
      <c r="N1860" s="277"/>
      <c r="O1860" s="478"/>
    </row>
    <row r="1861" spans="1:15" ht="90.75" customHeight="1" x14ac:dyDescent="0.35">
      <c r="A1861" s="319" t="s">
        <v>4250</v>
      </c>
      <c r="B1861" s="463" t="s">
        <v>1554</v>
      </c>
      <c r="C1861" s="442">
        <v>51021400</v>
      </c>
      <c r="D1861" s="442">
        <v>2101</v>
      </c>
      <c r="E1861" s="442" t="s">
        <v>25</v>
      </c>
      <c r="F1861" s="444" t="s">
        <v>2980</v>
      </c>
      <c r="G1861" s="442">
        <v>23030103</v>
      </c>
      <c r="H1861" s="442">
        <v>70912</v>
      </c>
      <c r="I1861" s="531">
        <v>50000010104</v>
      </c>
      <c r="J1861" s="277">
        <v>24625000</v>
      </c>
      <c r="K1861" s="627"/>
      <c r="L1861" s="394"/>
      <c r="M1861" s="394" t="s">
        <v>5133</v>
      </c>
      <c r="N1861" s="277"/>
      <c r="O1861" s="478"/>
    </row>
    <row r="1862" spans="1:15" ht="248.25" customHeight="1" x14ac:dyDescent="0.35">
      <c r="A1862" s="319" t="s">
        <v>4251</v>
      </c>
      <c r="B1862" s="463" t="s">
        <v>3457</v>
      </c>
      <c r="C1862" s="442">
        <v>51010300</v>
      </c>
      <c r="D1862" s="442">
        <v>2101</v>
      </c>
      <c r="E1862" s="442" t="s">
        <v>25</v>
      </c>
      <c r="F1862" s="444" t="s">
        <v>2980</v>
      </c>
      <c r="G1862" s="442">
        <v>23030103</v>
      </c>
      <c r="H1862" s="442">
        <v>70950</v>
      </c>
      <c r="I1862" s="531">
        <v>50000010104</v>
      </c>
      <c r="J1862" s="277">
        <v>74983141.650000006</v>
      </c>
      <c r="K1862" s="627"/>
      <c r="L1862" s="394"/>
      <c r="M1862" s="394" t="s">
        <v>5133</v>
      </c>
      <c r="N1862" s="277">
        <v>74983141.650000006</v>
      </c>
      <c r="O1862" s="478"/>
    </row>
    <row r="1863" spans="1:15" ht="99" customHeight="1" x14ac:dyDescent="0.35">
      <c r="A1863" s="319" t="s">
        <v>4252</v>
      </c>
      <c r="B1863" s="463" t="s">
        <v>1555</v>
      </c>
      <c r="C1863" s="442">
        <v>51010300</v>
      </c>
      <c r="D1863" s="442">
        <v>2101</v>
      </c>
      <c r="E1863" s="442" t="s">
        <v>25</v>
      </c>
      <c r="F1863" s="444" t="s">
        <v>2980</v>
      </c>
      <c r="G1863" s="442">
        <v>23030103</v>
      </c>
      <c r="H1863" s="442">
        <v>70950</v>
      </c>
      <c r="I1863" s="531">
        <v>50000010104</v>
      </c>
      <c r="J1863" s="277">
        <v>40936265.119999997</v>
      </c>
      <c r="K1863" s="627"/>
      <c r="L1863" s="394"/>
      <c r="M1863" s="394" t="s">
        <v>5133</v>
      </c>
      <c r="N1863" s="277">
        <v>55814913</v>
      </c>
      <c r="O1863" s="478"/>
    </row>
    <row r="1864" spans="1:15" ht="84.75" customHeight="1" x14ac:dyDescent="0.35">
      <c r="A1864" s="319" t="s">
        <v>4253</v>
      </c>
      <c r="B1864" s="463" t="s">
        <v>1556</v>
      </c>
      <c r="C1864" s="442">
        <v>51010300</v>
      </c>
      <c r="D1864" s="442">
        <v>2101</v>
      </c>
      <c r="E1864" s="442" t="s">
        <v>25</v>
      </c>
      <c r="F1864" s="444" t="s">
        <v>999</v>
      </c>
      <c r="G1864" s="442">
        <v>31050406</v>
      </c>
      <c r="H1864" s="442">
        <v>70950</v>
      </c>
      <c r="I1864" s="531">
        <v>50000010104</v>
      </c>
      <c r="J1864" s="277">
        <v>57227252.799999997</v>
      </c>
      <c r="K1864" s="627"/>
      <c r="L1864" s="394"/>
      <c r="M1864" s="394" t="s">
        <v>5133</v>
      </c>
      <c r="N1864" s="149"/>
      <c r="O1864" s="478"/>
    </row>
    <row r="1865" spans="1:15" ht="117.75" customHeight="1" x14ac:dyDescent="0.35">
      <c r="A1865" s="319" t="s">
        <v>4254</v>
      </c>
      <c r="B1865" s="463" t="s">
        <v>798</v>
      </c>
      <c r="C1865" s="442">
        <v>51021500</v>
      </c>
      <c r="D1865" s="442">
        <v>2101</v>
      </c>
      <c r="E1865" s="442" t="s">
        <v>25</v>
      </c>
      <c r="F1865" s="444" t="s">
        <v>2980</v>
      </c>
      <c r="G1865" s="442">
        <v>23030103</v>
      </c>
      <c r="H1865" s="442">
        <v>70950</v>
      </c>
      <c r="I1865" s="531">
        <v>50000010104</v>
      </c>
      <c r="J1865" s="277">
        <v>36017754.299999997</v>
      </c>
      <c r="K1865" s="627"/>
      <c r="L1865" s="394"/>
      <c r="M1865" s="394" t="s">
        <v>5133</v>
      </c>
      <c r="N1865" s="277">
        <v>58135542</v>
      </c>
      <c r="O1865" s="478"/>
    </row>
    <row r="1866" spans="1:15" ht="89.25" customHeight="1" x14ac:dyDescent="0.35">
      <c r="A1866" s="319" t="s">
        <v>4255</v>
      </c>
      <c r="B1866" s="463" t="s">
        <v>1557</v>
      </c>
      <c r="C1866" s="442">
        <v>51021500</v>
      </c>
      <c r="D1866" s="442">
        <v>2101</v>
      </c>
      <c r="E1866" s="442" t="s">
        <v>25</v>
      </c>
      <c r="F1866" s="444" t="s">
        <v>2980</v>
      </c>
      <c r="G1866" s="442">
        <v>23030103</v>
      </c>
      <c r="H1866" s="442">
        <v>70912</v>
      </c>
      <c r="I1866" s="531">
        <v>50000010104</v>
      </c>
      <c r="J1866" s="277">
        <v>27322434</v>
      </c>
      <c r="K1866" s="627"/>
      <c r="L1866" s="394"/>
      <c r="M1866" s="394" t="s">
        <v>5133</v>
      </c>
      <c r="N1866" s="149"/>
      <c r="O1866" s="478"/>
    </row>
    <row r="1867" spans="1:15" ht="112.5" customHeight="1" x14ac:dyDescent="0.35">
      <c r="A1867" s="319" t="s">
        <v>4256</v>
      </c>
      <c r="B1867" s="463" t="s">
        <v>1558</v>
      </c>
      <c r="C1867" s="442">
        <v>51021600</v>
      </c>
      <c r="D1867" s="442">
        <v>2101</v>
      </c>
      <c r="E1867" s="442" t="s">
        <v>25</v>
      </c>
      <c r="F1867" s="444" t="s">
        <v>2980</v>
      </c>
      <c r="G1867" s="442">
        <v>23030103</v>
      </c>
      <c r="H1867" s="442">
        <v>70950</v>
      </c>
      <c r="I1867" s="531">
        <v>50000010104</v>
      </c>
      <c r="J1867" s="277">
        <v>26781233.190000001</v>
      </c>
      <c r="K1867" s="627"/>
      <c r="L1867" s="394"/>
      <c r="M1867" s="394" t="s">
        <v>5133</v>
      </c>
      <c r="N1867" s="277">
        <v>73500000</v>
      </c>
      <c r="O1867" s="478"/>
    </row>
    <row r="1868" spans="1:15" ht="72.75" customHeight="1" x14ac:dyDescent="0.35">
      <c r="A1868" s="319" t="s">
        <v>4257</v>
      </c>
      <c r="B1868" s="463" t="s">
        <v>1559</v>
      </c>
      <c r="C1868" s="442">
        <v>51032200</v>
      </c>
      <c r="D1868" s="442">
        <v>2101</v>
      </c>
      <c r="E1868" s="442" t="s">
        <v>25</v>
      </c>
      <c r="F1868" s="444" t="s">
        <v>999</v>
      </c>
      <c r="G1868" s="442">
        <v>31050406</v>
      </c>
      <c r="H1868" s="442">
        <v>70912</v>
      </c>
      <c r="I1868" s="531">
        <v>50000010104</v>
      </c>
      <c r="J1868" s="277">
        <v>13897505.92</v>
      </c>
      <c r="K1868" s="627"/>
      <c r="L1868" s="394"/>
      <c r="M1868" s="394" t="s">
        <v>5133</v>
      </c>
      <c r="N1868" s="277">
        <v>8338504</v>
      </c>
      <c r="O1868" s="478"/>
    </row>
    <row r="1869" spans="1:15" ht="63.75" customHeight="1" x14ac:dyDescent="0.35">
      <c r="A1869" s="319" t="s">
        <v>4258</v>
      </c>
      <c r="B1869" s="463" t="s">
        <v>1560</v>
      </c>
      <c r="C1869" s="442">
        <v>51032200</v>
      </c>
      <c r="D1869" s="442">
        <v>2101</v>
      </c>
      <c r="E1869" s="442" t="s">
        <v>25</v>
      </c>
      <c r="F1869" s="444" t="s">
        <v>999</v>
      </c>
      <c r="G1869" s="442">
        <v>31050406</v>
      </c>
      <c r="H1869" s="442">
        <v>70950</v>
      </c>
      <c r="I1869" s="531">
        <v>50000010104</v>
      </c>
      <c r="J1869" s="277">
        <v>18677392.32</v>
      </c>
      <c r="K1869" s="627"/>
      <c r="L1869" s="394"/>
      <c r="M1869" s="394" t="s">
        <v>5133</v>
      </c>
      <c r="N1869" s="277">
        <v>14941914</v>
      </c>
      <c r="O1869" s="478"/>
    </row>
    <row r="1870" spans="1:15" ht="108" customHeight="1" x14ac:dyDescent="0.35">
      <c r="A1870" s="319" t="s">
        <v>4259</v>
      </c>
      <c r="B1870" s="463" t="s">
        <v>1561</v>
      </c>
      <c r="C1870" s="442">
        <v>51032200</v>
      </c>
      <c r="D1870" s="442">
        <v>2101</v>
      </c>
      <c r="E1870" s="442" t="s">
        <v>25</v>
      </c>
      <c r="F1870" s="444" t="s">
        <v>999</v>
      </c>
      <c r="G1870" s="442">
        <v>31050406</v>
      </c>
      <c r="H1870" s="442">
        <v>70950</v>
      </c>
      <c r="I1870" s="531">
        <v>50000010104</v>
      </c>
      <c r="J1870" s="277">
        <v>73500000</v>
      </c>
      <c r="K1870" s="627"/>
      <c r="L1870" s="394"/>
      <c r="M1870" s="394" t="s">
        <v>5133</v>
      </c>
      <c r="N1870" s="277">
        <v>44100000</v>
      </c>
      <c r="O1870" s="478"/>
    </row>
    <row r="1871" spans="1:15" ht="85.5" customHeight="1" x14ac:dyDescent="0.35">
      <c r="A1871" s="319" t="s">
        <v>4260</v>
      </c>
      <c r="B1871" s="463" t="s">
        <v>1562</v>
      </c>
      <c r="C1871" s="442">
        <v>51010400</v>
      </c>
      <c r="D1871" s="442">
        <v>2101</v>
      </c>
      <c r="E1871" s="442" t="s">
        <v>25</v>
      </c>
      <c r="F1871" s="444" t="s">
        <v>999</v>
      </c>
      <c r="G1871" s="442">
        <v>31050406</v>
      </c>
      <c r="H1871" s="442">
        <v>70912</v>
      </c>
      <c r="I1871" s="531">
        <v>50000010104</v>
      </c>
      <c r="J1871" s="277">
        <v>20317057.030000001</v>
      </c>
      <c r="K1871" s="627"/>
      <c r="L1871" s="394"/>
      <c r="M1871" s="394" t="s">
        <v>5133</v>
      </c>
      <c r="N1871" s="277">
        <v>16253646</v>
      </c>
      <c r="O1871" s="478"/>
    </row>
    <row r="1872" spans="1:15" ht="118.5" customHeight="1" x14ac:dyDescent="0.35">
      <c r="A1872" s="319" t="s">
        <v>4261</v>
      </c>
      <c r="B1872" s="463" t="s">
        <v>1563</v>
      </c>
      <c r="C1872" s="442">
        <v>51010600</v>
      </c>
      <c r="D1872" s="442">
        <v>2101</v>
      </c>
      <c r="E1872" s="442" t="s">
        <v>25</v>
      </c>
      <c r="F1872" s="444" t="s">
        <v>62</v>
      </c>
      <c r="G1872" s="442">
        <v>32010601</v>
      </c>
      <c r="H1872" s="442">
        <v>70950</v>
      </c>
      <c r="I1872" s="531">
        <v>220000010106</v>
      </c>
      <c r="J1872" s="277">
        <v>54178818.75</v>
      </c>
      <c r="K1872" s="627"/>
      <c r="L1872" s="394"/>
      <c r="M1872" s="394" t="s">
        <v>5133</v>
      </c>
      <c r="N1872" s="277">
        <v>37894763</v>
      </c>
      <c r="O1872" s="478"/>
    </row>
    <row r="1873" spans="1:15" ht="108.75" customHeight="1" x14ac:dyDescent="0.35">
      <c r="A1873" s="319" t="s">
        <v>4262</v>
      </c>
      <c r="B1873" s="463" t="s">
        <v>1564</v>
      </c>
      <c r="C1873" s="442">
        <v>51010600</v>
      </c>
      <c r="D1873" s="442">
        <v>2101</v>
      </c>
      <c r="E1873" s="442" t="s">
        <v>25</v>
      </c>
      <c r="F1873" s="444" t="s">
        <v>2980</v>
      </c>
      <c r="G1873" s="442">
        <v>23030103</v>
      </c>
      <c r="H1873" s="442">
        <v>70950</v>
      </c>
      <c r="I1873" s="531">
        <v>50000010104</v>
      </c>
      <c r="J1873" s="277">
        <v>74625000</v>
      </c>
      <c r="K1873" s="627"/>
      <c r="L1873" s="394"/>
      <c r="M1873" s="394" t="s">
        <v>5133</v>
      </c>
      <c r="N1873" s="277">
        <v>59700000</v>
      </c>
      <c r="O1873" s="478"/>
    </row>
    <row r="1874" spans="1:15" ht="63" customHeight="1" x14ac:dyDescent="0.35">
      <c r="A1874" s="319" t="s">
        <v>4263</v>
      </c>
      <c r="B1874" s="463" t="s">
        <v>1565</v>
      </c>
      <c r="C1874" s="442">
        <v>51010800</v>
      </c>
      <c r="D1874" s="442">
        <v>2101</v>
      </c>
      <c r="E1874" s="442" t="s">
        <v>25</v>
      </c>
      <c r="F1874" s="444" t="s">
        <v>999</v>
      </c>
      <c r="G1874" s="442">
        <v>31050406</v>
      </c>
      <c r="H1874" s="442">
        <v>70950</v>
      </c>
      <c r="I1874" s="531">
        <v>50000010104</v>
      </c>
      <c r="J1874" s="277">
        <v>36375000</v>
      </c>
      <c r="K1874" s="627"/>
      <c r="L1874" s="394"/>
      <c r="M1874" s="394" t="s">
        <v>5133</v>
      </c>
      <c r="N1874" s="277">
        <v>21825000</v>
      </c>
      <c r="O1874" s="478"/>
    </row>
    <row r="1875" spans="1:15" ht="103.5" customHeight="1" x14ac:dyDescent="0.35">
      <c r="A1875" s="319" t="s">
        <v>4264</v>
      </c>
      <c r="B1875" s="463" t="s">
        <v>1566</v>
      </c>
      <c r="C1875" s="442">
        <v>51010800</v>
      </c>
      <c r="D1875" s="442">
        <v>2101</v>
      </c>
      <c r="E1875" s="442" t="s">
        <v>25</v>
      </c>
      <c r="F1875" s="444" t="s">
        <v>999</v>
      </c>
      <c r="G1875" s="442">
        <v>31050406</v>
      </c>
      <c r="H1875" s="442">
        <v>70950</v>
      </c>
      <c r="I1875" s="531">
        <v>50000010104</v>
      </c>
      <c r="J1875" s="277">
        <v>33600000</v>
      </c>
      <c r="K1875" s="627"/>
      <c r="L1875" s="394"/>
      <c r="M1875" s="394" t="s">
        <v>5133</v>
      </c>
      <c r="N1875" s="277">
        <v>20160000</v>
      </c>
      <c r="O1875" s="478"/>
    </row>
    <row r="1876" spans="1:15" ht="68.25" customHeight="1" x14ac:dyDescent="0.35">
      <c r="A1876" s="319" t="s">
        <v>4265</v>
      </c>
      <c r="B1876" s="463" t="s">
        <v>1567</v>
      </c>
      <c r="C1876" s="442">
        <v>51010800</v>
      </c>
      <c r="D1876" s="442">
        <v>2101</v>
      </c>
      <c r="E1876" s="442" t="s">
        <v>25</v>
      </c>
      <c r="F1876" s="444" t="s">
        <v>2980</v>
      </c>
      <c r="G1876" s="442">
        <v>23030103</v>
      </c>
      <c r="H1876" s="442">
        <v>70912</v>
      </c>
      <c r="I1876" s="531">
        <v>50000010104</v>
      </c>
      <c r="J1876" s="277">
        <v>74985026.959999993</v>
      </c>
      <c r="K1876" s="627"/>
      <c r="L1876" s="394"/>
      <c r="M1876" s="394" t="s">
        <v>5133</v>
      </c>
      <c r="N1876" s="277">
        <v>44991016</v>
      </c>
      <c r="O1876" s="478"/>
    </row>
    <row r="1877" spans="1:15" ht="81.75" customHeight="1" x14ac:dyDescent="0.35">
      <c r="A1877" s="319" t="s">
        <v>4266</v>
      </c>
      <c r="B1877" s="463" t="s">
        <v>1568</v>
      </c>
      <c r="C1877" s="442">
        <v>51032400</v>
      </c>
      <c r="D1877" s="442">
        <v>2101</v>
      </c>
      <c r="E1877" s="442" t="s">
        <v>25</v>
      </c>
      <c r="F1877" s="444" t="s">
        <v>2980</v>
      </c>
      <c r="G1877" s="442">
        <v>23030103</v>
      </c>
      <c r="H1877" s="442">
        <v>70912</v>
      </c>
      <c r="I1877" s="531">
        <v>50000010104</v>
      </c>
      <c r="J1877" s="277">
        <v>62250000</v>
      </c>
      <c r="K1877" s="627"/>
      <c r="L1877" s="394"/>
      <c r="M1877" s="394" t="s">
        <v>5133</v>
      </c>
      <c r="N1877" s="277">
        <v>37350000</v>
      </c>
      <c r="O1877" s="478"/>
    </row>
    <row r="1878" spans="1:15" ht="101.25" customHeight="1" x14ac:dyDescent="0.35">
      <c r="A1878" s="319" t="s">
        <v>4267</v>
      </c>
      <c r="B1878" s="463" t="s">
        <v>1569</v>
      </c>
      <c r="C1878" s="442">
        <v>51032400</v>
      </c>
      <c r="D1878" s="442">
        <v>2101</v>
      </c>
      <c r="E1878" s="442" t="s">
        <v>25</v>
      </c>
      <c r="F1878" s="444" t="s">
        <v>2980</v>
      </c>
      <c r="G1878" s="442">
        <v>23030103</v>
      </c>
      <c r="H1878" s="442">
        <v>70912</v>
      </c>
      <c r="I1878" s="531">
        <v>50000010104</v>
      </c>
      <c r="J1878" s="277">
        <v>43182420.560000002</v>
      </c>
      <c r="K1878" s="627"/>
      <c r="L1878" s="394"/>
      <c r="M1878" s="394" t="s">
        <v>5133</v>
      </c>
      <c r="N1878" s="277"/>
      <c r="O1878" s="478"/>
    </row>
    <row r="1879" spans="1:15" ht="99.75" customHeight="1" x14ac:dyDescent="0.35">
      <c r="A1879" s="319" t="s">
        <v>4268</v>
      </c>
      <c r="B1879" s="463" t="s">
        <v>1570</v>
      </c>
      <c r="C1879" s="442">
        <v>51032500</v>
      </c>
      <c r="D1879" s="442">
        <v>2101</v>
      </c>
      <c r="E1879" s="442" t="s">
        <v>25</v>
      </c>
      <c r="F1879" s="444" t="s">
        <v>2980</v>
      </c>
      <c r="G1879" s="442">
        <v>23030103</v>
      </c>
      <c r="H1879" s="442">
        <v>70912</v>
      </c>
      <c r="I1879" s="531">
        <v>50000010104</v>
      </c>
      <c r="J1879" s="277">
        <v>11386842.18</v>
      </c>
      <c r="K1879" s="627"/>
      <c r="L1879" s="394"/>
      <c r="M1879" s="394" t="s">
        <v>5133</v>
      </c>
      <c r="N1879" s="277"/>
      <c r="O1879" s="478"/>
    </row>
    <row r="1880" spans="1:15" ht="73.5" customHeight="1" x14ac:dyDescent="0.35">
      <c r="A1880" s="319" t="s">
        <v>4269</v>
      </c>
      <c r="B1880" s="463" t="s">
        <v>1571</v>
      </c>
      <c r="C1880" s="442">
        <v>51032300</v>
      </c>
      <c r="D1880" s="442">
        <v>2101</v>
      </c>
      <c r="E1880" s="442" t="s">
        <v>25</v>
      </c>
      <c r="F1880" s="444" t="s">
        <v>2980</v>
      </c>
      <c r="G1880" s="442">
        <v>23030103</v>
      </c>
      <c r="H1880" s="442">
        <v>70912</v>
      </c>
      <c r="I1880" s="531">
        <v>50000010104</v>
      </c>
      <c r="J1880" s="277">
        <v>6126930.8200000003</v>
      </c>
      <c r="K1880" s="627"/>
      <c r="L1880" s="394"/>
      <c r="M1880" s="394" t="s">
        <v>5133</v>
      </c>
      <c r="N1880" s="277"/>
      <c r="O1880" s="478"/>
    </row>
    <row r="1881" spans="1:15" ht="78.75" customHeight="1" x14ac:dyDescent="0.35">
      <c r="A1881" s="319" t="s">
        <v>4270</v>
      </c>
      <c r="B1881" s="463" t="s">
        <v>1572</v>
      </c>
      <c r="C1881" s="442">
        <v>51032300</v>
      </c>
      <c r="D1881" s="442">
        <v>2101</v>
      </c>
      <c r="E1881" s="442" t="s">
        <v>25</v>
      </c>
      <c r="F1881" s="444" t="s">
        <v>999</v>
      </c>
      <c r="G1881" s="442">
        <v>31050406</v>
      </c>
      <c r="H1881" s="442">
        <v>70912</v>
      </c>
      <c r="I1881" s="531">
        <v>50000010104</v>
      </c>
      <c r="J1881" s="277">
        <v>5500000</v>
      </c>
      <c r="K1881" s="627"/>
      <c r="L1881" s="394"/>
      <c r="M1881" s="394" t="s">
        <v>5133</v>
      </c>
      <c r="N1881" s="277">
        <v>97365477</v>
      </c>
      <c r="O1881" s="478"/>
    </row>
    <row r="1882" spans="1:15" ht="103.5" customHeight="1" x14ac:dyDescent="0.35">
      <c r="A1882" s="319" t="s">
        <v>4271</v>
      </c>
      <c r="B1882" s="463" t="s">
        <v>1573</v>
      </c>
      <c r="C1882" s="442">
        <v>51032300</v>
      </c>
      <c r="D1882" s="442">
        <v>2101</v>
      </c>
      <c r="E1882" s="442" t="s">
        <v>25</v>
      </c>
      <c r="F1882" s="444" t="s">
        <v>999</v>
      </c>
      <c r="G1882" s="442">
        <v>31050406</v>
      </c>
      <c r="H1882" s="442">
        <v>70912</v>
      </c>
      <c r="I1882" s="531">
        <v>50000010104</v>
      </c>
      <c r="J1882" s="277">
        <v>6242757.7100000009</v>
      </c>
      <c r="K1882" s="627"/>
      <c r="L1882" s="394"/>
      <c r="M1882" s="394" t="s">
        <v>5133</v>
      </c>
      <c r="N1882" s="277"/>
      <c r="O1882" s="478"/>
    </row>
    <row r="1883" spans="1:15" ht="215.25" customHeight="1" x14ac:dyDescent="0.35">
      <c r="A1883" s="319" t="s">
        <v>4272</v>
      </c>
      <c r="B1883" s="463" t="s">
        <v>1574</v>
      </c>
      <c r="C1883" s="442">
        <v>51032300</v>
      </c>
      <c r="D1883" s="442">
        <v>2101</v>
      </c>
      <c r="E1883" s="442" t="s">
        <v>25</v>
      </c>
      <c r="F1883" s="444" t="s">
        <v>2980</v>
      </c>
      <c r="G1883" s="442">
        <v>23030103</v>
      </c>
      <c r="H1883" s="442">
        <v>70950</v>
      </c>
      <c r="I1883" s="531">
        <v>50000010104</v>
      </c>
      <c r="J1883" s="277">
        <v>2497223.14</v>
      </c>
      <c r="K1883" s="627"/>
      <c r="L1883" s="394"/>
      <c r="M1883" s="394" t="s">
        <v>5133</v>
      </c>
      <c r="N1883" s="277"/>
      <c r="O1883" s="478"/>
    </row>
    <row r="1884" spans="1:15" ht="116.25" customHeight="1" x14ac:dyDescent="0.35">
      <c r="A1884" s="319" t="s">
        <v>4273</v>
      </c>
      <c r="B1884" s="463" t="s">
        <v>3458</v>
      </c>
      <c r="C1884" s="442">
        <v>51010200</v>
      </c>
      <c r="D1884" s="442">
        <v>2101</v>
      </c>
      <c r="E1884" s="442" t="s">
        <v>25</v>
      </c>
      <c r="F1884" s="444" t="s">
        <v>2980</v>
      </c>
      <c r="G1884" s="442">
        <v>23030103</v>
      </c>
      <c r="H1884" s="442">
        <v>70950</v>
      </c>
      <c r="I1884" s="531">
        <v>50000010104</v>
      </c>
      <c r="J1884" s="277">
        <v>3399038.370000001</v>
      </c>
      <c r="K1884" s="627"/>
      <c r="L1884" s="394"/>
      <c r="M1884" s="394" t="s">
        <v>5133</v>
      </c>
      <c r="N1884" s="277"/>
      <c r="O1884" s="478"/>
    </row>
    <row r="1885" spans="1:15" ht="210.75" customHeight="1" x14ac:dyDescent="0.35">
      <c r="A1885" s="319" t="s">
        <v>4274</v>
      </c>
      <c r="B1885" s="463" t="s">
        <v>1575</v>
      </c>
      <c r="C1885" s="442" t="s">
        <v>490</v>
      </c>
      <c r="D1885" s="442" t="s">
        <v>4</v>
      </c>
      <c r="E1885" s="442" t="s">
        <v>25</v>
      </c>
      <c r="F1885" s="442" t="s">
        <v>999</v>
      </c>
      <c r="G1885" s="442" t="s">
        <v>999</v>
      </c>
      <c r="H1885" s="442">
        <v>70950</v>
      </c>
      <c r="I1885" s="531">
        <v>50000010104</v>
      </c>
      <c r="J1885" s="277">
        <v>23866770.215</v>
      </c>
      <c r="K1885" s="627"/>
      <c r="L1885" s="394"/>
      <c r="M1885" s="394" t="s">
        <v>5133</v>
      </c>
      <c r="N1885" s="277"/>
      <c r="O1885" s="478"/>
    </row>
    <row r="1886" spans="1:15" ht="75.75" customHeight="1" x14ac:dyDescent="0.35">
      <c r="A1886" s="319" t="s">
        <v>4275</v>
      </c>
      <c r="B1886" s="463" t="s">
        <v>1576</v>
      </c>
      <c r="C1886" s="442" t="s">
        <v>490</v>
      </c>
      <c r="D1886" s="442" t="s">
        <v>4</v>
      </c>
      <c r="E1886" s="442" t="s">
        <v>25</v>
      </c>
      <c r="F1886" s="442" t="s">
        <v>999</v>
      </c>
      <c r="G1886" s="442" t="s">
        <v>999</v>
      </c>
      <c r="H1886" s="442">
        <v>70950</v>
      </c>
      <c r="I1886" s="531">
        <v>50000010104</v>
      </c>
      <c r="J1886" s="277">
        <v>1214188.7599999998</v>
      </c>
      <c r="K1886" s="627"/>
      <c r="L1886" s="394"/>
      <c r="M1886" s="394" t="s">
        <v>5133</v>
      </c>
      <c r="N1886" s="277">
        <v>9909118</v>
      </c>
      <c r="O1886" s="478"/>
    </row>
    <row r="1887" spans="1:15" ht="110.25" customHeight="1" x14ac:dyDescent="0.35">
      <c r="A1887" s="319" t="s">
        <v>4276</v>
      </c>
      <c r="B1887" s="463" t="s">
        <v>1577</v>
      </c>
      <c r="C1887" s="442" t="s">
        <v>490</v>
      </c>
      <c r="D1887" s="442" t="s">
        <v>4</v>
      </c>
      <c r="E1887" s="442" t="s">
        <v>25</v>
      </c>
      <c r="F1887" s="442" t="s">
        <v>999</v>
      </c>
      <c r="G1887" s="442" t="s">
        <v>999</v>
      </c>
      <c r="H1887" s="442">
        <v>70950</v>
      </c>
      <c r="I1887" s="531">
        <v>50000010104</v>
      </c>
      <c r="J1887" s="277">
        <v>18375000</v>
      </c>
      <c r="K1887" s="627"/>
      <c r="L1887" s="394"/>
      <c r="M1887" s="394" t="s">
        <v>5133</v>
      </c>
      <c r="N1887" s="277"/>
      <c r="O1887" s="478"/>
    </row>
    <row r="1888" spans="1:15" ht="60" customHeight="1" x14ac:dyDescent="0.35">
      <c r="A1888" s="319" t="s">
        <v>4277</v>
      </c>
      <c r="B1888" s="463" t="s">
        <v>1578</v>
      </c>
      <c r="C1888" s="442" t="s">
        <v>490</v>
      </c>
      <c r="D1888" s="442" t="s">
        <v>4</v>
      </c>
      <c r="E1888" s="442" t="s">
        <v>25</v>
      </c>
      <c r="F1888" s="442" t="s">
        <v>999</v>
      </c>
      <c r="G1888" s="442" t="s">
        <v>999</v>
      </c>
      <c r="H1888" s="442">
        <v>70950</v>
      </c>
      <c r="I1888" s="531">
        <v>50000010104</v>
      </c>
      <c r="J1888" s="277">
        <v>29177786.524999999</v>
      </c>
      <c r="K1888" s="627"/>
      <c r="L1888" s="394"/>
      <c r="M1888" s="394" t="s">
        <v>5133</v>
      </c>
      <c r="N1888" s="277"/>
      <c r="O1888" s="478"/>
    </row>
    <row r="1889" spans="1:15" ht="67.5" customHeight="1" x14ac:dyDescent="0.35">
      <c r="A1889" s="319" t="s">
        <v>4278</v>
      </c>
      <c r="B1889" s="463" t="s">
        <v>802</v>
      </c>
      <c r="C1889" s="442" t="s">
        <v>490</v>
      </c>
      <c r="D1889" s="442" t="s">
        <v>4</v>
      </c>
      <c r="E1889" s="442" t="s">
        <v>25</v>
      </c>
      <c r="F1889" s="442" t="s">
        <v>522</v>
      </c>
      <c r="G1889" s="442" t="s">
        <v>522</v>
      </c>
      <c r="H1889" s="442">
        <v>70950</v>
      </c>
      <c r="I1889" s="531">
        <v>50000010104</v>
      </c>
      <c r="J1889" s="277">
        <v>8981500</v>
      </c>
      <c r="K1889" s="627"/>
      <c r="L1889" s="394"/>
      <c r="M1889" s="394" t="s">
        <v>5133</v>
      </c>
      <c r="N1889" s="277">
        <v>7185200</v>
      </c>
      <c r="O1889" s="478"/>
    </row>
    <row r="1890" spans="1:15" ht="252" customHeight="1" x14ac:dyDescent="0.35">
      <c r="A1890" s="319" t="s">
        <v>4279</v>
      </c>
      <c r="B1890" s="463" t="s">
        <v>3466</v>
      </c>
      <c r="C1890" s="442" t="s">
        <v>793</v>
      </c>
      <c r="D1890" s="442" t="s">
        <v>4</v>
      </c>
      <c r="E1890" s="442" t="s">
        <v>25</v>
      </c>
      <c r="F1890" s="442" t="s">
        <v>999</v>
      </c>
      <c r="G1890" s="442" t="s">
        <v>999</v>
      </c>
      <c r="H1890" s="442">
        <v>70912</v>
      </c>
      <c r="I1890" s="531">
        <v>50000010104</v>
      </c>
      <c r="J1890" s="277">
        <v>49592083.460000001</v>
      </c>
      <c r="K1890" s="627"/>
      <c r="L1890" s="394"/>
      <c r="M1890" s="394" t="s">
        <v>5133</v>
      </c>
      <c r="N1890" s="277">
        <v>39673667</v>
      </c>
      <c r="O1890" s="478"/>
    </row>
    <row r="1891" spans="1:15" ht="124.5" customHeight="1" x14ac:dyDescent="0.35">
      <c r="A1891" s="319" t="s">
        <v>4280</v>
      </c>
      <c r="B1891" s="463" t="s">
        <v>3459</v>
      </c>
      <c r="C1891" s="442" t="s">
        <v>407</v>
      </c>
      <c r="D1891" s="442" t="s">
        <v>4</v>
      </c>
      <c r="E1891" s="442" t="s">
        <v>25</v>
      </c>
      <c r="F1891" s="442" t="s">
        <v>522</v>
      </c>
      <c r="G1891" s="442" t="s">
        <v>522</v>
      </c>
      <c r="H1891" s="442">
        <v>70950</v>
      </c>
      <c r="I1891" s="531">
        <v>50000010104</v>
      </c>
      <c r="J1891" s="277">
        <v>25085350</v>
      </c>
      <c r="K1891" s="627"/>
      <c r="L1891" s="394"/>
      <c r="M1891" s="394" t="s">
        <v>5133</v>
      </c>
      <c r="N1891" s="277">
        <v>20068280</v>
      </c>
      <c r="O1891" s="478"/>
    </row>
    <row r="1892" spans="1:15" ht="105.75" customHeight="1" x14ac:dyDescent="0.35">
      <c r="A1892" s="319" t="s">
        <v>4281</v>
      </c>
      <c r="B1892" s="463" t="s">
        <v>1579</v>
      </c>
      <c r="C1892" s="442" t="s">
        <v>811</v>
      </c>
      <c r="D1892" s="442" t="s">
        <v>4</v>
      </c>
      <c r="E1892" s="442" t="s">
        <v>25</v>
      </c>
      <c r="F1892" s="442" t="s">
        <v>999</v>
      </c>
      <c r="G1892" s="442" t="s">
        <v>999</v>
      </c>
      <c r="H1892" s="442">
        <v>70950</v>
      </c>
      <c r="I1892" s="531">
        <v>50000010104</v>
      </c>
      <c r="J1892" s="277">
        <v>24733470.559999999</v>
      </c>
      <c r="K1892" s="627"/>
      <c r="L1892" s="394"/>
      <c r="M1892" s="394" t="s">
        <v>5133</v>
      </c>
      <c r="N1892" s="277"/>
      <c r="O1892" s="478"/>
    </row>
    <row r="1893" spans="1:15" ht="122.25" customHeight="1" x14ac:dyDescent="0.35">
      <c r="A1893" s="319" t="s">
        <v>4282</v>
      </c>
      <c r="B1893" s="463" t="s">
        <v>1581</v>
      </c>
      <c r="C1893" s="442" t="s">
        <v>793</v>
      </c>
      <c r="D1893" s="442" t="s">
        <v>4</v>
      </c>
      <c r="E1893" s="442" t="s">
        <v>25</v>
      </c>
      <c r="F1893" s="442" t="s">
        <v>522</v>
      </c>
      <c r="G1893" s="442" t="s">
        <v>522</v>
      </c>
      <c r="H1893" s="442">
        <v>70950</v>
      </c>
      <c r="I1893" s="531">
        <v>50000010104</v>
      </c>
      <c r="J1893" s="277">
        <v>39584500</v>
      </c>
      <c r="K1893" s="627"/>
      <c r="L1893" s="394"/>
      <c r="M1893" s="394" t="s">
        <v>5133</v>
      </c>
      <c r="N1893" s="149"/>
      <c r="O1893" s="478"/>
    </row>
    <row r="1894" spans="1:15" ht="87.75" customHeight="1" x14ac:dyDescent="0.35">
      <c r="A1894" s="319" t="s">
        <v>4283</v>
      </c>
      <c r="B1894" s="463" t="s">
        <v>1582</v>
      </c>
      <c r="C1894" s="442" t="s">
        <v>623</v>
      </c>
      <c r="D1894" s="442" t="s">
        <v>4</v>
      </c>
      <c r="E1894" s="442" t="s">
        <v>25</v>
      </c>
      <c r="F1894" s="442" t="s">
        <v>62</v>
      </c>
      <c r="G1894" s="442" t="s">
        <v>62</v>
      </c>
      <c r="H1894" s="442">
        <v>70950</v>
      </c>
      <c r="I1894" s="531">
        <v>220000010106</v>
      </c>
      <c r="J1894" s="277">
        <v>11754331.23</v>
      </c>
      <c r="K1894" s="627"/>
      <c r="L1894" s="394"/>
      <c r="M1894" s="394" t="s">
        <v>5133</v>
      </c>
      <c r="N1894" s="149"/>
      <c r="O1894" s="478"/>
    </row>
    <row r="1895" spans="1:15" ht="102" customHeight="1" x14ac:dyDescent="0.35">
      <c r="A1895" s="319" t="s">
        <v>4284</v>
      </c>
      <c r="B1895" s="463" t="s">
        <v>1583</v>
      </c>
      <c r="C1895" s="442" t="s">
        <v>191</v>
      </c>
      <c r="D1895" s="442" t="s">
        <v>4</v>
      </c>
      <c r="E1895" s="442" t="s">
        <v>25</v>
      </c>
      <c r="F1895" s="442" t="s">
        <v>522</v>
      </c>
      <c r="G1895" s="442" t="s">
        <v>522</v>
      </c>
      <c r="H1895" s="442">
        <v>70950</v>
      </c>
      <c r="I1895" s="531">
        <v>50000010104</v>
      </c>
      <c r="J1895" s="277">
        <v>19972565.66</v>
      </c>
      <c r="K1895" s="627"/>
      <c r="L1895" s="394"/>
      <c r="M1895" s="394" t="s">
        <v>5133</v>
      </c>
      <c r="N1895" s="149"/>
      <c r="O1895" s="478"/>
    </row>
    <row r="1896" spans="1:15" ht="121.5" customHeight="1" x14ac:dyDescent="0.35">
      <c r="A1896" s="319" t="s">
        <v>4285</v>
      </c>
      <c r="B1896" s="463" t="s">
        <v>1585</v>
      </c>
      <c r="C1896" s="442" t="s">
        <v>623</v>
      </c>
      <c r="D1896" s="442" t="s">
        <v>4</v>
      </c>
      <c r="E1896" s="442" t="s">
        <v>25</v>
      </c>
      <c r="F1896" s="442" t="s">
        <v>522</v>
      </c>
      <c r="G1896" s="442" t="s">
        <v>522</v>
      </c>
      <c r="H1896" s="442">
        <v>70950</v>
      </c>
      <c r="I1896" s="531">
        <v>50000010104</v>
      </c>
      <c r="J1896" s="277">
        <v>23974500</v>
      </c>
      <c r="K1896" s="627"/>
      <c r="L1896" s="394"/>
      <c r="M1896" s="394" t="s">
        <v>5133</v>
      </c>
      <c r="N1896" s="149"/>
      <c r="O1896" s="478"/>
    </row>
    <row r="1897" spans="1:15" ht="62.25" customHeight="1" x14ac:dyDescent="0.35">
      <c r="A1897" s="319" t="s">
        <v>4286</v>
      </c>
      <c r="B1897" s="463" t="s">
        <v>1588</v>
      </c>
      <c r="C1897" s="442" t="s">
        <v>1580</v>
      </c>
      <c r="D1897" s="442" t="s">
        <v>4</v>
      </c>
      <c r="E1897" s="442" t="s">
        <v>25</v>
      </c>
      <c r="F1897" s="442" t="s">
        <v>999</v>
      </c>
      <c r="G1897" s="442" t="s">
        <v>999</v>
      </c>
      <c r="H1897" s="442">
        <v>70950</v>
      </c>
      <c r="I1897" s="531">
        <v>50000010104</v>
      </c>
      <c r="J1897" s="277">
        <v>4480394.4050000003</v>
      </c>
      <c r="K1897" s="627"/>
      <c r="L1897" s="394"/>
      <c r="M1897" s="394" t="s">
        <v>5133</v>
      </c>
      <c r="N1897" s="277">
        <v>4779087</v>
      </c>
      <c r="O1897" s="478"/>
    </row>
    <row r="1898" spans="1:15" ht="72.75" customHeight="1" x14ac:dyDescent="0.35">
      <c r="A1898" s="319" t="s">
        <v>4287</v>
      </c>
      <c r="B1898" s="463" t="s">
        <v>1589</v>
      </c>
      <c r="C1898" s="442" t="s">
        <v>191</v>
      </c>
      <c r="D1898" s="442" t="s">
        <v>4</v>
      </c>
      <c r="E1898" s="442" t="s">
        <v>25</v>
      </c>
      <c r="F1898" s="442" t="s">
        <v>522</v>
      </c>
      <c r="G1898" s="442" t="s">
        <v>522</v>
      </c>
      <c r="H1898" s="442">
        <v>70950</v>
      </c>
      <c r="I1898" s="531">
        <v>50000010104</v>
      </c>
      <c r="J1898" s="277">
        <v>1422723.2749999985</v>
      </c>
      <c r="K1898" s="627"/>
      <c r="L1898" s="394"/>
      <c r="M1898" s="394" t="s">
        <v>5133</v>
      </c>
      <c r="N1898" s="277">
        <v>16834390</v>
      </c>
      <c r="O1898" s="478"/>
    </row>
    <row r="1899" spans="1:15" ht="80.25" customHeight="1" x14ac:dyDescent="0.35">
      <c r="A1899" s="319" t="s">
        <v>4288</v>
      </c>
      <c r="B1899" s="463" t="s">
        <v>1590</v>
      </c>
      <c r="C1899" s="442" t="s">
        <v>624</v>
      </c>
      <c r="D1899" s="442" t="s">
        <v>4</v>
      </c>
      <c r="E1899" s="442" t="s">
        <v>25</v>
      </c>
      <c r="F1899" s="442" t="s">
        <v>522</v>
      </c>
      <c r="G1899" s="442" t="s">
        <v>522</v>
      </c>
      <c r="H1899" s="442">
        <v>70950</v>
      </c>
      <c r="I1899" s="531">
        <v>50000010104</v>
      </c>
      <c r="J1899" s="277">
        <v>11343397.335000001</v>
      </c>
      <c r="K1899" s="627"/>
      <c r="L1899" s="394"/>
      <c r="M1899" s="394" t="s">
        <v>5133</v>
      </c>
      <c r="N1899" s="277">
        <v>16617918</v>
      </c>
      <c r="O1899" s="478"/>
    </row>
    <row r="1900" spans="1:15" ht="91.5" customHeight="1" x14ac:dyDescent="0.35">
      <c r="A1900" s="319" t="s">
        <v>4289</v>
      </c>
      <c r="B1900" s="463" t="s">
        <v>1591</v>
      </c>
      <c r="C1900" s="442" t="s">
        <v>624</v>
      </c>
      <c r="D1900" s="442" t="s">
        <v>4</v>
      </c>
      <c r="E1900" s="442" t="s">
        <v>25</v>
      </c>
      <c r="F1900" s="442" t="s">
        <v>522</v>
      </c>
      <c r="G1900" s="442" t="s">
        <v>522</v>
      </c>
      <c r="H1900" s="442">
        <v>70950</v>
      </c>
      <c r="I1900" s="531">
        <v>50000010104</v>
      </c>
      <c r="J1900" s="277">
        <v>1184145.6799999997</v>
      </c>
      <c r="K1900" s="627"/>
      <c r="L1900" s="394"/>
      <c r="M1900" s="394" t="s">
        <v>5133</v>
      </c>
      <c r="N1900" s="277"/>
      <c r="O1900" s="478"/>
    </row>
    <row r="1901" spans="1:15" ht="92.25" customHeight="1" x14ac:dyDescent="0.35">
      <c r="A1901" s="319" t="s">
        <v>4290</v>
      </c>
      <c r="B1901" s="463" t="s">
        <v>1592</v>
      </c>
      <c r="C1901" s="442" t="s">
        <v>1584</v>
      </c>
      <c r="D1901" s="442" t="s">
        <v>4</v>
      </c>
      <c r="E1901" s="442" t="s">
        <v>25</v>
      </c>
      <c r="F1901" s="442" t="s">
        <v>999</v>
      </c>
      <c r="G1901" s="442" t="s">
        <v>999</v>
      </c>
      <c r="H1901" s="442">
        <v>70950</v>
      </c>
      <c r="I1901" s="531">
        <v>50000010104</v>
      </c>
      <c r="J1901" s="277">
        <v>15356227.560000002</v>
      </c>
      <c r="K1901" s="627"/>
      <c r="L1901" s="394"/>
      <c r="M1901" s="394" t="s">
        <v>5133</v>
      </c>
      <c r="N1901" s="277"/>
      <c r="O1901" s="478"/>
    </row>
    <row r="1902" spans="1:15" ht="85.5" customHeight="1" x14ac:dyDescent="0.35">
      <c r="A1902" s="319" t="s">
        <v>4291</v>
      </c>
      <c r="B1902" s="463" t="s">
        <v>4888</v>
      </c>
      <c r="C1902" s="442" t="s">
        <v>1586</v>
      </c>
      <c r="D1902" s="442" t="s">
        <v>4</v>
      </c>
      <c r="E1902" s="442" t="s">
        <v>25</v>
      </c>
      <c r="F1902" s="442" t="s">
        <v>999</v>
      </c>
      <c r="G1902" s="442" t="s">
        <v>999</v>
      </c>
      <c r="H1902" s="442">
        <v>70950</v>
      </c>
      <c r="I1902" s="531">
        <v>50000010104</v>
      </c>
      <c r="J1902" s="277">
        <v>29033342.699999999</v>
      </c>
      <c r="K1902" s="627"/>
      <c r="L1902" s="394"/>
      <c r="M1902" s="394" t="s">
        <v>5133</v>
      </c>
      <c r="N1902" s="277"/>
      <c r="O1902" s="478"/>
    </row>
    <row r="1903" spans="1:15" ht="153" customHeight="1" x14ac:dyDescent="0.35">
      <c r="A1903" s="319" t="s">
        <v>4292</v>
      </c>
      <c r="B1903" s="463" t="s">
        <v>1593</v>
      </c>
      <c r="C1903" s="442" t="s">
        <v>1587</v>
      </c>
      <c r="D1903" s="442" t="s">
        <v>4</v>
      </c>
      <c r="E1903" s="442" t="s">
        <v>25</v>
      </c>
      <c r="F1903" s="442" t="s">
        <v>999</v>
      </c>
      <c r="G1903" s="442" t="s">
        <v>999</v>
      </c>
      <c r="H1903" s="442">
        <v>70950</v>
      </c>
      <c r="I1903" s="531">
        <v>50000010104</v>
      </c>
      <c r="J1903" s="277">
        <v>19973853.614999998</v>
      </c>
      <c r="K1903" s="627"/>
      <c r="L1903" s="394"/>
      <c r="M1903" s="394" t="s">
        <v>5133</v>
      </c>
      <c r="N1903" s="277"/>
      <c r="O1903" s="478"/>
    </row>
    <row r="1904" spans="1:15" ht="90" customHeight="1" x14ac:dyDescent="0.35">
      <c r="A1904" s="319" t="s">
        <v>4293</v>
      </c>
      <c r="B1904" s="463" t="s">
        <v>1594</v>
      </c>
      <c r="C1904" s="442" t="s">
        <v>1587</v>
      </c>
      <c r="D1904" s="442" t="s">
        <v>4</v>
      </c>
      <c r="E1904" s="442" t="s">
        <v>25</v>
      </c>
      <c r="F1904" s="442" t="s">
        <v>999</v>
      </c>
      <c r="G1904" s="442" t="s">
        <v>999</v>
      </c>
      <c r="H1904" s="442">
        <v>70950</v>
      </c>
      <c r="I1904" s="531">
        <v>50000010104</v>
      </c>
      <c r="J1904" s="277">
        <v>18115134.065000001</v>
      </c>
      <c r="K1904" s="627"/>
      <c r="L1904" s="394"/>
      <c r="M1904" s="394" t="s">
        <v>5133</v>
      </c>
      <c r="N1904" s="277"/>
      <c r="O1904" s="478"/>
    </row>
    <row r="1905" spans="1:15" ht="83.25" customHeight="1" x14ac:dyDescent="0.35">
      <c r="A1905" s="319" t="s">
        <v>4294</v>
      </c>
      <c r="B1905" s="463" t="s">
        <v>1595</v>
      </c>
      <c r="C1905" s="442" t="s">
        <v>1587</v>
      </c>
      <c r="D1905" s="442" t="s">
        <v>4</v>
      </c>
      <c r="E1905" s="442" t="s">
        <v>25</v>
      </c>
      <c r="F1905" s="442" t="s">
        <v>522</v>
      </c>
      <c r="G1905" s="442" t="s">
        <v>522</v>
      </c>
      <c r="H1905" s="442">
        <v>70950</v>
      </c>
      <c r="I1905" s="531">
        <v>50000010104</v>
      </c>
      <c r="J1905" s="277">
        <v>14996938.125</v>
      </c>
      <c r="K1905" s="627"/>
      <c r="L1905" s="394"/>
      <c r="M1905" s="394" t="s">
        <v>5133</v>
      </c>
      <c r="N1905" s="277"/>
      <c r="O1905" s="478"/>
    </row>
    <row r="1906" spans="1:15" ht="107.25" customHeight="1" x14ac:dyDescent="0.35">
      <c r="A1906" s="319" t="s">
        <v>4295</v>
      </c>
      <c r="B1906" s="463" t="s">
        <v>805</v>
      </c>
      <c r="C1906" s="442" t="s">
        <v>1587</v>
      </c>
      <c r="D1906" s="442" t="s">
        <v>4</v>
      </c>
      <c r="E1906" s="442" t="s">
        <v>25</v>
      </c>
      <c r="F1906" s="442" t="s">
        <v>999</v>
      </c>
      <c r="G1906" s="442" t="s">
        <v>999</v>
      </c>
      <c r="H1906" s="442">
        <v>70950</v>
      </c>
      <c r="I1906" s="531">
        <v>50000010104</v>
      </c>
      <c r="J1906" s="277">
        <v>6543153.799999997</v>
      </c>
      <c r="K1906" s="627"/>
      <c r="L1906" s="394"/>
      <c r="M1906" s="394" t="s">
        <v>5133</v>
      </c>
      <c r="N1906" s="277">
        <v>19673292</v>
      </c>
      <c r="O1906" s="478"/>
    </row>
    <row r="1907" spans="1:15" ht="99.75" customHeight="1" x14ac:dyDescent="0.35">
      <c r="A1907" s="319" t="s">
        <v>4296</v>
      </c>
      <c r="B1907" s="463" t="s">
        <v>1597</v>
      </c>
      <c r="C1907" s="442" t="s">
        <v>803</v>
      </c>
      <c r="D1907" s="442" t="s">
        <v>4</v>
      </c>
      <c r="E1907" s="442" t="s">
        <v>25</v>
      </c>
      <c r="F1907" s="442" t="s">
        <v>522</v>
      </c>
      <c r="G1907" s="442" t="s">
        <v>522</v>
      </c>
      <c r="H1907" s="442">
        <v>70950</v>
      </c>
      <c r="I1907" s="531">
        <v>50000010104</v>
      </c>
      <c r="J1907" s="277">
        <v>15021247.125</v>
      </c>
      <c r="K1907" s="627"/>
      <c r="L1907" s="394"/>
      <c r="M1907" s="394" t="s">
        <v>5133</v>
      </c>
      <c r="N1907" s="277"/>
      <c r="O1907" s="478"/>
    </row>
    <row r="1908" spans="1:15" ht="74.25" customHeight="1" x14ac:dyDescent="0.35">
      <c r="A1908" s="319" t="s">
        <v>4297</v>
      </c>
      <c r="B1908" s="463" t="s">
        <v>1598</v>
      </c>
      <c r="C1908" s="442" t="s">
        <v>803</v>
      </c>
      <c r="D1908" s="442" t="s">
        <v>4</v>
      </c>
      <c r="E1908" s="442" t="s">
        <v>25</v>
      </c>
      <c r="F1908" s="442" t="s">
        <v>522</v>
      </c>
      <c r="G1908" s="442" t="s">
        <v>522</v>
      </c>
      <c r="H1908" s="442">
        <v>70950</v>
      </c>
      <c r="I1908" s="531">
        <v>50000010104</v>
      </c>
      <c r="J1908" s="277">
        <v>7664250</v>
      </c>
      <c r="K1908" s="627"/>
      <c r="L1908" s="394"/>
      <c r="M1908" s="394" t="s">
        <v>5133</v>
      </c>
      <c r="N1908" s="277">
        <v>8175200</v>
      </c>
      <c r="O1908" s="478"/>
    </row>
    <row r="1909" spans="1:15" ht="79.5" customHeight="1" x14ac:dyDescent="0.35">
      <c r="A1909" s="319" t="s">
        <v>4298</v>
      </c>
      <c r="B1909" s="463" t="s">
        <v>1599</v>
      </c>
      <c r="C1909" s="442" t="s">
        <v>475</v>
      </c>
      <c r="D1909" s="442" t="s">
        <v>4</v>
      </c>
      <c r="E1909" s="442" t="s">
        <v>25</v>
      </c>
      <c r="F1909" s="442" t="s">
        <v>999</v>
      </c>
      <c r="G1909" s="442" t="s">
        <v>999</v>
      </c>
      <c r="H1909" s="442">
        <v>70950</v>
      </c>
      <c r="I1909" s="531">
        <v>50000010104</v>
      </c>
      <c r="J1909" s="277">
        <v>10183441.095000001</v>
      </c>
      <c r="K1909" s="627"/>
      <c r="L1909" s="394"/>
      <c r="M1909" s="394" t="s">
        <v>5133</v>
      </c>
      <c r="N1909" s="277"/>
      <c r="O1909" s="478"/>
    </row>
    <row r="1910" spans="1:15" ht="77.25" customHeight="1" x14ac:dyDescent="0.35">
      <c r="A1910" s="319" t="s">
        <v>4299</v>
      </c>
      <c r="B1910" s="463" t="s">
        <v>1601</v>
      </c>
      <c r="C1910" s="442" t="s">
        <v>475</v>
      </c>
      <c r="D1910" s="442" t="s">
        <v>4</v>
      </c>
      <c r="E1910" s="442" t="s">
        <v>25</v>
      </c>
      <c r="F1910" s="442" t="s">
        <v>522</v>
      </c>
      <c r="G1910" s="442" t="s">
        <v>522</v>
      </c>
      <c r="H1910" s="442">
        <v>70950</v>
      </c>
      <c r="I1910" s="531">
        <v>50000010104</v>
      </c>
      <c r="J1910" s="277">
        <v>10118475.129999999</v>
      </c>
      <c r="K1910" s="627"/>
      <c r="L1910" s="394"/>
      <c r="M1910" s="394" t="s">
        <v>5133</v>
      </c>
      <c r="N1910" s="277"/>
      <c r="O1910" s="478"/>
    </row>
    <row r="1911" spans="1:15" ht="83.25" customHeight="1" x14ac:dyDescent="0.35">
      <c r="A1911" s="319" t="s">
        <v>4300</v>
      </c>
      <c r="B1911" s="463" t="s">
        <v>1602</v>
      </c>
      <c r="C1911" s="442" t="s">
        <v>496</v>
      </c>
      <c r="D1911" s="442" t="s">
        <v>4</v>
      </c>
      <c r="E1911" s="442" t="s">
        <v>25</v>
      </c>
      <c r="F1911" s="442" t="s">
        <v>522</v>
      </c>
      <c r="G1911" s="442" t="s">
        <v>522</v>
      </c>
      <c r="H1911" s="442">
        <v>70950</v>
      </c>
      <c r="I1911" s="531">
        <v>50000010104</v>
      </c>
      <c r="J1911" s="277">
        <v>15423120.484999999</v>
      </c>
      <c r="K1911" s="627"/>
      <c r="L1911" s="394"/>
      <c r="M1911" s="394" t="s">
        <v>5133</v>
      </c>
      <c r="N1911" s="277"/>
      <c r="O1911" s="478"/>
    </row>
    <row r="1912" spans="1:15" ht="87.75" customHeight="1" x14ac:dyDescent="0.35">
      <c r="A1912" s="319" t="s">
        <v>4301</v>
      </c>
      <c r="B1912" s="463" t="s">
        <v>1603</v>
      </c>
      <c r="C1912" s="442" t="s">
        <v>475</v>
      </c>
      <c r="D1912" s="442" t="s">
        <v>4</v>
      </c>
      <c r="E1912" s="442" t="s">
        <v>25</v>
      </c>
      <c r="F1912" s="442" t="s">
        <v>522</v>
      </c>
      <c r="G1912" s="442" t="s">
        <v>522</v>
      </c>
      <c r="H1912" s="442">
        <v>70950</v>
      </c>
      <c r="I1912" s="531">
        <v>50000010104</v>
      </c>
      <c r="J1912" s="277">
        <v>14300676.410000002</v>
      </c>
      <c r="K1912" s="627"/>
      <c r="L1912" s="394"/>
      <c r="M1912" s="394" t="s">
        <v>5133</v>
      </c>
      <c r="N1912" s="277"/>
      <c r="O1912" s="478"/>
    </row>
    <row r="1913" spans="1:15" ht="79.5" customHeight="1" x14ac:dyDescent="0.35">
      <c r="A1913" s="319" t="s">
        <v>4302</v>
      </c>
      <c r="B1913" s="463" t="s">
        <v>1604</v>
      </c>
      <c r="C1913" s="442" t="s">
        <v>475</v>
      </c>
      <c r="D1913" s="442" t="s">
        <v>4</v>
      </c>
      <c r="E1913" s="442" t="s">
        <v>25</v>
      </c>
      <c r="F1913" s="442" t="s">
        <v>522</v>
      </c>
      <c r="G1913" s="442" t="s">
        <v>522</v>
      </c>
      <c r="H1913" s="442">
        <v>70950</v>
      </c>
      <c r="I1913" s="531">
        <v>50000010104</v>
      </c>
      <c r="J1913" s="277">
        <v>14703342.865000002</v>
      </c>
      <c r="K1913" s="627"/>
      <c r="L1913" s="394"/>
      <c r="M1913" s="394" t="s">
        <v>5133</v>
      </c>
      <c r="N1913" s="277"/>
      <c r="O1913" s="478"/>
    </row>
    <row r="1914" spans="1:15" ht="200.25" customHeight="1" x14ac:dyDescent="0.35">
      <c r="A1914" s="319" t="s">
        <v>4303</v>
      </c>
      <c r="B1914" s="463" t="s">
        <v>1605</v>
      </c>
      <c r="C1914" s="442" t="s">
        <v>1596</v>
      </c>
      <c r="D1914" s="442" t="s">
        <v>4</v>
      </c>
      <c r="E1914" s="442" t="s">
        <v>25</v>
      </c>
      <c r="F1914" s="442" t="s">
        <v>522</v>
      </c>
      <c r="G1914" s="442" t="s">
        <v>522</v>
      </c>
      <c r="H1914" s="442">
        <v>70950</v>
      </c>
      <c r="I1914" s="531">
        <v>50000010104</v>
      </c>
      <c r="J1914" s="277">
        <v>23499678.084999997</v>
      </c>
      <c r="K1914" s="627"/>
      <c r="L1914" s="394"/>
      <c r="M1914" s="394" t="s">
        <v>5133</v>
      </c>
      <c r="N1914" s="277"/>
      <c r="O1914" s="478"/>
    </row>
    <row r="1915" spans="1:15" ht="123.75" customHeight="1" x14ac:dyDescent="0.35">
      <c r="A1915" s="319" t="s">
        <v>4304</v>
      </c>
      <c r="B1915" s="463" t="s">
        <v>1606</v>
      </c>
      <c r="C1915" s="442" t="s">
        <v>642</v>
      </c>
      <c r="D1915" s="442" t="s">
        <v>4</v>
      </c>
      <c r="E1915" s="442" t="s">
        <v>25</v>
      </c>
      <c r="F1915" s="442" t="s">
        <v>522</v>
      </c>
      <c r="G1915" s="442" t="s">
        <v>522</v>
      </c>
      <c r="H1915" s="442">
        <v>70950</v>
      </c>
      <c r="I1915" s="531">
        <v>50000010104</v>
      </c>
      <c r="J1915" s="277">
        <v>18450000</v>
      </c>
      <c r="K1915" s="627"/>
      <c r="L1915" s="394"/>
      <c r="M1915" s="394" t="s">
        <v>5133</v>
      </c>
      <c r="N1915" s="277"/>
      <c r="O1915" s="478"/>
    </row>
    <row r="1916" spans="1:15" ht="161.25" customHeight="1" x14ac:dyDescent="0.35">
      <c r="A1916" s="319" t="s">
        <v>4305</v>
      </c>
      <c r="B1916" s="463" t="s">
        <v>1607</v>
      </c>
      <c r="C1916" s="442" t="s">
        <v>642</v>
      </c>
      <c r="D1916" s="442" t="s">
        <v>4</v>
      </c>
      <c r="E1916" s="442" t="s">
        <v>25</v>
      </c>
      <c r="F1916" s="442" t="s">
        <v>522</v>
      </c>
      <c r="G1916" s="442" t="s">
        <v>522</v>
      </c>
      <c r="H1916" s="442">
        <v>70950</v>
      </c>
      <c r="I1916" s="531">
        <v>50000010104</v>
      </c>
      <c r="J1916" s="277">
        <v>17100102.799999997</v>
      </c>
      <c r="K1916" s="627"/>
      <c r="L1916" s="394"/>
      <c r="M1916" s="394" t="s">
        <v>5133</v>
      </c>
      <c r="N1916" s="277"/>
      <c r="O1916" s="478"/>
    </row>
    <row r="1917" spans="1:15" ht="159" customHeight="1" x14ac:dyDescent="0.35">
      <c r="A1917" s="319" t="s">
        <v>4306</v>
      </c>
      <c r="B1917" s="463" t="s">
        <v>1609</v>
      </c>
      <c r="C1917" s="442" t="s">
        <v>625</v>
      </c>
      <c r="D1917" s="442" t="s">
        <v>4</v>
      </c>
      <c r="E1917" s="442" t="s">
        <v>25</v>
      </c>
      <c r="F1917" s="442" t="s">
        <v>62</v>
      </c>
      <c r="G1917" s="442" t="s">
        <v>62</v>
      </c>
      <c r="H1917" s="442">
        <v>70912</v>
      </c>
      <c r="I1917" s="531">
        <v>50000010106</v>
      </c>
      <c r="J1917" s="277">
        <v>11168620.800000001</v>
      </c>
      <c r="K1917" s="627"/>
      <c r="L1917" s="394"/>
      <c r="M1917" s="394" t="s">
        <v>5133</v>
      </c>
      <c r="N1917" s="277"/>
      <c r="O1917" s="478"/>
    </row>
    <row r="1918" spans="1:15" ht="83.25" customHeight="1" x14ac:dyDescent="0.35">
      <c r="A1918" s="319" t="s">
        <v>4307</v>
      </c>
      <c r="B1918" s="463" t="s">
        <v>1611</v>
      </c>
      <c r="C1918" s="442" t="s">
        <v>1600</v>
      </c>
      <c r="D1918" s="442" t="s">
        <v>4</v>
      </c>
      <c r="E1918" s="442" t="s">
        <v>25</v>
      </c>
      <c r="F1918" s="442" t="s">
        <v>522</v>
      </c>
      <c r="G1918" s="442" t="s">
        <v>522</v>
      </c>
      <c r="H1918" s="442">
        <v>70950</v>
      </c>
      <c r="I1918" s="531">
        <v>50000010104</v>
      </c>
      <c r="J1918" s="277">
        <v>1047850.415000001</v>
      </c>
      <c r="K1918" s="627"/>
      <c r="L1918" s="394"/>
      <c r="M1918" s="394" t="s">
        <v>5133</v>
      </c>
      <c r="N1918" s="277"/>
      <c r="O1918" s="478"/>
    </row>
    <row r="1919" spans="1:15" ht="89.25" customHeight="1" x14ac:dyDescent="0.35">
      <c r="A1919" s="319" t="s">
        <v>4308</v>
      </c>
      <c r="B1919" s="463" t="s">
        <v>806</v>
      </c>
      <c r="C1919" s="442" t="s">
        <v>1600</v>
      </c>
      <c r="D1919" s="442" t="s">
        <v>4</v>
      </c>
      <c r="E1919" s="442" t="s">
        <v>25</v>
      </c>
      <c r="F1919" s="442" t="s">
        <v>522</v>
      </c>
      <c r="G1919" s="442" t="s">
        <v>522</v>
      </c>
      <c r="H1919" s="442">
        <v>70950</v>
      </c>
      <c r="I1919" s="531">
        <v>50000010104</v>
      </c>
      <c r="J1919" s="277">
        <v>957940.29499999993</v>
      </c>
      <c r="K1919" s="627"/>
      <c r="L1919" s="394"/>
      <c r="M1919" s="394" t="s">
        <v>5133</v>
      </c>
      <c r="N1919" s="277">
        <v>9150647</v>
      </c>
      <c r="O1919" s="478"/>
    </row>
    <row r="1920" spans="1:15" ht="120.75" customHeight="1" x14ac:dyDescent="0.35">
      <c r="A1920" s="319" t="s">
        <v>4309</v>
      </c>
      <c r="B1920" s="463" t="s">
        <v>807</v>
      </c>
      <c r="C1920" s="442" t="s">
        <v>1600</v>
      </c>
      <c r="D1920" s="442" t="s">
        <v>4</v>
      </c>
      <c r="E1920" s="442" t="s">
        <v>25</v>
      </c>
      <c r="F1920" s="442" t="s">
        <v>999</v>
      </c>
      <c r="G1920" s="442" t="s">
        <v>999</v>
      </c>
      <c r="H1920" s="442">
        <v>70950</v>
      </c>
      <c r="I1920" s="531">
        <v>50000010104</v>
      </c>
      <c r="J1920" s="277">
        <v>14368176.410000002</v>
      </c>
      <c r="K1920" s="627"/>
      <c r="L1920" s="394"/>
      <c r="M1920" s="394" t="s">
        <v>5133</v>
      </c>
      <c r="N1920" s="277">
        <v>15326055</v>
      </c>
      <c r="O1920" s="478"/>
    </row>
    <row r="1921" spans="1:15" ht="119.25" customHeight="1" x14ac:dyDescent="0.35">
      <c r="A1921" s="319" t="s">
        <v>4310</v>
      </c>
      <c r="B1921" s="463" t="s">
        <v>1613</v>
      </c>
      <c r="C1921" s="442" t="s">
        <v>1600</v>
      </c>
      <c r="D1921" s="442" t="s">
        <v>4</v>
      </c>
      <c r="E1921" s="442" t="s">
        <v>25</v>
      </c>
      <c r="F1921" s="442" t="s">
        <v>522</v>
      </c>
      <c r="G1921" s="442" t="s">
        <v>522</v>
      </c>
      <c r="H1921" s="442">
        <v>70950</v>
      </c>
      <c r="I1921" s="531">
        <v>50000010104</v>
      </c>
      <c r="J1921" s="277">
        <v>14403801.410000002</v>
      </c>
      <c r="K1921" s="627"/>
      <c r="L1921" s="394"/>
      <c r="M1921" s="394" t="s">
        <v>5133</v>
      </c>
      <c r="N1921" s="277">
        <v>15364055</v>
      </c>
      <c r="O1921" s="478"/>
    </row>
    <row r="1922" spans="1:15" ht="77.25" customHeight="1" x14ac:dyDescent="0.35">
      <c r="A1922" s="319" t="s">
        <v>4311</v>
      </c>
      <c r="B1922" s="463" t="s">
        <v>1614</v>
      </c>
      <c r="C1922" s="442" t="s">
        <v>640</v>
      </c>
      <c r="D1922" s="442" t="s">
        <v>4</v>
      </c>
      <c r="E1922" s="442" t="s">
        <v>25</v>
      </c>
      <c r="F1922" s="442" t="s">
        <v>999</v>
      </c>
      <c r="G1922" s="442" t="s">
        <v>999</v>
      </c>
      <c r="H1922" s="442">
        <v>70950</v>
      </c>
      <c r="I1922" s="531">
        <v>50000010104</v>
      </c>
      <c r="J1922" s="277">
        <v>2477475</v>
      </c>
      <c r="K1922" s="627"/>
      <c r="L1922" s="394"/>
      <c r="M1922" s="394" t="s">
        <v>5133</v>
      </c>
      <c r="N1922" s="277">
        <v>7927920</v>
      </c>
      <c r="O1922" s="478"/>
    </row>
    <row r="1923" spans="1:15" ht="129" customHeight="1" x14ac:dyDescent="0.35">
      <c r="A1923" s="319" t="s">
        <v>4312</v>
      </c>
      <c r="B1923" s="463" t="s">
        <v>1615</v>
      </c>
      <c r="C1923" s="442" t="s">
        <v>625</v>
      </c>
      <c r="D1923" s="442" t="s">
        <v>4</v>
      </c>
      <c r="E1923" s="442" t="s">
        <v>25</v>
      </c>
      <c r="F1923" s="442" t="s">
        <v>999</v>
      </c>
      <c r="G1923" s="442" t="s">
        <v>999</v>
      </c>
      <c r="H1923" s="442">
        <v>70912</v>
      </c>
      <c r="I1923" s="531">
        <v>50000010104</v>
      </c>
      <c r="J1923" s="277">
        <v>1755538.75</v>
      </c>
      <c r="K1923" s="627"/>
      <c r="L1923" s="394"/>
      <c r="M1923" s="394" t="s">
        <v>5133</v>
      </c>
      <c r="N1923" s="277">
        <v>19995857</v>
      </c>
      <c r="O1923" s="478"/>
    </row>
    <row r="1924" spans="1:15" ht="63" customHeight="1" x14ac:dyDescent="0.35">
      <c r="A1924" s="319" t="s">
        <v>4313</v>
      </c>
      <c r="B1924" s="463" t="s">
        <v>1616</v>
      </c>
      <c r="C1924" s="442" t="s">
        <v>378</v>
      </c>
      <c r="D1924" s="442" t="s">
        <v>4</v>
      </c>
      <c r="E1924" s="442" t="s">
        <v>25</v>
      </c>
      <c r="F1924" s="442" t="s">
        <v>999</v>
      </c>
      <c r="G1924" s="442" t="s">
        <v>999</v>
      </c>
      <c r="H1924" s="442">
        <v>70912</v>
      </c>
      <c r="I1924" s="531">
        <v>50000010104</v>
      </c>
      <c r="J1924" s="277">
        <v>7391250</v>
      </c>
      <c r="K1924" s="627"/>
      <c r="L1924" s="394"/>
      <c r="M1924" s="394" t="s">
        <v>5133</v>
      </c>
      <c r="N1924" s="277"/>
      <c r="O1924" s="478"/>
    </row>
    <row r="1925" spans="1:15" ht="129.75" customHeight="1" x14ac:dyDescent="0.35">
      <c r="A1925" s="319" t="s">
        <v>4314</v>
      </c>
      <c r="B1925" s="463" t="s">
        <v>1617</v>
      </c>
      <c r="C1925" s="442" t="s">
        <v>1608</v>
      </c>
      <c r="D1925" s="442" t="s">
        <v>4</v>
      </c>
      <c r="E1925" s="442" t="s">
        <v>25</v>
      </c>
      <c r="F1925" s="442" t="s">
        <v>999</v>
      </c>
      <c r="G1925" s="442" t="s">
        <v>999</v>
      </c>
      <c r="H1925" s="442">
        <v>70950</v>
      </c>
      <c r="I1925" s="531">
        <v>50000010104</v>
      </c>
      <c r="J1925" s="277">
        <v>18525000</v>
      </c>
      <c r="K1925" s="627"/>
      <c r="L1925" s="394"/>
      <c r="M1925" s="394" t="s">
        <v>5133</v>
      </c>
      <c r="N1925" s="277"/>
      <c r="O1925" s="478"/>
    </row>
    <row r="1926" spans="1:15" ht="138" customHeight="1" x14ac:dyDescent="0.35">
      <c r="A1926" s="319" t="s">
        <v>4315</v>
      </c>
      <c r="B1926" s="463" t="s">
        <v>1618</v>
      </c>
      <c r="C1926" s="442" t="s">
        <v>1610</v>
      </c>
      <c r="D1926" s="442" t="s">
        <v>4</v>
      </c>
      <c r="E1926" s="442" t="s">
        <v>25</v>
      </c>
      <c r="F1926" s="442" t="s">
        <v>999</v>
      </c>
      <c r="G1926" s="442" t="s">
        <v>999</v>
      </c>
      <c r="H1926" s="442">
        <v>70950</v>
      </c>
      <c r="I1926" s="531">
        <v>50000010104</v>
      </c>
      <c r="J1926" s="277">
        <v>1631004.345</v>
      </c>
      <c r="K1926" s="627"/>
      <c r="L1926" s="394"/>
      <c r="M1926" s="394" t="s">
        <v>5133</v>
      </c>
      <c r="N1926" s="277"/>
      <c r="O1926" s="478"/>
    </row>
    <row r="1927" spans="1:15" ht="87.75" customHeight="1" x14ac:dyDescent="0.35">
      <c r="A1927" s="319" t="s">
        <v>4316</v>
      </c>
      <c r="B1927" s="463" t="s">
        <v>1619</v>
      </c>
      <c r="C1927" s="442" t="s">
        <v>1612</v>
      </c>
      <c r="D1927" s="442" t="s">
        <v>4</v>
      </c>
      <c r="E1927" s="442" t="s">
        <v>25</v>
      </c>
      <c r="F1927" s="442" t="s">
        <v>999</v>
      </c>
      <c r="G1927" s="442" t="s">
        <v>999</v>
      </c>
      <c r="H1927" s="442">
        <v>70950</v>
      </c>
      <c r="I1927" s="531">
        <v>50000010104</v>
      </c>
      <c r="J1927" s="277">
        <v>22012500</v>
      </c>
      <c r="K1927" s="627"/>
      <c r="L1927" s="394"/>
      <c r="M1927" s="394" t="s">
        <v>5133</v>
      </c>
      <c r="N1927" s="277"/>
      <c r="O1927" s="478"/>
    </row>
    <row r="1928" spans="1:15" ht="80.25" customHeight="1" x14ac:dyDescent="0.35">
      <c r="A1928" s="319" t="s">
        <v>4317</v>
      </c>
      <c r="B1928" s="463" t="s">
        <v>1620</v>
      </c>
      <c r="C1928" s="442" t="s">
        <v>390</v>
      </c>
      <c r="D1928" s="442" t="s">
        <v>4</v>
      </c>
      <c r="E1928" s="442" t="s">
        <v>25</v>
      </c>
      <c r="F1928" s="442" t="s">
        <v>999</v>
      </c>
      <c r="G1928" s="442" t="s">
        <v>999</v>
      </c>
      <c r="H1928" s="442">
        <v>70950</v>
      </c>
      <c r="I1928" s="531">
        <v>50000010104</v>
      </c>
      <c r="J1928" s="277">
        <v>1986362.375</v>
      </c>
      <c r="K1928" s="627"/>
      <c r="L1928" s="394"/>
      <c r="M1928" s="394" t="s">
        <v>5133</v>
      </c>
      <c r="N1928" s="277"/>
      <c r="O1928" s="478"/>
    </row>
    <row r="1929" spans="1:15" ht="141.75" customHeight="1" x14ac:dyDescent="0.35">
      <c r="A1929" s="319" t="s">
        <v>4318</v>
      </c>
      <c r="B1929" s="463" t="s">
        <v>1621</v>
      </c>
      <c r="C1929" s="442" t="s">
        <v>415</v>
      </c>
      <c r="D1929" s="442" t="s">
        <v>4</v>
      </c>
      <c r="E1929" s="442" t="s">
        <v>25</v>
      </c>
      <c r="F1929" s="442" t="s">
        <v>522</v>
      </c>
      <c r="G1929" s="442" t="s">
        <v>522</v>
      </c>
      <c r="H1929" s="442">
        <v>70950</v>
      </c>
      <c r="I1929" s="531">
        <v>50000010104</v>
      </c>
      <c r="J1929" s="277">
        <v>24737983.5</v>
      </c>
      <c r="K1929" s="627"/>
      <c r="L1929" s="394"/>
      <c r="M1929" s="394" t="s">
        <v>5133</v>
      </c>
      <c r="N1929" s="277"/>
      <c r="O1929" s="478"/>
    </row>
    <row r="1930" spans="1:15" ht="216" customHeight="1" x14ac:dyDescent="0.35">
      <c r="A1930" s="319" t="s">
        <v>4319</v>
      </c>
      <c r="B1930" s="463" t="s">
        <v>1622</v>
      </c>
      <c r="C1930" s="442" t="s">
        <v>415</v>
      </c>
      <c r="D1930" s="442" t="s">
        <v>4</v>
      </c>
      <c r="E1930" s="442" t="s">
        <v>25</v>
      </c>
      <c r="F1930" s="442" t="s">
        <v>522</v>
      </c>
      <c r="G1930" s="442" t="s">
        <v>522</v>
      </c>
      <c r="H1930" s="442">
        <v>70950</v>
      </c>
      <c r="I1930" s="531">
        <v>50000010104</v>
      </c>
      <c r="J1930" s="277">
        <v>40831946.085000001</v>
      </c>
      <c r="K1930" s="627"/>
      <c r="L1930" s="394"/>
      <c r="M1930" s="394" t="s">
        <v>5133</v>
      </c>
      <c r="N1930" s="277">
        <v>32665557</v>
      </c>
      <c r="O1930" s="478"/>
    </row>
    <row r="1931" spans="1:15" ht="76.5" customHeight="1" x14ac:dyDescent="0.35">
      <c r="A1931" s="319" t="s">
        <v>4320</v>
      </c>
      <c r="B1931" s="463" t="s">
        <v>1623</v>
      </c>
      <c r="C1931" s="442" t="s">
        <v>486</v>
      </c>
      <c r="D1931" s="442" t="s">
        <v>4</v>
      </c>
      <c r="E1931" s="442" t="s">
        <v>25</v>
      </c>
      <c r="F1931" s="442" t="s">
        <v>62</v>
      </c>
      <c r="G1931" s="442" t="s">
        <v>62</v>
      </c>
      <c r="H1931" s="442">
        <v>70912</v>
      </c>
      <c r="I1931" s="531">
        <v>220000010106</v>
      </c>
      <c r="J1931" s="277">
        <v>2332800</v>
      </c>
      <c r="K1931" s="627"/>
      <c r="L1931" s="394"/>
      <c r="M1931" s="394" t="s">
        <v>5133</v>
      </c>
      <c r="N1931" s="277">
        <v>7464960</v>
      </c>
      <c r="O1931" s="478"/>
    </row>
    <row r="1932" spans="1:15" ht="87.75" customHeight="1" x14ac:dyDescent="0.35">
      <c r="A1932" s="319" t="s">
        <v>4321</v>
      </c>
      <c r="B1932" s="463" t="s">
        <v>1624</v>
      </c>
      <c r="C1932" s="442" t="s">
        <v>390</v>
      </c>
      <c r="D1932" s="442" t="s">
        <v>4</v>
      </c>
      <c r="E1932" s="442" t="s">
        <v>25</v>
      </c>
      <c r="F1932" s="442" t="s">
        <v>522</v>
      </c>
      <c r="G1932" s="442" t="s">
        <v>522</v>
      </c>
      <c r="H1932" s="442">
        <v>70950</v>
      </c>
      <c r="I1932" s="531">
        <v>50000010104</v>
      </c>
      <c r="J1932" s="277">
        <v>51260199.435000002</v>
      </c>
      <c r="K1932" s="627"/>
      <c r="L1932" s="394"/>
      <c r="M1932" s="394" t="s">
        <v>5133</v>
      </c>
      <c r="N1932" s="277">
        <v>41008160</v>
      </c>
      <c r="O1932" s="478"/>
    </row>
    <row r="1933" spans="1:15" ht="106.5" customHeight="1" x14ac:dyDescent="0.35">
      <c r="A1933" s="319" t="s">
        <v>4322</v>
      </c>
      <c r="B1933" s="463" t="s">
        <v>1625</v>
      </c>
      <c r="C1933" s="442" t="s">
        <v>415</v>
      </c>
      <c r="D1933" s="442" t="s">
        <v>4</v>
      </c>
      <c r="E1933" s="442" t="s">
        <v>25</v>
      </c>
      <c r="F1933" s="442" t="s">
        <v>62</v>
      </c>
      <c r="G1933" s="442" t="s">
        <v>62</v>
      </c>
      <c r="H1933" s="442">
        <v>70950</v>
      </c>
      <c r="I1933" s="531">
        <v>220000010106</v>
      </c>
      <c r="J1933" s="277">
        <v>874895.53500000015</v>
      </c>
      <c r="K1933" s="627"/>
      <c r="L1933" s="394"/>
      <c r="M1933" s="394" t="s">
        <v>5133</v>
      </c>
      <c r="N1933" s="277">
        <v>9813579</v>
      </c>
      <c r="O1933" s="478"/>
    </row>
    <row r="1934" spans="1:15" ht="156.75" customHeight="1" x14ac:dyDescent="0.35">
      <c r="A1934" s="319" t="s">
        <v>4323</v>
      </c>
      <c r="B1934" s="463" t="s">
        <v>1626</v>
      </c>
      <c r="C1934" s="442" t="s">
        <v>616</v>
      </c>
      <c r="D1934" s="442" t="s">
        <v>4</v>
      </c>
      <c r="E1934" s="442" t="s">
        <v>25</v>
      </c>
      <c r="F1934" s="442" t="s">
        <v>999</v>
      </c>
      <c r="G1934" s="442" t="s">
        <v>999</v>
      </c>
      <c r="H1934" s="442">
        <v>70950</v>
      </c>
      <c r="I1934" s="531">
        <v>50000010104</v>
      </c>
      <c r="J1934" s="277">
        <v>9526800.5449999999</v>
      </c>
      <c r="K1934" s="627"/>
      <c r="L1934" s="394"/>
      <c r="M1934" s="394" t="s">
        <v>5133</v>
      </c>
      <c r="N1934" s="277">
        <v>7621440</v>
      </c>
      <c r="O1934" s="478"/>
    </row>
    <row r="1935" spans="1:15" ht="142.5" customHeight="1" x14ac:dyDescent="0.35">
      <c r="A1935" s="319" t="s">
        <v>4324</v>
      </c>
      <c r="B1935" s="463" t="s">
        <v>1627</v>
      </c>
      <c r="C1935" s="442" t="s">
        <v>390</v>
      </c>
      <c r="D1935" s="442" t="s">
        <v>4</v>
      </c>
      <c r="E1935" s="442" t="s">
        <v>25</v>
      </c>
      <c r="F1935" s="442" t="s">
        <v>999</v>
      </c>
      <c r="G1935" s="442" t="s">
        <v>999</v>
      </c>
      <c r="H1935" s="442">
        <v>70950</v>
      </c>
      <c r="I1935" s="531">
        <v>50000010104</v>
      </c>
      <c r="J1935" s="277">
        <v>51397699.435000002</v>
      </c>
      <c r="K1935" s="627"/>
      <c r="L1935" s="394"/>
      <c r="M1935" s="394" t="s">
        <v>5133</v>
      </c>
      <c r="N1935" s="277">
        <v>41118160</v>
      </c>
      <c r="O1935" s="478"/>
    </row>
    <row r="1936" spans="1:15" ht="348.75" customHeight="1" x14ac:dyDescent="0.35">
      <c r="A1936" s="319" t="s">
        <v>4325</v>
      </c>
      <c r="B1936" s="463" t="s">
        <v>1628</v>
      </c>
      <c r="C1936" s="442" t="s">
        <v>486</v>
      </c>
      <c r="D1936" s="442" t="s">
        <v>4</v>
      </c>
      <c r="E1936" s="442" t="s">
        <v>25</v>
      </c>
      <c r="F1936" s="442" t="s">
        <v>522</v>
      </c>
      <c r="G1936" s="442" t="s">
        <v>522</v>
      </c>
      <c r="H1936" s="442">
        <v>70950</v>
      </c>
      <c r="I1936" s="531">
        <v>50000010104</v>
      </c>
      <c r="J1936" s="277">
        <v>24062210.409999996</v>
      </c>
      <c r="K1936" s="627"/>
      <c r="L1936" s="394"/>
      <c r="M1936" s="394" t="s">
        <v>5133</v>
      </c>
      <c r="N1936" s="277">
        <v>50238044</v>
      </c>
      <c r="O1936" s="478"/>
    </row>
    <row r="1937" spans="1:15" ht="66.75" customHeight="1" x14ac:dyDescent="0.35">
      <c r="A1937" s="319" t="s">
        <v>4326</v>
      </c>
      <c r="B1937" s="463" t="s">
        <v>1629</v>
      </c>
      <c r="C1937" s="442" t="s">
        <v>390</v>
      </c>
      <c r="D1937" s="442" t="s">
        <v>4</v>
      </c>
      <c r="E1937" s="442" t="s">
        <v>25</v>
      </c>
      <c r="F1937" s="442" t="s">
        <v>999</v>
      </c>
      <c r="G1937" s="442" t="s">
        <v>999</v>
      </c>
      <c r="H1937" s="442">
        <v>70950</v>
      </c>
      <c r="I1937" s="531">
        <v>50000010104</v>
      </c>
      <c r="J1937" s="277">
        <v>10202445.24</v>
      </c>
      <c r="K1937" s="627"/>
      <c r="L1937" s="394"/>
      <c r="M1937" s="394" t="s">
        <v>5133</v>
      </c>
      <c r="N1937" s="277">
        <v>8161956</v>
      </c>
      <c r="O1937" s="478"/>
    </row>
    <row r="1938" spans="1:15" ht="93" customHeight="1" x14ac:dyDescent="0.35">
      <c r="A1938" s="319" t="s">
        <v>4327</v>
      </c>
      <c r="B1938" s="463" t="s">
        <v>1630</v>
      </c>
      <c r="C1938" s="442" t="s">
        <v>390</v>
      </c>
      <c r="D1938" s="442" t="s">
        <v>4</v>
      </c>
      <c r="E1938" s="442" t="s">
        <v>25</v>
      </c>
      <c r="F1938" s="442" t="s">
        <v>999</v>
      </c>
      <c r="G1938" s="442" t="s">
        <v>999</v>
      </c>
      <c r="H1938" s="442">
        <v>70950</v>
      </c>
      <c r="I1938" s="531">
        <v>50000010104</v>
      </c>
      <c r="J1938" s="277">
        <v>1510379.4250000007</v>
      </c>
      <c r="K1938" s="627"/>
      <c r="L1938" s="394"/>
      <c r="M1938" s="394" t="s">
        <v>5133</v>
      </c>
      <c r="N1938" s="277">
        <v>11249265</v>
      </c>
      <c r="O1938" s="478"/>
    </row>
    <row r="1939" spans="1:15" ht="62.25" customHeight="1" x14ac:dyDescent="0.35">
      <c r="A1939" s="319" t="s">
        <v>4328</v>
      </c>
      <c r="B1939" s="463" t="s">
        <v>1631</v>
      </c>
      <c r="C1939" s="442" t="s">
        <v>354</v>
      </c>
      <c r="D1939" s="442" t="s">
        <v>4</v>
      </c>
      <c r="E1939" s="442" t="s">
        <v>25</v>
      </c>
      <c r="F1939" s="442" t="s">
        <v>999</v>
      </c>
      <c r="G1939" s="442" t="s">
        <v>999</v>
      </c>
      <c r="H1939" s="442">
        <v>70950</v>
      </c>
      <c r="I1939" s="531">
        <v>50000010104</v>
      </c>
      <c r="J1939" s="277">
        <v>436981.55</v>
      </c>
      <c r="K1939" s="627"/>
      <c r="L1939" s="394"/>
      <c r="M1939" s="394" t="s">
        <v>5133</v>
      </c>
      <c r="N1939" s="277"/>
      <c r="O1939" s="478"/>
    </row>
    <row r="1940" spans="1:15" ht="132.75" customHeight="1" x14ac:dyDescent="0.35">
      <c r="A1940" s="319" t="s">
        <v>4329</v>
      </c>
      <c r="B1940" s="463" t="s">
        <v>1632</v>
      </c>
      <c r="C1940" s="442" t="s">
        <v>379</v>
      </c>
      <c r="D1940" s="442" t="s">
        <v>4</v>
      </c>
      <c r="E1940" s="442" t="s">
        <v>25</v>
      </c>
      <c r="F1940" s="442" t="s">
        <v>62</v>
      </c>
      <c r="G1940" s="442" t="s">
        <v>62</v>
      </c>
      <c r="H1940" s="442">
        <v>70950</v>
      </c>
      <c r="I1940" s="531">
        <v>220000010106</v>
      </c>
      <c r="J1940" s="277">
        <v>12169893.890000001</v>
      </c>
      <c r="K1940" s="627"/>
      <c r="L1940" s="394"/>
      <c r="M1940" s="394" t="s">
        <v>5133</v>
      </c>
      <c r="N1940" s="277">
        <v>9735915</v>
      </c>
      <c r="O1940" s="478"/>
    </row>
    <row r="1941" spans="1:15" ht="342.75" customHeight="1" x14ac:dyDescent="0.35">
      <c r="A1941" s="319" t="s">
        <v>4330</v>
      </c>
      <c r="B1941" s="463" t="s">
        <v>1633</v>
      </c>
      <c r="C1941" s="442" t="s">
        <v>379</v>
      </c>
      <c r="D1941" s="442" t="s">
        <v>4</v>
      </c>
      <c r="E1941" s="442" t="s">
        <v>25</v>
      </c>
      <c r="F1941" s="442" t="s">
        <v>522</v>
      </c>
      <c r="G1941" s="442" t="s">
        <v>522</v>
      </c>
      <c r="H1941" s="442">
        <v>70950</v>
      </c>
      <c r="I1941" s="531">
        <v>50000010104</v>
      </c>
      <c r="J1941" s="277">
        <v>49992133.994999997</v>
      </c>
      <c r="K1941" s="627"/>
      <c r="L1941" s="394"/>
      <c r="M1941" s="394" t="s">
        <v>5133</v>
      </c>
      <c r="N1941" s="277">
        <v>39993707</v>
      </c>
      <c r="O1941" s="478"/>
    </row>
    <row r="1942" spans="1:15" ht="99" customHeight="1" x14ac:dyDescent="0.35">
      <c r="A1942" s="319" t="s">
        <v>4331</v>
      </c>
      <c r="B1942" s="463" t="s">
        <v>1634</v>
      </c>
      <c r="C1942" s="442" t="s">
        <v>377</v>
      </c>
      <c r="D1942" s="442" t="s">
        <v>4</v>
      </c>
      <c r="E1942" s="442" t="s">
        <v>25</v>
      </c>
      <c r="F1942" s="442" t="s">
        <v>999</v>
      </c>
      <c r="G1942" s="442" t="s">
        <v>999</v>
      </c>
      <c r="H1942" s="442">
        <v>70950</v>
      </c>
      <c r="I1942" s="531">
        <v>50000010104</v>
      </c>
      <c r="J1942" s="277">
        <v>21463909.684999999</v>
      </c>
      <c r="K1942" s="627"/>
      <c r="L1942" s="394"/>
      <c r="M1942" s="394" t="s">
        <v>5133</v>
      </c>
      <c r="N1942" s="277"/>
      <c r="O1942" s="478"/>
    </row>
    <row r="1943" spans="1:15" ht="176.25" customHeight="1" x14ac:dyDescent="0.35">
      <c r="A1943" s="319" t="s">
        <v>4332</v>
      </c>
      <c r="B1943" s="463" t="s">
        <v>1635</v>
      </c>
      <c r="C1943" s="442" t="s">
        <v>379</v>
      </c>
      <c r="D1943" s="442" t="s">
        <v>4</v>
      </c>
      <c r="E1943" s="442" t="s">
        <v>25</v>
      </c>
      <c r="F1943" s="442" t="s">
        <v>522</v>
      </c>
      <c r="G1943" s="442" t="s">
        <v>522</v>
      </c>
      <c r="H1943" s="442">
        <v>70950</v>
      </c>
      <c r="I1943" s="531">
        <v>50000010104</v>
      </c>
      <c r="J1943" s="277">
        <v>21950000</v>
      </c>
      <c r="K1943" s="627"/>
      <c r="L1943" s="394"/>
      <c r="M1943" s="394" t="s">
        <v>5133</v>
      </c>
      <c r="N1943" s="277">
        <v>17593746</v>
      </c>
      <c r="O1943" s="478"/>
    </row>
    <row r="1944" spans="1:15" ht="111" customHeight="1" x14ac:dyDescent="0.35">
      <c r="A1944" s="319" t="s">
        <v>4333</v>
      </c>
      <c r="B1944" s="463" t="s">
        <v>1636</v>
      </c>
      <c r="C1944" s="442" t="s">
        <v>379</v>
      </c>
      <c r="D1944" s="442" t="s">
        <v>4</v>
      </c>
      <c r="E1944" s="442" t="s">
        <v>25</v>
      </c>
      <c r="F1944" s="442" t="s">
        <v>522</v>
      </c>
      <c r="G1944" s="442" t="s">
        <v>522</v>
      </c>
      <c r="H1944" s="442">
        <v>70950</v>
      </c>
      <c r="I1944" s="531">
        <v>50000010104</v>
      </c>
      <c r="J1944" s="277">
        <v>26846957.350000001</v>
      </c>
      <c r="K1944" s="627"/>
      <c r="L1944" s="394"/>
      <c r="M1944" s="394" t="s">
        <v>5133</v>
      </c>
      <c r="N1944" s="277"/>
      <c r="O1944" s="478"/>
    </row>
    <row r="1945" spans="1:15" ht="82.5" customHeight="1" x14ac:dyDescent="0.35">
      <c r="A1945" s="319" t="s">
        <v>4334</v>
      </c>
      <c r="B1945" s="463" t="s">
        <v>1638</v>
      </c>
      <c r="C1945" s="442" t="s">
        <v>379</v>
      </c>
      <c r="D1945" s="442" t="s">
        <v>4</v>
      </c>
      <c r="E1945" s="442" t="s">
        <v>25</v>
      </c>
      <c r="F1945" s="442" t="s">
        <v>522</v>
      </c>
      <c r="G1945" s="442" t="s">
        <v>522</v>
      </c>
      <c r="H1945" s="442">
        <v>70950</v>
      </c>
      <c r="I1945" s="531">
        <v>50000010104</v>
      </c>
      <c r="J1945" s="277">
        <v>38427984.259999998</v>
      </c>
      <c r="K1945" s="627"/>
      <c r="L1945" s="394"/>
      <c r="M1945" s="394" t="s">
        <v>5133</v>
      </c>
      <c r="N1945" s="277"/>
      <c r="O1945" s="478"/>
    </row>
    <row r="1946" spans="1:15" ht="109.5" customHeight="1" x14ac:dyDescent="0.35">
      <c r="A1946" s="319" t="s">
        <v>4335</v>
      </c>
      <c r="B1946" s="463" t="s">
        <v>1639</v>
      </c>
      <c r="C1946" s="442" t="s">
        <v>379</v>
      </c>
      <c r="D1946" s="442" t="s">
        <v>4</v>
      </c>
      <c r="E1946" s="442" t="s">
        <v>25</v>
      </c>
      <c r="F1946" s="442" t="s">
        <v>999</v>
      </c>
      <c r="G1946" s="442" t="s">
        <v>999</v>
      </c>
      <c r="H1946" s="442">
        <v>70950</v>
      </c>
      <c r="I1946" s="531">
        <v>50000010104</v>
      </c>
      <c r="J1946" s="277">
        <v>999012.02500000224</v>
      </c>
      <c r="K1946" s="627"/>
      <c r="L1946" s="394"/>
      <c r="M1946" s="394" t="s">
        <v>5133</v>
      </c>
      <c r="N1946" s="277"/>
      <c r="O1946" s="478"/>
    </row>
    <row r="1947" spans="1:15" ht="118.5" customHeight="1" x14ac:dyDescent="0.35">
      <c r="A1947" s="319" t="s">
        <v>4336</v>
      </c>
      <c r="B1947" s="463" t="s">
        <v>1640</v>
      </c>
      <c r="C1947" s="442" t="s">
        <v>808</v>
      </c>
      <c r="D1947" s="442" t="s">
        <v>4</v>
      </c>
      <c r="E1947" s="442" t="s">
        <v>25</v>
      </c>
      <c r="F1947" s="442" t="s">
        <v>999</v>
      </c>
      <c r="G1947" s="442" t="s">
        <v>999</v>
      </c>
      <c r="H1947" s="442">
        <v>70950</v>
      </c>
      <c r="I1947" s="531">
        <v>50000010104</v>
      </c>
      <c r="J1947" s="277">
        <v>44471928.350000001</v>
      </c>
      <c r="K1947" s="627"/>
      <c r="L1947" s="394"/>
      <c r="M1947" s="394" t="s">
        <v>5133</v>
      </c>
      <c r="N1947" s="277">
        <v>82126319</v>
      </c>
      <c r="O1947" s="478"/>
    </row>
    <row r="1948" spans="1:15" ht="108.75" customHeight="1" x14ac:dyDescent="0.35">
      <c r="A1948" s="319" t="s">
        <v>4337</v>
      </c>
      <c r="B1948" s="463" t="s">
        <v>809</v>
      </c>
      <c r="C1948" s="442" t="s">
        <v>808</v>
      </c>
      <c r="D1948" s="442" t="s">
        <v>4</v>
      </c>
      <c r="E1948" s="442" t="s">
        <v>25</v>
      </c>
      <c r="F1948" s="442" t="s">
        <v>999</v>
      </c>
      <c r="G1948" s="442" t="s">
        <v>999</v>
      </c>
      <c r="H1948" s="442">
        <v>70950</v>
      </c>
      <c r="I1948" s="531">
        <v>50000010104</v>
      </c>
      <c r="J1948" s="277">
        <v>12663240.645</v>
      </c>
      <c r="K1948" s="627"/>
      <c r="L1948" s="394"/>
      <c r="M1948" s="394" t="s">
        <v>5133</v>
      </c>
      <c r="N1948" s="277">
        <v>10130593</v>
      </c>
      <c r="O1948" s="478"/>
    </row>
    <row r="1949" spans="1:15" ht="96.75" customHeight="1" x14ac:dyDescent="0.35">
      <c r="A1949" s="319" t="s">
        <v>4338</v>
      </c>
      <c r="B1949" s="463" t="s">
        <v>1642</v>
      </c>
      <c r="C1949" s="442" t="s">
        <v>354</v>
      </c>
      <c r="D1949" s="442" t="s">
        <v>4</v>
      </c>
      <c r="E1949" s="442" t="s">
        <v>25</v>
      </c>
      <c r="F1949" s="442" t="s">
        <v>999</v>
      </c>
      <c r="G1949" s="442" t="s">
        <v>999</v>
      </c>
      <c r="H1949" s="442">
        <v>70950</v>
      </c>
      <c r="I1949" s="531">
        <v>50000010104</v>
      </c>
      <c r="J1949" s="277">
        <v>8124044.7950000018</v>
      </c>
      <c r="K1949" s="627"/>
      <c r="L1949" s="394"/>
      <c r="M1949" s="394" t="s">
        <v>5133</v>
      </c>
      <c r="N1949" s="277">
        <v>15254055</v>
      </c>
      <c r="O1949" s="478"/>
    </row>
    <row r="1950" spans="1:15" ht="118.5" customHeight="1" x14ac:dyDescent="0.35">
      <c r="A1950" s="319" t="s">
        <v>4339</v>
      </c>
      <c r="B1950" s="463" t="s">
        <v>1643</v>
      </c>
      <c r="C1950" s="442" t="s">
        <v>808</v>
      </c>
      <c r="D1950" s="442" t="s">
        <v>4</v>
      </c>
      <c r="E1950" s="442" t="s">
        <v>25</v>
      </c>
      <c r="F1950" s="442" t="s">
        <v>522</v>
      </c>
      <c r="G1950" s="442" t="s">
        <v>522</v>
      </c>
      <c r="H1950" s="442">
        <v>70950</v>
      </c>
      <c r="I1950" s="531">
        <v>50000010104</v>
      </c>
      <c r="J1950" s="277">
        <v>19205068.545000002</v>
      </c>
      <c r="K1950" s="627"/>
      <c r="L1950" s="394"/>
      <c r="M1950" s="394" t="s">
        <v>5133</v>
      </c>
      <c r="N1950" s="277">
        <v>15364055</v>
      </c>
      <c r="O1950" s="478"/>
    </row>
    <row r="1951" spans="1:15" ht="108.75" customHeight="1" x14ac:dyDescent="0.35">
      <c r="A1951" s="319" t="s">
        <v>4340</v>
      </c>
      <c r="B1951" s="463" t="s">
        <v>1644</v>
      </c>
      <c r="C1951" s="442" t="s">
        <v>379</v>
      </c>
      <c r="D1951" s="442" t="s">
        <v>4</v>
      </c>
      <c r="E1951" s="442" t="s">
        <v>25</v>
      </c>
      <c r="F1951" s="442" t="s">
        <v>522</v>
      </c>
      <c r="G1951" s="442" t="s">
        <v>522</v>
      </c>
      <c r="H1951" s="442">
        <v>70950</v>
      </c>
      <c r="I1951" s="531">
        <v>50000010104</v>
      </c>
      <c r="J1951" s="277">
        <v>11609639.42</v>
      </c>
      <c r="K1951" s="627"/>
      <c r="L1951" s="394"/>
      <c r="M1951" s="394" t="s">
        <v>5133</v>
      </c>
      <c r="N1951" s="277">
        <v>9287712</v>
      </c>
      <c r="O1951" s="478"/>
    </row>
    <row r="1952" spans="1:15" ht="80.25" customHeight="1" x14ac:dyDescent="0.35">
      <c r="A1952" s="319" t="s">
        <v>4341</v>
      </c>
      <c r="B1952" s="463" t="s">
        <v>1645</v>
      </c>
      <c r="C1952" s="442" t="s">
        <v>808</v>
      </c>
      <c r="D1952" s="442" t="s">
        <v>4</v>
      </c>
      <c r="E1952" s="442" t="s">
        <v>25</v>
      </c>
      <c r="F1952" s="442" t="s">
        <v>999</v>
      </c>
      <c r="G1952" s="442" t="s">
        <v>999</v>
      </c>
      <c r="H1952" s="442">
        <v>70950</v>
      </c>
      <c r="I1952" s="531">
        <v>50000010104</v>
      </c>
      <c r="J1952" s="277">
        <v>6787422.71</v>
      </c>
      <c r="K1952" s="627"/>
      <c r="L1952" s="394"/>
      <c r="M1952" s="394" t="s">
        <v>5133</v>
      </c>
      <c r="N1952" s="277">
        <v>7985203</v>
      </c>
      <c r="O1952" s="478"/>
    </row>
    <row r="1953" spans="1:15" ht="136.5" customHeight="1" x14ac:dyDescent="0.35">
      <c r="A1953" s="319" t="s">
        <v>4342</v>
      </c>
      <c r="B1953" s="463" t="s">
        <v>1646</v>
      </c>
      <c r="C1953" s="442" t="s">
        <v>1637</v>
      </c>
      <c r="D1953" s="442" t="s">
        <v>4</v>
      </c>
      <c r="E1953" s="442" t="s">
        <v>25</v>
      </c>
      <c r="F1953" s="442" t="s">
        <v>999</v>
      </c>
      <c r="G1953" s="442" t="s">
        <v>999</v>
      </c>
      <c r="H1953" s="442">
        <v>70950</v>
      </c>
      <c r="I1953" s="531">
        <v>50000010104</v>
      </c>
      <c r="J1953" s="277">
        <v>514893.35500000045</v>
      </c>
      <c r="K1953" s="627"/>
      <c r="L1953" s="394"/>
      <c r="M1953" s="394" t="s">
        <v>5133</v>
      </c>
      <c r="N1953" s="277">
        <v>4441535</v>
      </c>
      <c r="O1953" s="478"/>
    </row>
    <row r="1954" spans="1:15" ht="257.25" customHeight="1" x14ac:dyDescent="0.35">
      <c r="A1954" s="319" t="s">
        <v>4343</v>
      </c>
      <c r="B1954" s="463" t="s">
        <v>1647</v>
      </c>
      <c r="C1954" s="442" t="s">
        <v>379</v>
      </c>
      <c r="D1954" s="442" t="s">
        <v>4</v>
      </c>
      <c r="E1954" s="442" t="s">
        <v>25</v>
      </c>
      <c r="F1954" s="442" t="s">
        <v>999</v>
      </c>
      <c r="G1954" s="442" t="s">
        <v>999</v>
      </c>
      <c r="H1954" s="442">
        <v>70950</v>
      </c>
      <c r="I1954" s="531">
        <v>50000010104</v>
      </c>
      <c r="J1954" s="277">
        <v>26594060.155000001</v>
      </c>
      <c r="K1954" s="627"/>
      <c r="L1954" s="394"/>
      <c r="M1954" s="394" t="s">
        <v>5133</v>
      </c>
      <c r="N1954" s="277"/>
      <c r="O1954" s="478"/>
    </row>
    <row r="1955" spans="1:15" ht="132" customHeight="1" x14ac:dyDescent="0.35">
      <c r="A1955" s="319" t="s">
        <v>4344</v>
      </c>
      <c r="B1955" s="463" t="s">
        <v>1649</v>
      </c>
      <c r="C1955" s="442" t="s">
        <v>808</v>
      </c>
      <c r="D1955" s="442" t="s">
        <v>4</v>
      </c>
      <c r="E1955" s="442" t="s">
        <v>25</v>
      </c>
      <c r="F1955" s="442" t="s">
        <v>522</v>
      </c>
      <c r="G1955" s="442" t="s">
        <v>522</v>
      </c>
      <c r="H1955" s="442">
        <v>70950</v>
      </c>
      <c r="I1955" s="531">
        <v>50000010104</v>
      </c>
      <c r="J1955" s="277">
        <v>14888303.964999998</v>
      </c>
      <c r="K1955" s="627"/>
      <c r="L1955" s="394"/>
      <c r="M1955" s="394" t="s">
        <v>5133</v>
      </c>
      <c r="N1955" s="277"/>
      <c r="O1955" s="478"/>
    </row>
    <row r="1956" spans="1:15" ht="172.5" customHeight="1" x14ac:dyDescent="0.35">
      <c r="A1956" s="319" t="s">
        <v>4345</v>
      </c>
      <c r="B1956" s="463" t="s">
        <v>1650</v>
      </c>
      <c r="C1956" s="442" t="s">
        <v>189</v>
      </c>
      <c r="D1956" s="442" t="s">
        <v>4</v>
      </c>
      <c r="E1956" s="442" t="s">
        <v>25</v>
      </c>
      <c r="F1956" s="442" t="s">
        <v>522</v>
      </c>
      <c r="G1956" s="442" t="s">
        <v>522</v>
      </c>
      <c r="H1956" s="442">
        <v>70950</v>
      </c>
      <c r="I1956" s="531">
        <v>50000010104</v>
      </c>
      <c r="J1956" s="277">
        <v>1238606.4800000004</v>
      </c>
      <c r="K1956" s="627"/>
      <c r="L1956" s="394"/>
      <c r="M1956" s="394" t="s">
        <v>5133</v>
      </c>
      <c r="N1956" s="277"/>
      <c r="O1956" s="478"/>
    </row>
    <row r="1957" spans="1:15" ht="132.75" customHeight="1" x14ac:dyDescent="0.35">
      <c r="A1957" s="319" t="s">
        <v>4346</v>
      </c>
      <c r="B1957" s="463" t="s">
        <v>1651</v>
      </c>
      <c r="C1957" s="442" t="s">
        <v>1641</v>
      </c>
      <c r="D1957" s="442" t="s">
        <v>4</v>
      </c>
      <c r="E1957" s="442" t="s">
        <v>25</v>
      </c>
      <c r="F1957" s="442" t="s">
        <v>522</v>
      </c>
      <c r="G1957" s="442" t="s">
        <v>522</v>
      </c>
      <c r="H1957" s="442">
        <v>70950</v>
      </c>
      <c r="I1957" s="531">
        <v>50000010104</v>
      </c>
      <c r="J1957" s="277">
        <v>21024439.005000003</v>
      </c>
      <c r="K1957" s="627"/>
      <c r="L1957" s="394"/>
      <c r="M1957" s="394" t="s">
        <v>5133</v>
      </c>
      <c r="N1957" s="277"/>
      <c r="O1957" s="478"/>
    </row>
    <row r="1958" spans="1:15" ht="147" customHeight="1" x14ac:dyDescent="0.35">
      <c r="A1958" s="319" t="s">
        <v>4347</v>
      </c>
      <c r="B1958" s="463" t="s">
        <v>1652</v>
      </c>
      <c r="C1958" s="442" t="s">
        <v>1641</v>
      </c>
      <c r="D1958" s="442" t="s">
        <v>4</v>
      </c>
      <c r="E1958" s="442" t="s">
        <v>25</v>
      </c>
      <c r="F1958" s="442" t="s">
        <v>522</v>
      </c>
      <c r="G1958" s="442" t="s">
        <v>522</v>
      </c>
      <c r="H1958" s="442">
        <v>70950</v>
      </c>
      <c r="I1958" s="531">
        <v>50000010104</v>
      </c>
      <c r="J1958" s="277">
        <v>44863348.530000001</v>
      </c>
      <c r="K1958" s="627"/>
      <c r="L1958" s="394"/>
      <c r="M1958" s="394" t="s">
        <v>5133</v>
      </c>
      <c r="N1958" s="277"/>
      <c r="O1958" s="478"/>
    </row>
    <row r="1959" spans="1:15" ht="132.75" customHeight="1" x14ac:dyDescent="0.35">
      <c r="A1959" s="319" t="s">
        <v>4348</v>
      </c>
      <c r="B1959" s="463" t="s">
        <v>1653</v>
      </c>
      <c r="C1959" s="442" t="s">
        <v>1641</v>
      </c>
      <c r="D1959" s="442" t="s">
        <v>4</v>
      </c>
      <c r="E1959" s="442" t="s">
        <v>25</v>
      </c>
      <c r="F1959" s="442" t="s">
        <v>522</v>
      </c>
      <c r="G1959" s="442" t="s">
        <v>522</v>
      </c>
      <c r="H1959" s="442">
        <v>70950</v>
      </c>
      <c r="I1959" s="531">
        <v>50000010104</v>
      </c>
      <c r="J1959" s="277">
        <v>21521059.395</v>
      </c>
      <c r="K1959" s="627"/>
      <c r="L1959" s="394"/>
      <c r="M1959" s="394" t="s">
        <v>5133</v>
      </c>
      <c r="N1959" s="277"/>
      <c r="O1959" s="478"/>
    </row>
    <row r="1960" spans="1:15" ht="83.25" customHeight="1" x14ac:dyDescent="0.35">
      <c r="A1960" s="319" t="s">
        <v>4349</v>
      </c>
      <c r="B1960" s="463" t="s">
        <v>1654</v>
      </c>
      <c r="C1960" s="442" t="s">
        <v>652</v>
      </c>
      <c r="D1960" s="442" t="s">
        <v>4</v>
      </c>
      <c r="E1960" s="442" t="s">
        <v>25</v>
      </c>
      <c r="F1960" s="442" t="s">
        <v>999</v>
      </c>
      <c r="G1960" s="442" t="s">
        <v>999</v>
      </c>
      <c r="H1960" s="442">
        <v>70950</v>
      </c>
      <c r="I1960" s="531">
        <v>50000010104</v>
      </c>
      <c r="J1960" s="277">
        <v>9922231.2349999994</v>
      </c>
      <c r="K1960" s="627"/>
      <c r="L1960" s="394"/>
      <c r="M1960" s="394" t="s">
        <v>5133</v>
      </c>
      <c r="N1960" s="277"/>
      <c r="O1960" s="478"/>
    </row>
    <row r="1961" spans="1:15" ht="82.5" customHeight="1" x14ac:dyDescent="0.35">
      <c r="A1961" s="319" t="s">
        <v>4350</v>
      </c>
      <c r="B1961" s="463" t="s">
        <v>1655</v>
      </c>
      <c r="C1961" s="442" t="s">
        <v>652</v>
      </c>
      <c r="D1961" s="442" t="s">
        <v>4</v>
      </c>
      <c r="E1961" s="442" t="s">
        <v>25</v>
      </c>
      <c r="F1961" s="442" t="s">
        <v>999</v>
      </c>
      <c r="G1961" s="442" t="s">
        <v>999</v>
      </c>
      <c r="H1961" s="442">
        <v>70912</v>
      </c>
      <c r="I1961" s="531">
        <v>50000010104</v>
      </c>
      <c r="J1961" s="277">
        <v>329917.12999999989</v>
      </c>
      <c r="K1961" s="627"/>
      <c r="L1961" s="394"/>
      <c r="M1961" s="394" t="s">
        <v>5133</v>
      </c>
      <c r="N1961" s="277"/>
      <c r="O1961" s="478"/>
    </row>
    <row r="1962" spans="1:15" ht="165.75" customHeight="1" x14ac:dyDescent="0.35">
      <c r="A1962" s="319" t="s">
        <v>4351</v>
      </c>
      <c r="B1962" s="463" t="s">
        <v>1656</v>
      </c>
      <c r="C1962" s="442" t="s">
        <v>652</v>
      </c>
      <c r="D1962" s="442" t="s">
        <v>4</v>
      </c>
      <c r="E1962" s="442" t="s">
        <v>25</v>
      </c>
      <c r="F1962" s="442" t="s">
        <v>999</v>
      </c>
      <c r="G1962" s="442" t="s">
        <v>999</v>
      </c>
      <c r="H1962" s="442">
        <v>70950</v>
      </c>
      <c r="I1962" s="531">
        <v>50000010104</v>
      </c>
      <c r="J1962" s="277">
        <v>32044502.980000004</v>
      </c>
      <c r="K1962" s="627"/>
      <c r="L1962" s="394"/>
      <c r="M1962" s="394" t="s">
        <v>5133</v>
      </c>
      <c r="N1962" s="277"/>
      <c r="O1962" s="478"/>
    </row>
    <row r="1963" spans="1:15" ht="86.25" customHeight="1" x14ac:dyDescent="0.35">
      <c r="A1963" s="319" t="s">
        <v>4352</v>
      </c>
      <c r="B1963" s="463" t="s">
        <v>1657</v>
      </c>
      <c r="C1963" s="442" t="s">
        <v>1648</v>
      </c>
      <c r="D1963" s="442" t="s">
        <v>4</v>
      </c>
      <c r="E1963" s="442" t="s">
        <v>25</v>
      </c>
      <c r="F1963" s="442" t="s">
        <v>999</v>
      </c>
      <c r="G1963" s="442" t="s">
        <v>999</v>
      </c>
      <c r="H1963" s="442">
        <v>70950</v>
      </c>
      <c r="I1963" s="531">
        <v>50000010104</v>
      </c>
      <c r="J1963" s="277">
        <v>39952218.585000001</v>
      </c>
      <c r="K1963" s="627"/>
      <c r="L1963" s="394"/>
      <c r="M1963" s="394" t="s">
        <v>5133</v>
      </c>
      <c r="N1963" s="277">
        <v>40619347</v>
      </c>
      <c r="O1963" s="478"/>
    </row>
    <row r="1964" spans="1:15" ht="195" customHeight="1" x14ac:dyDescent="0.35">
      <c r="A1964" s="319" t="s">
        <v>4353</v>
      </c>
      <c r="B1964" s="463" t="s">
        <v>1658</v>
      </c>
      <c r="C1964" s="442" t="s">
        <v>497</v>
      </c>
      <c r="D1964" s="442" t="s">
        <v>4</v>
      </c>
      <c r="E1964" s="442" t="s">
        <v>25</v>
      </c>
      <c r="F1964" s="442" t="s">
        <v>999</v>
      </c>
      <c r="G1964" s="442" t="s">
        <v>999</v>
      </c>
      <c r="H1964" s="442">
        <v>70950</v>
      </c>
      <c r="I1964" s="531">
        <v>50000010104</v>
      </c>
      <c r="J1964" s="277">
        <v>44979442.609999999</v>
      </c>
      <c r="K1964" s="627"/>
      <c r="L1964" s="394"/>
      <c r="M1964" s="394" t="s">
        <v>5133</v>
      </c>
      <c r="N1964" s="277">
        <v>47978072</v>
      </c>
      <c r="O1964" s="478"/>
    </row>
    <row r="1965" spans="1:15" ht="110.25" customHeight="1" x14ac:dyDescent="0.35">
      <c r="A1965" s="319" t="s">
        <v>4354</v>
      </c>
      <c r="B1965" s="463" t="s">
        <v>1660</v>
      </c>
      <c r="C1965" s="442" t="s">
        <v>1501</v>
      </c>
      <c r="D1965" s="442" t="s">
        <v>4</v>
      </c>
      <c r="E1965" s="442" t="s">
        <v>25</v>
      </c>
      <c r="F1965" s="442" t="s">
        <v>522</v>
      </c>
      <c r="G1965" s="442" t="s">
        <v>522</v>
      </c>
      <c r="H1965" s="442">
        <v>70950</v>
      </c>
      <c r="I1965" s="531">
        <v>50000010104</v>
      </c>
      <c r="J1965" s="277">
        <v>5822932.5</v>
      </c>
      <c r="K1965" s="627"/>
      <c r="L1965" s="394"/>
      <c r="M1965" s="394" t="s">
        <v>5133</v>
      </c>
      <c r="N1965" s="277"/>
      <c r="O1965" s="478"/>
    </row>
    <row r="1966" spans="1:15" ht="117.75" customHeight="1" x14ac:dyDescent="0.35">
      <c r="A1966" s="319" t="s">
        <v>4355</v>
      </c>
      <c r="B1966" s="463" t="s">
        <v>1661</v>
      </c>
      <c r="C1966" s="442" t="s">
        <v>196</v>
      </c>
      <c r="D1966" s="442" t="s">
        <v>4</v>
      </c>
      <c r="E1966" s="442" t="s">
        <v>25</v>
      </c>
      <c r="F1966" s="442" t="s">
        <v>999</v>
      </c>
      <c r="G1966" s="442" t="s">
        <v>999</v>
      </c>
      <c r="H1966" s="442">
        <v>70950</v>
      </c>
      <c r="I1966" s="531">
        <v>50000010104</v>
      </c>
      <c r="J1966" s="277">
        <v>10220720.450000001</v>
      </c>
      <c r="K1966" s="627"/>
      <c r="L1966" s="394"/>
      <c r="M1966" s="394" t="s">
        <v>5133</v>
      </c>
      <c r="N1966" s="277"/>
      <c r="O1966" s="478"/>
    </row>
    <row r="1967" spans="1:15" ht="132" customHeight="1" x14ac:dyDescent="0.35">
      <c r="A1967" s="319" t="s">
        <v>4356</v>
      </c>
      <c r="B1967" s="463" t="s">
        <v>1663</v>
      </c>
      <c r="C1967" s="442" t="s">
        <v>652</v>
      </c>
      <c r="D1967" s="442" t="s">
        <v>4</v>
      </c>
      <c r="E1967" s="442" t="s">
        <v>25</v>
      </c>
      <c r="F1967" s="442" t="s">
        <v>999</v>
      </c>
      <c r="G1967" s="442" t="s">
        <v>999</v>
      </c>
      <c r="H1967" s="442">
        <v>70950</v>
      </c>
      <c r="I1967" s="531">
        <v>50000010104</v>
      </c>
      <c r="J1967" s="277">
        <v>8971384.7050000019</v>
      </c>
      <c r="K1967" s="627"/>
      <c r="L1967" s="394"/>
      <c r="M1967" s="394" t="s">
        <v>5133</v>
      </c>
      <c r="N1967" s="277"/>
      <c r="O1967" s="252"/>
    </row>
    <row r="1968" spans="1:15" ht="163.5" customHeight="1" x14ac:dyDescent="0.35">
      <c r="A1968" s="319" t="s">
        <v>4357</v>
      </c>
      <c r="B1968" s="463" t="s">
        <v>1664</v>
      </c>
      <c r="C1968" s="442" t="s">
        <v>196</v>
      </c>
      <c r="D1968" s="442" t="s">
        <v>4</v>
      </c>
      <c r="E1968" s="442" t="s">
        <v>25</v>
      </c>
      <c r="F1968" s="442" t="s">
        <v>999</v>
      </c>
      <c r="G1968" s="442" t="s">
        <v>999</v>
      </c>
      <c r="H1968" s="442">
        <v>70950</v>
      </c>
      <c r="I1968" s="531">
        <v>50000010104</v>
      </c>
      <c r="J1968" s="277">
        <v>3755859.6600000039</v>
      </c>
      <c r="K1968" s="627"/>
      <c r="L1968" s="394"/>
      <c r="M1968" s="394" t="s">
        <v>5133</v>
      </c>
      <c r="N1968" s="277">
        <v>39911088</v>
      </c>
      <c r="O1968" s="478"/>
    </row>
    <row r="1969" spans="1:16" ht="83.25" customHeight="1" x14ac:dyDescent="0.35">
      <c r="A1969" s="319" t="s">
        <v>4358</v>
      </c>
      <c r="B1969" s="463" t="s">
        <v>1665</v>
      </c>
      <c r="C1969" s="442" t="s">
        <v>189</v>
      </c>
      <c r="D1969" s="442" t="s">
        <v>4</v>
      </c>
      <c r="E1969" s="442" t="s">
        <v>25</v>
      </c>
      <c r="F1969" s="442" t="s">
        <v>999</v>
      </c>
      <c r="G1969" s="442" t="s">
        <v>999</v>
      </c>
      <c r="H1969" s="442">
        <v>70950</v>
      </c>
      <c r="I1969" s="531">
        <v>50000010104</v>
      </c>
      <c r="J1969" s="277">
        <v>14300676.410000002</v>
      </c>
      <c r="K1969" s="627"/>
      <c r="L1969" s="394"/>
      <c r="M1969" s="394" t="s">
        <v>5133</v>
      </c>
      <c r="N1969" s="277">
        <v>16254055</v>
      </c>
      <c r="O1969" s="478"/>
    </row>
    <row r="1970" spans="1:16" ht="70.5" customHeight="1" x14ac:dyDescent="0.35">
      <c r="A1970" s="319" t="s">
        <v>4359</v>
      </c>
      <c r="B1970" s="463" t="s">
        <v>1667</v>
      </c>
      <c r="C1970" s="442" t="s">
        <v>189</v>
      </c>
      <c r="D1970" s="442" t="s">
        <v>4</v>
      </c>
      <c r="E1970" s="442" t="s">
        <v>25</v>
      </c>
      <c r="F1970" s="442" t="s">
        <v>999</v>
      </c>
      <c r="G1970" s="442" t="s">
        <v>999</v>
      </c>
      <c r="H1970" s="442">
        <v>70950</v>
      </c>
      <c r="I1970" s="531">
        <v>50000010104</v>
      </c>
      <c r="J1970" s="277">
        <v>12573240.645</v>
      </c>
      <c r="K1970" s="627"/>
      <c r="L1970" s="394"/>
      <c r="M1970" s="394" t="s">
        <v>5133</v>
      </c>
      <c r="N1970" s="149"/>
      <c r="O1970" s="478"/>
    </row>
    <row r="1971" spans="1:16" ht="90.75" customHeight="1" x14ac:dyDescent="0.35">
      <c r="A1971" s="319" t="s">
        <v>4360</v>
      </c>
      <c r="B1971" s="463" t="s">
        <v>1668</v>
      </c>
      <c r="C1971" s="442" t="s">
        <v>1641</v>
      </c>
      <c r="D1971" s="442" t="s">
        <v>4</v>
      </c>
      <c r="E1971" s="442" t="s">
        <v>25</v>
      </c>
      <c r="F1971" s="442" t="s">
        <v>999</v>
      </c>
      <c r="G1971" s="442" t="s">
        <v>999</v>
      </c>
      <c r="H1971" s="442">
        <v>70950</v>
      </c>
      <c r="I1971" s="531">
        <v>50000010104</v>
      </c>
      <c r="J1971" s="277">
        <v>19205068.5</v>
      </c>
      <c r="K1971" s="627"/>
      <c r="L1971" s="394"/>
      <c r="M1971" s="394" t="s">
        <v>5133</v>
      </c>
      <c r="N1971" s="149"/>
      <c r="O1971" s="478"/>
    </row>
    <row r="1972" spans="1:16" ht="97.5" customHeight="1" x14ac:dyDescent="0.35">
      <c r="A1972" s="319" t="s">
        <v>4361</v>
      </c>
      <c r="B1972" s="463" t="s">
        <v>1669</v>
      </c>
      <c r="C1972" s="442" t="s">
        <v>617</v>
      </c>
      <c r="D1972" s="442" t="s">
        <v>4</v>
      </c>
      <c r="E1972" s="442" t="s">
        <v>25</v>
      </c>
      <c r="F1972" s="442" t="s">
        <v>522</v>
      </c>
      <c r="G1972" s="442" t="s">
        <v>522</v>
      </c>
      <c r="H1972" s="442">
        <v>70950</v>
      </c>
      <c r="I1972" s="531">
        <v>50000010104</v>
      </c>
      <c r="J1972" s="277">
        <v>10910042.91</v>
      </c>
      <c r="K1972" s="627"/>
      <c r="L1972" s="394"/>
      <c r="M1972" s="394" t="s">
        <v>5133</v>
      </c>
      <c r="N1972" s="277">
        <v>8728034</v>
      </c>
      <c r="O1972" s="478"/>
    </row>
    <row r="1973" spans="1:16" s="433" customFormat="1" ht="93.75" customHeight="1" x14ac:dyDescent="0.35">
      <c r="A1973" s="319" t="s">
        <v>4362</v>
      </c>
      <c r="B1973" s="463" t="s">
        <v>1670</v>
      </c>
      <c r="C1973" s="347" t="s">
        <v>1659</v>
      </c>
      <c r="D1973" s="347" t="s">
        <v>4</v>
      </c>
      <c r="E1973" s="347" t="s">
        <v>25</v>
      </c>
      <c r="F1973" s="347" t="s">
        <v>522</v>
      </c>
      <c r="G1973" s="347" t="s">
        <v>522</v>
      </c>
      <c r="H1973" s="347">
        <v>70912</v>
      </c>
      <c r="I1973" s="531">
        <v>50000010104</v>
      </c>
      <c r="J1973" s="277">
        <v>16548591.710000001</v>
      </c>
      <c r="K1973" s="631"/>
      <c r="L1973" s="394"/>
      <c r="M1973" s="394" t="s">
        <v>5133</v>
      </c>
      <c r="N1973" s="393"/>
      <c r="P1973" s="438"/>
    </row>
    <row r="1974" spans="1:16" s="433" customFormat="1" ht="171.75" customHeight="1" x14ac:dyDescent="0.35">
      <c r="A1974" s="319" t="s">
        <v>4363</v>
      </c>
      <c r="B1974" s="463" t="s">
        <v>1671</v>
      </c>
      <c r="C1974" s="347" t="s">
        <v>622</v>
      </c>
      <c r="D1974" s="347" t="s">
        <v>4</v>
      </c>
      <c r="E1974" s="347" t="s">
        <v>25</v>
      </c>
      <c r="F1974" s="347" t="s">
        <v>522</v>
      </c>
      <c r="G1974" s="347" t="s">
        <v>522</v>
      </c>
      <c r="H1974" s="347">
        <v>70950</v>
      </c>
      <c r="I1974" s="531">
        <v>50000010104</v>
      </c>
      <c r="J1974" s="277">
        <v>37222286.25</v>
      </c>
      <c r="K1974" s="631"/>
      <c r="L1974" s="394"/>
      <c r="M1974" s="394" t="s">
        <v>5133</v>
      </c>
      <c r="N1974" s="393">
        <v>39703772</v>
      </c>
      <c r="P1974" s="438"/>
    </row>
    <row r="1975" spans="1:16" ht="81.75" customHeight="1" x14ac:dyDescent="0.35">
      <c r="A1975" s="319" t="s">
        <v>4364</v>
      </c>
      <c r="B1975" s="463" t="s">
        <v>1672</v>
      </c>
      <c r="C1975" s="442" t="s">
        <v>1662</v>
      </c>
      <c r="D1975" s="442" t="s">
        <v>4</v>
      </c>
      <c r="E1975" s="442" t="s">
        <v>25</v>
      </c>
      <c r="F1975" s="442" t="s">
        <v>999</v>
      </c>
      <c r="G1975" s="442" t="s">
        <v>999</v>
      </c>
      <c r="H1975" s="442">
        <v>70950</v>
      </c>
      <c r="I1975" s="531">
        <v>50000010104</v>
      </c>
      <c r="J1975" s="277">
        <v>647205.1099999994</v>
      </c>
      <c r="K1975" s="627"/>
      <c r="L1975" s="394"/>
      <c r="M1975" s="394" t="s">
        <v>5133</v>
      </c>
      <c r="N1975" s="277">
        <v>14200448</v>
      </c>
      <c r="O1975" s="478"/>
    </row>
    <row r="1976" spans="1:16" ht="108.75" customHeight="1" x14ac:dyDescent="0.35">
      <c r="A1976" s="319" t="s">
        <v>4365</v>
      </c>
      <c r="B1976" s="463" t="s">
        <v>1673</v>
      </c>
      <c r="C1976" s="442" t="s">
        <v>1662</v>
      </c>
      <c r="D1976" s="442" t="s">
        <v>4</v>
      </c>
      <c r="E1976" s="442" t="s">
        <v>25</v>
      </c>
      <c r="F1976" s="442" t="s">
        <v>999</v>
      </c>
      <c r="G1976" s="442" t="s">
        <v>999</v>
      </c>
      <c r="H1976" s="442">
        <v>70950</v>
      </c>
      <c r="I1976" s="531">
        <v>50000010104</v>
      </c>
      <c r="J1976" s="277">
        <v>15532281.408750001</v>
      </c>
      <c r="K1976" s="627"/>
      <c r="L1976" s="394"/>
      <c r="M1976" s="394" t="s">
        <v>5133</v>
      </c>
      <c r="N1976" s="277">
        <v>16567767</v>
      </c>
      <c r="O1976" s="478"/>
    </row>
    <row r="1977" spans="1:16" ht="69.75" customHeight="1" x14ac:dyDescent="0.35">
      <c r="A1977" s="319" t="s">
        <v>4366</v>
      </c>
      <c r="B1977" s="463" t="s">
        <v>1674</v>
      </c>
      <c r="C1977" s="442" t="s">
        <v>472</v>
      </c>
      <c r="D1977" s="442" t="s">
        <v>4</v>
      </c>
      <c r="E1977" s="442" t="s">
        <v>25</v>
      </c>
      <c r="F1977" s="442" t="s">
        <v>999</v>
      </c>
      <c r="G1977" s="442" t="s">
        <v>999</v>
      </c>
      <c r="H1977" s="442">
        <v>70950</v>
      </c>
      <c r="I1977" s="531">
        <v>50000010104</v>
      </c>
      <c r="J1977" s="277">
        <v>787711.5</v>
      </c>
      <c r="K1977" s="627"/>
      <c r="L1977" s="394"/>
      <c r="M1977" s="394" t="s">
        <v>5133</v>
      </c>
      <c r="N1977" s="277"/>
      <c r="O1977" s="478"/>
    </row>
    <row r="1978" spans="1:16" ht="102.75" customHeight="1" x14ac:dyDescent="0.35">
      <c r="A1978" s="319" t="s">
        <v>4367</v>
      </c>
      <c r="B1978" s="463" t="s">
        <v>1675</v>
      </c>
      <c r="C1978" s="442" t="s">
        <v>1666</v>
      </c>
      <c r="D1978" s="442" t="s">
        <v>4</v>
      </c>
      <c r="E1978" s="442" t="s">
        <v>25</v>
      </c>
      <c r="F1978" s="442" t="s">
        <v>522</v>
      </c>
      <c r="G1978" s="442" t="s">
        <v>522</v>
      </c>
      <c r="H1978" s="442">
        <v>70912</v>
      </c>
      <c r="I1978" s="531">
        <v>50000010104</v>
      </c>
      <c r="J1978" s="277">
        <v>17750559.765000001</v>
      </c>
      <c r="K1978" s="627"/>
      <c r="L1978" s="394"/>
      <c r="M1978" s="394" t="s">
        <v>5133</v>
      </c>
      <c r="N1978" s="277"/>
      <c r="O1978" s="478"/>
    </row>
    <row r="1979" spans="1:16" ht="162.75" customHeight="1" x14ac:dyDescent="0.35">
      <c r="A1979" s="319" t="s">
        <v>4368</v>
      </c>
      <c r="B1979" s="463" t="s">
        <v>1676</v>
      </c>
      <c r="C1979" s="442" t="s">
        <v>1666</v>
      </c>
      <c r="D1979" s="442" t="s">
        <v>4</v>
      </c>
      <c r="E1979" s="442" t="s">
        <v>25</v>
      </c>
      <c r="F1979" s="442" t="s">
        <v>522</v>
      </c>
      <c r="G1979" s="442" t="s">
        <v>522</v>
      </c>
      <c r="H1979" s="442">
        <v>70950</v>
      </c>
      <c r="I1979" s="531">
        <v>50000010104</v>
      </c>
      <c r="J1979" s="277">
        <v>26312513.725000001</v>
      </c>
      <c r="K1979" s="627"/>
      <c r="L1979" s="394"/>
      <c r="M1979" s="394" t="s">
        <v>5133</v>
      </c>
      <c r="N1979" s="277"/>
      <c r="O1979" s="478"/>
    </row>
    <row r="1980" spans="1:16" ht="160.5" customHeight="1" x14ac:dyDescent="0.35">
      <c r="A1980" s="319" t="s">
        <v>4369</v>
      </c>
      <c r="B1980" s="463" t="s">
        <v>1677</v>
      </c>
      <c r="C1980" s="442" t="s">
        <v>1666</v>
      </c>
      <c r="D1980" s="442" t="s">
        <v>4</v>
      </c>
      <c r="E1980" s="442" t="s">
        <v>25</v>
      </c>
      <c r="F1980" s="442" t="s">
        <v>522</v>
      </c>
      <c r="G1980" s="442" t="s">
        <v>522</v>
      </c>
      <c r="H1980" s="442">
        <v>70950</v>
      </c>
      <c r="I1980" s="531">
        <v>50000010104</v>
      </c>
      <c r="J1980" s="277">
        <v>24684620.5</v>
      </c>
      <c r="K1980" s="627"/>
      <c r="L1980" s="394"/>
      <c r="M1980" s="394" t="s">
        <v>5133</v>
      </c>
      <c r="N1980" s="277"/>
      <c r="O1980" s="478"/>
    </row>
    <row r="1981" spans="1:16" ht="46.5" customHeight="1" x14ac:dyDescent="0.35">
      <c r="A1981" s="319" t="s">
        <v>4370</v>
      </c>
      <c r="B1981" s="463" t="s">
        <v>1678</v>
      </c>
      <c r="C1981" s="442" t="s">
        <v>639</v>
      </c>
      <c r="D1981" s="442" t="s">
        <v>4</v>
      </c>
      <c r="E1981" s="442" t="s">
        <v>25</v>
      </c>
      <c r="F1981" s="442" t="s">
        <v>999</v>
      </c>
      <c r="G1981" s="442" t="s">
        <v>999</v>
      </c>
      <c r="H1981" s="442">
        <v>70912</v>
      </c>
      <c r="I1981" s="531">
        <v>50000010104</v>
      </c>
      <c r="J1981" s="277">
        <v>52884350.945000008</v>
      </c>
      <c r="K1981" s="627"/>
      <c r="L1981" s="394"/>
      <c r="M1981" s="394" t="s">
        <v>5133</v>
      </c>
      <c r="N1981" s="277"/>
      <c r="O1981" s="478"/>
    </row>
    <row r="1982" spans="1:16" ht="131.25" customHeight="1" x14ac:dyDescent="0.35">
      <c r="A1982" s="319" t="s">
        <v>4371</v>
      </c>
      <c r="B1982" s="463" t="s">
        <v>1679</v>
      </c>
      <c r="C1982" s="442" t="s">
        <v>639</v>
      </c>
      <c r="D1982" s="442" t="s">
        <v>4</v>
      </c>
      <c r="E1982" s="442" t="s">
        <v>25</v>
      </c>
      <c r="F1982" s="442" t="s">
        <v>999</v>
      </c>
      <c r="G1982" s="442" t="s">
        <v>999</v>
      </c>
      <c r="H1982" s="442">
        <v>70950</v>
      </c>
      <c r="I1982" s="531">
        <v>50000010104</v>
      </c>
      <c r="J1982" s="277">
        <v>12002005.99</v>
      </c>
      <c r="K1982" s="627"/>
      <c r="L1982" s="394"/>
      <c r="M1982" s="394" t="s">
        <v>5133</v>
      </c>
      <c r="N1982" s="277"/>
      <c r="O1982" s="478"/>
    </row>
    <row r="1983" spans="1:16" ht="74.25" customHeight="1" x14ac:dyDescent="0.35">
      <c r="A1983" s="319" t="s">
        <v>4372</v>
      </c>
      <c r="B1983" s="463" t="s">
        <v>1680</v>
      </c>
      <c r="C1983" s="442" t="s">
        <v>1666</v>
      </c>
      <c r="D1983" s="442" t="s">
        <v>4</v>
      </c>
      <c r="E1983" s="442" t="s">
        <v>25</v>
      </c>
      <c r="F1983" s="442" t="s">
        <v>522</v>
      </c>
      <c r="G1983" s="442" t="s">
        <v>522</v>
      </c>
      <c r="H1983" s="442">
        <v>70950</v>
      </c>
      <c r="I1983" s="531">
        <v>50000010104</v>
      </c>
      <c r="J1983" s="277">
        <v>4136400</v>
      </c>
      <c r="K1983" s="627"/>
      <c r="L1983" s="394"/>
      <c r="M1983" s="394" t="s">
        <v>5133</v>
      </c>
      <c r="N1983" s="277">
        <v>3309120</v>
      </c>
      <c r="O1983" s="478"/>
    </row>
    <row r="1984" spans="1:16" ht="71.25" customHeight="1" x14ac:dyDescent="0.35">
      <c r="A1984" s="319" t="s">
        <v>4373</v>
      </c>
      <c r="B1984" s="463" t="s">
        <v>1681</v>
      </c>
      <c r="C1984" s="442" t="s">
        <v>618</v>
      </c>
      <c r="D1984" s="442" t="s">
        <v>4</v>
      </c>
      <c r="E1984" s="442" t="s">
        <v>25</v>
      </c>
      <c r="F1984" s="442" t="s">
        <v>522</v>
      </c>
      <c r="G1984" s="442" t="s">
        <v>522</v>
      </c>
      <c r="H1984" s="442">
        <v>70912</v>
      </c>
      <c r="I1984" s="531">
        <v>50000010104</v>
      </c>
      <c r="J1984" s="277">
        <v>324603.52000000048</v>
      </c>
      <c r="K1984" s="627"/>
      <c r="L1984" s="394"/>
      <c r="M1984" s="394" t="s">
        <v>5133</v>
      </c>
      <c r="N1984" s="277">
        <v>4124690</v>
      </c>
      <c r="O1984" s="478"/>
    </row>
    <row r="1985" spans="1:15" ht="71.25" customHeight="1" x14ac:dyDescent="0.35">
      <c r="A1985" s="319" t="s">
        <v>4374</v>
      </c>
      <c r="B1985" s="463" t="s">
        <v>1682</v>
      </c>
      <c r="C1985" s="442" t="s">
        <v>618</v>
      </c>
      <c r="D1985" s="442" t="s">
        <v>4</v>
      </c>
      <c r="E1985" s="442" t="s">
        <v>25</v>
      </c>
      <c r="F1985" s="442" t="s">
        <v>522</v>
      </c>
      <c r="G1985" s="442" t="s">
        <v>522</v>
      </c>
      <c r="H1985" s="442">
        <v>70950</v>
      </c>
      <c r="I1985" s="531">
        <v>50000010104</v>
      </c>
      <c r="J1985" s="277">
        <v>15382888.77</v>
      </c>
      <c r="K1985" s="627"/>
      <c r="L1985" s="394"/>
      <c r="M1985" s="394" t="s">
        <v>5133</v>
      </c>
      <c r="N1985" s="277">
        <v>12306311</v>
      </c>
      <c r="O1985" s="478"/>
    </row>
    <row r="1986" spans="1:15" ht="90.75" customHeight="1" x14ac:dyDescent="0.35">
      <c r="A1986" s="319" t="s">
        <v>4375</v>
      </c>
      <c r="B1986" s="463" t="s">
        <v>1683</v>
      </c>
      <c r="C1986" s="442" t="s">
        <v>635</v>
      </c>
      <c r="D1986" s="442" t="s">
        <v>4</v>
      </c>
      <c r="E1986" s="442" t="s">
        <v>25</v>
      </c>
      <c r="F1986" s="442" t="s">
        <v>999</v>
      </c>
      <c r="G1986" s="442" t="s">
        <v>999</v>
      </c>
      <c r="H1986" s="442">
        <v>70950</v>
      </c>
      <c r="I1986" s="531">
        <v>50000010104</v>
      </c>
      <c r="J1986" s="277">
        <v>6885080.6550000003</v>
      </c>
      <c r="K1986" s="627"/>
      <c r="L1986" s="394"/>
      <c r="M1986" s="394" t="s">
        <v>5133</v>
      </c>
      <c r="N1986" s="277">
        <v>5508065</v>
      </c>
      <c r="O1986" s="478"/>
    </row>
    <row r="1987" spans="1:15" ht="75" customHeight="1" x14ac:dyDescent="0.35">
      <c r="A1987" s="319" t="s">
        <v>4376</v>
      </c>
      <c r="B1987" s="463" t="s">
        <v>1684</v>
      </c>
      <c r="C1987" s="442" t="s">
        <v>635</v>
      </c>
      <c r="D1987" s="442" t="s">
        <v>4</v>
      </c>
      <c r="E1987" s="442" t="s">
        <v>25</v>
      </c>
      <c r="F1987" s="442" t="s">
        <v>522</v>
      </c>
      <c r="G1987" s="442" t="s">
        <v>522</v>
      </c>
      <c r="H1987" s="442">
        <v>70950</v>
      </c>
      <c r="I1987" s="531">
        <v>50000010104</v>
      </c>
      <c r="J1987" s="277">
        <v>5724678.4649999999</v>
      </c>
      <c r="K1987" s="627"/>
      <c r="L1987" s="394"/>
      <c r="M1987" s="394" t="s">
        <v>5133</v>
      </c>
      <c r="N1987" s="277">
        <v>4579743</v>
      </c>
      <c r="O1987" s="478"/>
    </row>
    <row r="1988" spans="1:15" ht="75" customHeight="1" x14ac:dyDescent="0.35">
      <c r="A1988" s="319" t="s">
        <v>4377</v>
      </c>
      <c r="B1988" s="463" t="s">
        <v>1685</v>
      </c>
      <c r="C1988" s="442" t="s">
        <v>410</v>
      </c>
      <c r="D1988" s="442" t="s">
        <v>4</v>
      </c>
      <c r="E1988" s="442" t="s">
        <v>25</v>
      </c>
      <c r="F1988" s="442" t="s">
        <v>999</v>
      </c>
      <c r="G1988" s="442" t="s">
        <v>999</v>
      </c>
      <c r="H1988" s="442">
        <v>70912</v>
      </c>
      <c r="I1988" s="531">
        <v>50000010104</v>
      </c>
      <c r="J1988" s="277">
        <v>10728374.365</v>
      </c>
      <c r="K1988" s="627"/>
      <c r="L1988" s="394"/>
      <c r="M1988" s="394" t="s">
        <v>5133</v>
      </c>
      <c r="N1988" s="277">
        <v>8582699</v>
      </c>
      <c r="O1988" s="478"/>
    </row>
    <row r="1989" spans="1:15" ht="104.25" customHeight="1" x14ac:dyDescent="0.35">
      <c r="A1989" s="319" t="s">
        <v>4378</v>
      </c>
      <c r="B1989" s="463" t="s">
        <v>1686</v>
      </c>
      <c r="C1989" s="442" t="s">
        <v>618</v>
      </c>
      <c r="D1989" s="442" t="s">
        <v>4</v>
      </c>
      <c r="E1989" s="442" t="s">
        <v>25</v>
      </c>
      <c r="F1989" s="442" t="s">
        <v>522</v>
      </c>
      <c r="G1989" s="442" t="s">
        <v>522</v>
      </c>
      <c r="H1989" s="442">
        <v>70950</v>
      </c>
      <c r="I1989" s="531">
        <v>50000010104</v>
      </c>
      <c r="J1989" s="277">
        <v>20418750</v>
      </c>
      <c r="K1989" s="627"/>
      <c r="L1989" s="394"/>
      <c r="M1989" s="394" t="s">
        <v>5133</v>
      </c>
      <c r="N1989" s="277"/>
      <c r="O1989" s="478"/>
    </row>
    <row r="1990" spans="1:15" ht="283.5" customHeight="1" x14ac:dyDescent="0.35">
      <c r="A1990" s="319" t="s">
        <v>4379</v>
      </c>
      <c r="B1990" s="463" t="s">
        <v>1688</v>
      </c>
      <c r="C1990" s="442" t="s">
        <v>495</v>
      </c>
      <c r="D1990" s="442" t="s">
        <v>4</v>
      </c>
      <c r="E1990" s="442" t="s">
        <v>25</v>
      </c>
      <c r="F1990" s="442" t="s">
        <v>999</v>
      </c>
      <c r="G1990" s="442" t="s">
        <v>999</v>
      </c>
      <c r="H1990" s="442">
        <v>70950</v>
      </c>
      <c r="I1990" s="531">
        <v>50000010104</v>
      </c>
      <c r="J1990" s="277">
        <v>56242086.120000005</v>
      </c>
      <c r="K1990" s="627"/>
      <c r="L1990" s="394"/>
      <c r="M1990" s="394" t="s">
        <v>5133</v>
      </c>
      <c r="N1990" s="277"/>
      <c r="O1990" s="478"/>
    </row>
    <row r="1991" spans="1:15" ht="81.75" customHeight="1" x14ac:dyDescent="0.35">
      <c r="A1991" s="319" t="s">
        <v>4380</v>
      </c>
      <c r="B1991" s="463" t="s">
        <v>1690</v>
      </c>
      <c r="C1991" s="442" t="s">
        <v>618</v>
      </c>
      <c r="D1991" s="442" t="s">
        <v>4</v>
      </c>
      <c r="E1991" s="442" t="s">
        <v>25</v>
      </c>
      <c r="F1991" s="442" t="s">
        <v>999</v>
      </c>
      <c r="G1991" s="442" t="s">
        <v>999</v>
      </c>
      <c r="H1991" s="442">
        <v>70950</v>
      </c>
      <c r="I1991" s="531">
        <v>50000010104</v>
      </c>
      <c r="J1991" s="277">
        <v>8710186</v>
      </c>
      <c r="K1991" s="627"/>
      <c r="L1991" s="394"/>
      <c r="M1991" s="394" t="s">
        <v>5133</v>
      </c>
      <c r="N1991" s="277"/>
      <c r="O1991" s="478"/>
    </row>
    <row r="1992" spans="1:15" ht="108.75" customHeight="1" x14ac:dyDescent="0.35">
      <c r="A1992" s="319" t="s">
        <v>4381</v>
      </c>
      <c r="B1992" s="463" t="s">
        <v>1691</v>
      </c>
      <c r="C1992" s="442" t="s">
        <v>435</v>
      </c>
      <c r="D1992" s="442" t="s">
        <v>4</v>
      </c>
      <c r="E1992" s="442" t="s">
        <v>25</v>
      </c>
      <c r="F1992" s="442" t="s">
        <v>62</v>
      </c>
      <c r="G1992" s="442" t="s">
        <v>62</v>
      </c>
      <c r="H1992" s="442">
        <v>70912</v>
      </c>
      <c r="I1992" s="531">
        <v>50000010106</v>
      </c>
      <c r="J1992" s="277">
        <v>19157568.545000002</v>
      </c>
      <c r="K1992" s="627"/>
      <c r="L1992" s="394"/>
      <c r="M1992" s="394" t="s">
        <v>5133</v>
      </c>
      <c r="N1992" s="277">
        <v>15326055</v>
      </c>
      <c r="O1992" s="478"/>
    </row>
    <row r="1993" spans="1:15" ht="67.5" customHeight="1" x14ac:dyDescent="0.35">
      <c r="A1993" s="319" t="s">
        <v>4382</v>
      </c>
      <c r="B1993" s="463" t="s">
        <v>1693</v>
      </c>
      <c r="C1993" s="442" t="s">
        <v>811</v>
      </c>
      <c r="D1993" s="442" t="s">
        <v>4</v>
      </c>
      <c r="E1993" s="442" t="s">
        <v>25</v>
      </c>
      <c r="F1993" s="442" t="s">
        <v>999</v>
      </c>
      <c r="G1993" s="442" t="s">
        <v>999</v>
      </c>
      <c r="H1993" s="442">
        <v>70950</v>
      </c>
      <c r="I1993" s="531">
        <v>50000010104</v>
      </c>
      <c r="J1993" s="277">
        <v>1399354.72</v>
      </c>
      <c r="K1993" s="627"/>
      <c r="L1993" s="394"/>
      <c r="M1993" s="394" t="s">
        <v>5133</v>
      </c>
      <c r="N1993" s="277">
        <v>10058593</v>
      </c>
      <c r="O1993" s="478"/>
    </row>
    <row r="1994" spans="1:15" ht="141" customHeight="1" x14ac:dyDescent="0.35">
      <c r="A1994" s="319" t="s">
        <v>4383</v>
      </c>
      <c r="B1994" s="463" t="s">
        <v>1694</v>
      </c>
      <c r="C1994" s="442" t="s">
        <v>811</v>
      </c>
      <c r="D1994" s="442" t="s">
        <v>4</v>
      </c>
      <c r="E1994" s="442" t="s">
        <v>25</v>
      </c>
      <c r="F1994" s="442" t="s">
        <v>522</v>
      </c>
      <c r="G1994" s="442" t="s">
        <v>522</v>
      </c>
      <c r="H1994" s="442">
        <v>70912</v>
      </c>
      <c r="I1994" s="531">
        <v>50000010104</v>
      </c>
      <c r="J1994" s="277">
        <v>1090878.4250000007</v>
      </c>
      <c r="K1994" s="627"/>
      <c r="L1994" s="394"/>
      <c r="M1994" s="394" t="s">
        <v>5133</v>
      </c>
      <c r="N1994" s="277">
        <v>15364055</v>
      </c>
      <c r="O1994" s="478"/>
    </row>
    <row r="1995" spans="1:15" ht="140.25" customHeight="1" x14ac:dyDescent="0.35">
      <c r="A1995" s="319" t="s">
        <v>4384</v>
      </c>
      <c r="B1995" s="463" t="s">
        <v>1695</v>
      </c>
      <c r="C1995" s="442" t="s">
        <v>435</v>
      </c>
      <c r="D1995" s="442" t="s">
        <v>4</v>
      </c>
      <c r="E1995" s="442" t="s">
        <v>25</v>
      </c>
      <c r="F1995" s="442" t="s">
        <v>999</v>
      </c>
      <c r="G1995" s="442" t="s">
        <v>999</v>
      </c>
      <c r="H1995" s="442">
        <v>70950</v>
      </c>
      <c r="I1995" s="531">
        <v>50000010104</v>
      </c>
      <c r="J1995" s="277">
        <v>37312500</v>
      </c>
      <c r="K1995" s="627"/>
      <c r="L1995" s="394"/>
      <c r="M1995" s="394" t="s">
        <v>5133</v>
      </c>
      <c r="N1995" s="277">
        <v>39800000</v>
      </c>
      <c r="O1995" s="478"/>
    </row>
    <row r="1996" spans="1:15" ht="109.5" customHeight="1" x14ac:dyDescent="0.35">
      <c r="A1996" s="319" t="s">
        <v>4385</v>
      </c>
      <c r="B1996" s="463" t="s">
        <v>1697</v>
      </c>
      <c r="C1996" s="442" t="s">
        <v>435</v>
      </c>
      <c r="D1996" s="442" t="s">
        <v>4</v>
      </c>
      <c r="E1996" s="442" t="s">
        <v>25</v>
      </c>
      <c r="F1996" s="442" t="s">
        <v>999</v>
      </c>
      <c r="G1996" s="442" t="s">
        <v>999</v>
      </c>
      <c r="H1996" s="442">
        <v>70950</v>
      </c>
      <c r="I1996" s="531">
        <v>50000010104</v>
      </c>
      <c r="J1996" s="277">
        <v>24862552.035</v>
      </c>
      <c r="K1996" s="627"/>
      <c r="L1996" s="394"/>
      <c r="M1996" s="394" t="s">
        <v>5133</v>
      </c>
      <c r="N1996" s="277"/>
      <c r="O1996" s="478"/>
    </row>
    <row r="1997" spans="1:15" ht="128.25" customHeight="1" x14ac:dyDescent="0.35">
      <c r="A1997" s="319" t="s">
        <v>4386</v>
      </c>
      <c r="B1997" s="463" t="s">
        <v>1699</v>
      </c>
      <c r="C1997" s="442" t="s">
        <v>435</v>
      </c>
      <c r="D1997" s="442" t="s">
        <v>4</v>
      </c>
      <c r="E1997" s="442" t="s">
        <v>25</v>
      </c>
      <c r="F1997" s="442" t="s">
        <v>999</v>
      </c>
      <c r="G1997" s="442" t="s">
        <v>999</v>
      </c>
      <c r="H1997" s="442">
        <v>70950</v>
      </c>
      <c r="I1997" s="531">
        <v>50000010104</v>
      </c>
      <c r="J1997" s="277">
        <v>19996399.449999999</v>
      </c>
      <c r="K1997" s="627"/>
      <c r="L1997" s="394"/>
      <c r="M1997" s="394" t="s">
        <v>5133</v>
      </c>
      <c r="N1997" s="277"/>
      <c r="O1997" s="478"/>
    </row>
    <row r="1998" spans="1:15" ht="120" customHeight="1" x14ac:dyDescent="0.35">
      <c r="A1998" s="319" t="s">
        <v>4387</v>
      </c>
      <c r="B1998" s="463" t="s">
        <v>1700</v>
      </c>
      <c r="C1998" s="442" t="s">
        <v>1687</v>
      </c>
      <c r="D1998" s="442" t="s">
        <v>4</v>
      </c>
      <c r="E1998" s="442" t="s">
        <v>25</v>
      </c>
      <c r="F1998" s="442" t="s">
        <v>999</v>
      </c>
      <c r="G1998" s="442" t="s">
        <v>999</v>
      </c>
      <c r="H1998" s="442">
        <v>70950</v>
      </c>
      <c r="I1998" s="531">
        <v>50000010104</v>
      </c>
      <c r="J1998" s="277">
        <v>865550.79</v>
      </c>
      <c r="K1998" s="627"/>
      <c r="L1998" s="394"/>
      <c r="M1998" s="394" t="s">
        <v>5133</v>
      </c>
      <c r="N1998" s="277"/>
      <c r="O1998" s="478"/>
    </row>
    <row r="1999" spans="1:15" ht="166.5" customHeight="1" x14ac:dyDescent="0.35">
      <c r="A1999" s="319" t="s">
        <v>4388</v>
      </c>
      <c r="B1999" s="463" t="s">
        <v>1702</v>
      </c>
      <c r="C1999" s="442" t="s">
        <v>1689</v>
      </c>
      <c r="D1999" s="442" t="s">
        <v>4</v>
      </c>
      <c r="E1999" s="442" t="s">
        <v>25</v>
      </c>
      <c r="F1999" s="442" t="s">
        <v>522</v>
      </c>
      <c r="G1999" s="442" t="s">
        <v>522</v>
      </c>
      <c r="H1999" s="442">
        <v>70950</v>
      </c>
      <c r="I1999" s="531">
        <v>50000010104</v>
      </c>
      <c r="J1999" s="277">
        <v>538350</v>
      </c>
      <c r="K1999" s="627"/>
      <c r="L1999" s="394"/>
      <c r="M1999" s="394" t="s">
        <v>5133</v>
      </c>
      <c r="N1999" s="277">
        <v>5370680</v>
      </c>
      <c r="O1999" s="478"/>
    </row>
    <row r="2000" spans="1:15" ht="174" customHeight="1" x14ac:dyDescent="0.35">
      <c r="A2000" s="319" t="s">
        <v>4389</v>
      </c>
      <c r="B2000" s="463" t="s">
        <v>1703</v>
      </c>
      <c r="C2000" s="442" t="s">
        <v>435</v>
      </c>
      <c r="D2000" s="442" t="s">
        <v>4</v>
      </c>
      <c r="E2000" s="442" t="s">
        <v>25</v>
      </c>
      <c r="F2000" s="442" t="s">
        <v>522</v>
      </c>
      <c r="G2000" s="442" t="s">
        <v>522</v>
      </c>
      <c r="H2000" s="442">
        <v>70950</v>
      </c>
      <c r="I2000" s="531">
        <v>50000010104</v>
      </c>
      <c r="J2000" s="277">
        <v>21973985.780000001</v>
      </c>
      <c r="K2000" s="627"/>
      <c r="L2000" s="394"/>
      <c r="M2000" s="394" t="s">
        <v>5133</v>
      </c>
      <c r="N2000" s="277">
        <v>17579189</v>
      </c>
      <c r="O2000" s="478"/>
    </row>
    <row r="2001" spans="1:15" ht="102" customHeight="1" x14ac:dyDescent="0.35">
      <c r="A2001" s="319" t="s">
        <v>4390</v>
      </c>
      <c r="B2001" s="463" t="s">
        <v>1704</v>
      </c>
      <c r="C2001" s="442" t="s">
        <v>1692</v>
      </c>
      <c r="D2001" s="442" t="s">
        <v>4</v>
      </c>
      <c r="E2001" s="442" t="s">
        <v>25</v>
      </c>
      <c r="F2001" s="442" t="s">
        <v>522</v>
      </c>
      <c r="G2001" s="442" t="s">
        <v>522</v>
      </c>
      <c r="H2001" s="442">
        <v>70912</v>
      </c>
      <c r="I2001" s="531">
        <v>50000010104</v>
      </c>
      <c r="J2001" s="277">
        <v>23830224.995000001</v>
      </c>
      <c r="K2001" s="627"/>
      <c r="L2001" s="394"/>
      <c r="M2001" s="394" t="s">
        <v>5133</v>
      </c>
      <c r="N2001" s="277">
        <v>19064180</v>
      </c>
      <c r="O2001" s="478"/>
    </row>
    <row r="2002" spans="1:15" ht="69" customHeight="1" x14ac:dyDescent="0.35">
      <c r="A2002" s="319" t="s">
        <v>4391</v>
      </c>
      <c r="B2002" s="463" t="s">
        <v>1705</v>
      </c>
      <c r="C2002" s="442" t="s">
        <v>1692</v>
      </c>
      <c r="D2002" s="442" t="s">
        <v>4</v>
      </c>
      <c r="E2002" s="442" t="s">
        <v>25</v>
      </c>
      <c r="F2002" s="442" t="s">
        <v>522</v>
      </c>
      <c r="G2002" s="442" t="s">
        <v>522</v>
      </c>
      <c r="H2002" s="442">
        <v>70950</v>
      </c>
      <c r="I2002" s="531">
        <v>50000010104</v>
      </c>
      <c r="J2002" s="277">
        <v>571184.68000000063</v>
      </c>
      <c r="K2002" s="627"/>
      <c r="L2002" s="394"/>
      <c r="M2002" s="394" t="s">
        <v>5133</v>
      </c>
      <c r="N2002" s="277"/>
      <c r="O2002" s="478"/>
    </row>
    <row r="2003" spans="1:15" ht="63" customHeight="1" x14ac:dyDescent="0.35">
      <c r="A2003" s="319" t="s">
        <v>4392</v>
      </c>
      <c r="B2003" s="463" t="s">
        <v>1706</v>
      </c>
      <c r="C2003" s="442" t="s">
        <v>1692</v>
      </c>
      <c r="D2003" s="442" t="s">
        <v>4</v>
      </c>
      <c r="E2003" s="442" t="s">
        <v>25</v>
      </c>
      <c r="F2003" s="442" t="s">
        <v>522</v>
      </c>
      <c r="G2003" s="442" t="s">
        <v>522</v>
      </c>
      <c r="H2003" s="442">
        <v>70950</v>
      </c>
      <c r="I2003" s="531">
        <v>50000010104</v>
      </c>
      <c r="J2003" s="277">
        <v>289094.28000000026</v>
      </c>
      <c r="K2003" s="627"/>
      <c r="L2003" s="394"/>
      <c r="M2003" s="394" t="s">
        <v>5133</v>
      </c>
      <c r="N2003" s="277">
        <v>4625507</v>
      </c>
      <c r="O2003" s="478"/>
    </row>
    <row r="2004" spans="1:15" ht="60.75" customHeight="1" x14ac:dyDescent="0.35">
      <c r="A2004" s="319" t="s">
        <v>4393</v>
      </c>
      <c r="B2004" s="463" t="s">
        <v>1707</v>
      </c>
      <c r="C2004" s="442" t="s">
        <v>1696</v>
      </c>
      <c r="D2004" s="442" t="s">
        <v>4</v>
      </c>
      <c r="E2004" s="442" t="s">
        <v>25</v>
      </c>
      <c r="F2004" s="442" t="s">
        <v>522</v>
      </c>
      <c r="G2004" s="442" t="s">
        <v>522</v>
      </c>
      <c r="H2004" s="442" t="s">
        <v>47</v>
      </c>
      <c r="I2004" s="531">
        <v>50000010104</v>
      </c>
      <c r="J2004" s="277">
        <v>617606.69499999983</v>
      </c>
      <c r="K2004" s="627"/>
      <c r="L2004" s="394"/>
      <c r="M2004" s="394" t="s">
        <v>5133</v>
      </c>
      <c r="N2004" s="277">
        <v>2881724</v>
      </c>
      <c r="O2004" s="478"/>
    </row>
    <row r="2005" spans="1:15" ht="55.5" customHeight="1" x14ac:dyDescent="0.35">
      <c r="A2005" s="319" t="s">
        <v>4394</v>
      </c>
      <c r="B2005" s="463" t="s">
        <v>1708</v>
      </c>
      <c r="C2005" s="442" t="s">
        <v>1698</v>
      </c>
      <c r="D2005" s="442" t="s">
        <v>4</v>
      </c>
      <c r="E2005" s="442" t="s">
        <v>25</v>
      </c>
      <c r="F2005" s="442" t="s">
        <v>999</v>
      </c>
      <c r="G2005" s="442" t="s">
        <v>999</v>
      </c>
      <c r="H2005" s="442">
        <v>70950</v>
      </c>
      <c r="I2005" s="531">
        <v>50000010104</v>
      </c>
      <c r="J2005" s="277">
        <v>20414951.489999995</v>
      </c>
      <c r="K2005" s="627"/>
      <c r="L2005" s="394"/>
      <c r="M2005" s="394" t="s">
        <v>5133</v>
      </c>
      <c r="N2005" s="277"/>
      <c r="O2005" s="478"/>
    </row>
    <row r="2006" spans="1:15" ht="75.75" customHeight="1" x14ac:dyDescent="0.35">
      <c r="A2006" s="319" t="s">
        <v>4395</v>
      </c>
      <c r="B2006" s="463" t="s">
        <v>1709</v>
      </c>
      <c r="C2006" s="442" t="s">
        <v>1696</v>
      </c>
      <c r="D2006" s="442" t="s">
        <v>4</v>
      </c>
      <c r="E2006" s="442" t="s">
        <v>25</v>
      </c>
      <c r="F2006" s="442" t="s">
        <v>999</v>
      </c>
      <c r="G2006" s="442" t="s">
        <v>999</v>
      </c>
      <c r="H2006" s="442">
        <v>70912</v>
      </c>
      <c r="I2006" s="531">
        <v>50000010104</v>
      </c>
      <c r="J2006" s="277">
        <v>8271198.7799999993</v>
      </c>
      <c r="K2006" s="627"/>
      <c r="L2006" s="394"/>
      <c r="M2006" s="394" t="s">
        <v>5133</v>
      </c>
      <c r="N2006" s="277"/>
      <c r="O2006" s="478"/>
    </row>
    <row r="2007" spans="1:15" ht="81.75" customHeight="1" x14ac:dyDescent="0.35">
      <c r="A2007" s="319" t="s">
        <v>4396</v>
      </c>
      <c r="B2007" s="463" t="s">
        <v>1710</v>
      </c>
      <c r="C2007" s="442" t="s">
        <v>1701</v>
      </c>
      <c r="D2007" s="442" t="s">
        <v>4</v>
      </c>
      <c r="E2007" s="442" t="s">
        <v>25</v>
      </c>
      <c r="F2007" s="442" t="s">
        <v>999</v>
      </c>
      <c r="G2007" s="442" t="s">
        <v>999</v>
      </c>
      <c r="H2007" s="442">
        <v>70912</v>
      </c>
      <c r="I2007" s="531">
        <v>50000010104</v>
      </c>
      <c r="J2007" s="277">
        <v>27084862</v>
      </c>
      <c r="K2007" s="627"/>
      <c r="L2007" s="394"/>
      <c r="M2007" s="394" t="s">
        <v>5133</v>
      </c>
      <c r="N2007" s="277"/>
      <c r="O2007" s="478"/>
    </row>
    <row r="2008" spans="1:15" ht="325.5" customHeight="1" x14ac:dyDescent="0.35">
      <c r="A2008" s="319" t="s">
        <v>4397</v>
      </c>
      <c r="B2008" s="463" t="s">
        <v>1711</v>
      </c>
      <c r="C2008" s="442" t="s">
        <v>812</v>
      </c>
      <c r="D2008" s="442" t="s">
        <v>4</v>
      </c>
      <c r="E2008" s="442" t="s">
        <v>25</v>
      </c>
      <c r="F2008" s="442" t="s">
        <v>522</v>
      </c>
      <c r="G2008" s="442" t="s">
        <v>522</v>
      </c>
      <c r="H2008" s="442">
        <v>70912</v>
      </c>
      <c r="I2008" s="531">
        <v>50000010106</v>
      </c>
      <c r="J2008" s="277">
        <v>74520139.364999995</v>
      </c>
      <c r="K2008" s="627"/>
      <c r="L2008" s="394"/>
      <c r="M2008" s="394" t="s">
        <v>5133</v>
      </c>
      <c r="N2008" s="277"/>
      <c r="O2008" s="478"/>
    </row>
    <row r="2009" spans="1:15" ht="66.75" customHeight="1" x14ac:dyDescent="0.35">
      <c r="A2009" s="319" t="s">
        <v>4398</v>
      </c>
      <c r="B2009" s="463" t="s">
        <v>1713</v>
      </c>
      <c r="C2009" s="442" t="s">
        <v>416</v>
      </c>
      <c r="D2009" s="442" t="s">
        <v>4</v>
      </c>
      <c r="E2009" s="442" t="s">
        <v>25</v>
      </c>
      <c r="F2009" s="442" t="s">
        <v>999</v>
      </c>
      <c r="G2009" s="442" t="s">
        <v>999</v>
      </c>
      <c r="H2009" s="442">
        <v>70950</v>
      </c>
      <c r="I2009" s="531">
        <v>50000010104</v>
      </c>
      <c r="J2009" s="277">
        <v>14937207.790000001</v>
      </c>
      <c r="K2009" s="627"/>
      <c r="L2009" s="394"/>
      <c r="M2009" s="394" t="s">
        <v>5133</v>
      </c>
      <c r="N2009" s="277"/>
      <c r="O2009" s="478"/>
    </row>
    <row r="2010" spans="1:15" ht="80.25" customHeight="1" x14ac:dyDescent="0.35">
      <c r="A2010" s="319" t="s">
        <v>4399</v>
      </c>
      <c r="B2010" s="463" t="s">
        <v>1715</v>
      </c>
      <c r="C2010" s="442" t="s">
        <v>416</v>
      </c>
      <c r="D2010" s="442" t="s">
        <v>4</v>
      </c>
      <c r="E2010" s="442" t="s">
        <v>25</v>
      </c>
      <c r="F2010" s="442" t="s">
        <v>522</v>
      </c>
      <c r="G2010" s="442" t="s">
        <v>522</v>
      </c>
      <c r="H2010" s="442">
        <v>70950</v>
      </c>
      <c r="I2010" s="531">
        <v>50000010104</v>
      </c>
      <c r="J2010" s="277">
        <v>19934917.16</v>
      </c>
      <c r="K2010" s="627"/>
      <c r="L2010" s="394"/>
      <c r="M2010" s="394" t="s">
        <v>5133</v>
      </c>
      <c r="N2010" s="277"/>
      <c r="O2010" s="478"/>
    </row>
    <row r="2011" spans="1:15" ht="118.5" customHeight="1" x14ac:dyDescent="0.35">
      <c r="A2011" s="319" t="s">
        <v>4400</v>
      </c>
      <c r="B2011" s="463" t="s">
        <v>1716</v>
      </c>
      <c r="C2011" s="442" t="s">
        <v>812</v>
      </c>
      <c r="D2011" s="442" t="s">
        <v>4</v>
      </c>
      <c r="E2011" s="442" t="s">
        <v>25</v>
      </c>
      <c r="F2011" s="442" t="s">
        <v>999</v>
      </c>
      <c r="G2011" s="442" t="s">
        <v>999</v>
      </c>
      <c r="H2011" s="442">
        <v>70950</v>
      </c>
      <c r="I2011" s="531">
        <v>50000010104</v>
      </c>
      <c r="J2011" s="277">
        <v>18450000</v>
      </c>
      <c r="K2011" s="627"/>
      <c r="L2011" s="394"/>
      <c r="M2011" s="394" t="s">
        <v>5133</v>
      </c>
      <c r="N2011" s="277"/>
      <c r="O2011" s="478"/>
    </row>
    <row r="2012" spans="1:15" ht="114.75" customHeight="1" x14ac:dyDescent="0.35">
      <c r="A2012" s="319" t="s">
        <v>4401</v>
      </c>
      <c r="B2012" s="463" t="s">
        <v>1718</v>
      </c>
      <c r="C2012" s="442" t="s">
        <v>812</v>
      </c>
      <c r="D2012" s="442" t="s">
        <v>4</v>
      </c>
      <c r="E2012" s="442" t="s">
        <v>25</v>
      </c>
      <c r="F2012" s="442" t="s">
        <v>999</v>
      </c>
      <c r="G2012" s="442" t="s">
        <v>999</v>
      </c>
      <c r="H2012" s="442">
        <v>70912</v>
      </c>
      <c r="I2012" s="531">
        <v>50000010104</v>
      </c>
      <c r="J2012" s="277">
        <v>19205068.545000002</v>
      </c>
      <c r="K2012" s="627"/>
      <c r="L2012" s="394"/>
      <c r="M2012" s="394" t="s">
        <v>5133</v>
      </c>
      <c r="N2012" s="277">
        <v>15364055</v>
      </c>
      <c r="O2012" s="478"/>
    </row>
    <row r="2013" spans="1:15" ht="94.5" customHeight="1" x14ac:dyDescent="0.35">
      <c r="A2013" s="319" t="s">
        <v>4402</v>
      </c>
      <c r="B2013" s="463" t="s">
        <v>1719</v>
      </c>
      <c r="C2013" s="442" t="s">
        <v>812</v>
      </c>
      <c r="D2013" s="442" t="s">
        <v>4</v>
      </c>
      <c r="E2013" s="442" t="s">
        <v>25</v>
      </c>
      <c r="F2013" s="442" t="s">
        <v>999</v>
      </c>
      <c r="G2013" s="442" t="s">
        <v>999</v>
      </c>
      <c r="H2013" s="442">
        <v>70950</v>
      </c>
      <c r="I2013" s="531">
        <v>50000010104</v>
      </c>
      <c r="J2013" s="277">
        <v>399999.97499999998</v>
      </c>
      <c r="K2013" s="627"/>
      <c r="L2013" s="394"/>
      <c r="M2013" s="394" t="s">
        <v>5133</v>
      </c>
      <c r="N2013" s="277">
        <v>15326055</v>
      </c>
      <c r="O2013" s="478"/>
    </row>
    <row r="2014" spans="1:15" ht="63" customHeight="1" x14ac:dyDescent="0.35">
      <c r="A2014" s="319" t="s">
        <v>4403</v>
      </c>
      <c r="B2014" s="463" t="s">
        <v>1720</v>
      </c>
      <c r="C2014" s="442" t="s">
        <v>634</v>
      </c>
      <c r="D2014" s="442" t="s">
        <v>4</v>
      </c>
      <c r="E2014" s="442" t="s">
        <v>25</v>
      </c>
      <c r="F2014" s="442" t="s">
        <v>522</v>
      </c>
      <c r="G2014" s="442" t="s">
        <v>522</v>
      </c>
      <c r="H2014" s="442">
        <v>70950</v>
      </c>
      <c r="I2014" s="531">
        <v>50000010104</v>
      </c>
      <c r="J2014" s="277">
        <v>12573240.645</v>
      </c>
      <c r="K2014" s="627"/>
      <c r="L2014" s="394"/>
      <c r="M2014" s="394" t="s">
        <v>5133</v>
      </c>
      <c r="N2014" s="277">
        <v>10058593</v>
      </c>
      <c r="O2014" s="478"/>
    </row>
    <row r="2015" spans="1:15" ht="100.5" customHeight="1" x14ac:dyDescent="0.35">
      <c r="A2015" s="319" t="s">
        <v>4404</v>
      </c>
      <c r="B2015" s="463" t="s">
        <v>1721</v>
      </c>
      <c r="C2015" s="442" t="s">
        <v>634</v>
      </c>
      <c r="D2015" s="442" t="s">
        <v>4</v>
      </c>
      <c r="E2015" s="442" t="s">
        <v>25</v>
      </c>
      <c r="F2015" s="442" t="s">
        <v>522</v>
      </c>
      <c r="G2015" s="442" t="s">
        <v>522</v>
      </c>
      <c r="H2015" s="442">
        <v>70950</v>
      </c>
      <c r="I2015" s="531">
        <v>50000010104</v>
      </c>
      <c r="J2015" s="277">
        <v>399999.97500000149</v>
      </c>
      <c r="K2015" s="627"/>
      <c r="L2015" s="394"/>
      <c r="M2015" s="394" t="s">
        <v>5133</v>
      </c>
      <c r="N2015" s="277">
        <v>15364055</v>
      </c>
      <c r="O2015" s="478"/>
    </row>
    <row r="2016" spans="1:15" ht="96" customHeight="1" x14ac:dyDescent="0.35">
      <c r="A2016" s="319" t="s">
        <v>4405</v>
      </c>
      <c r="B2016" s="463" t="s">
        <v>1722</v>
      </c>
      <c r="C2016" s="442" t="s">
        <v>416</v>
      </c>
      <c r="D2016" s="442" t="s">
        <v>4</v>
      </c>
      <c r="E2016" s="442" t="s">
        <v>25</v>
      </c>
      <c r="F2016" s="442" t="s">
        <v>62</v>
      </c>
      <c r="G2016" s="442" t="s">
        <v>62</v>
      </c>
      <c r="H2016" s="442">
        <v>70950</v>
      </c>
      <c r="I2016" s="531">
        <v>220000010106</v>
      </c>
      <c r="J2016" s="277">
        <v>770516.21</v>
      </c>
      <c r="K2016" s="627"/>
      <c r="L2016" s="394"/>
      <c r="M2016" s="394" t="s">
        <v>5133</v>
      </c>
      <c r="N2016" s="277">
        <v>616413</v>
      </c>
      <c r="O2016" s="478"/>
    </row>
    <row r="2017" spans="1:15" ht="108.75" customHeight="1" x14ac:dyDescent="0.35">
      <c r="A2017" s="319" t="s">
        <v>4406</v>
      </c>
      <c r="B2017" s="463" t="s">
        <v>1723</v>
      </c>
      <c r="C2017" s="442" t="s">
        <v>1712</v>
      </c>
      <c r="D2017" s="442" t="s">
        <v>4</v>
      </c>
      <c r="E2017" s="442" t="s">
        <v>25</v>
      </c>
      <c r="F2017" s="442" t="s">
        <v>522</v>
      </c>
      <c r="G2017" s="442" t="s">
        <v>522</v>
      </c>
      <c r="H2017" s="442">
        <v>70950</v>
      </c>
      <c r="I2017" s="531">
        <v>50000010104</v>
      </c>
      <c r="J2017" s="277">
        <v>1066944.3550000042</v>
      </c>
      <c r="K2017" s="627"/>
      <c r="L2017" s="394"/>
      <c r="M2017" s="394" t="s">
        <v>5133</v>
      </c>
      <c r="N2017" s="277">
        <v>15326055</v>
      </c>
      <c r="O2017" s="478"/>
    </row>
    <row r="2018" spans="1:15" ht="72" customHeight="1" x14ac:dyDescent="0.35">
      <c r="A2018" s="319" t="s">
        <v>4407</v>
      </c>
      <c r="B2018" s="463" t="s">
        <v>1724</v>
      </c>
      <c r="C2018" s="442" t="s">
        <v>1714</v>
      </c>
      <c r="D2018" s="442" t="s">
        <v>4</v>
      </c>
      <c r="E2018" s="442" t="s">
        <v>25</v>
      </c>
      <c r="F2018" s="442" t="s">
        <v>522</v>
      </c>
      <c r="G2018" s="442" t="s">
        <v>522</v>
      </c>
      <c r="H2018" s="442">
        <v>70950</v>
      </c>
      <c r="I2018" s="531">
        <v>50000010104</v>
      </c>
      <c r="J2018" s="277">
        <v>9429930.4849999994</v>
      </c>
      <c r="K2018" s="627"/>
      <c r="L2018" s="394"/>
      <c r="M2018" s="394" t="s">
        <v>5133</v>
      </c>
      <c r="N2018" s="277">
        <v>10058593</v>
      </c>
      <c r="O2018" s="478"/>
    </row>
    <row r="2019" spans="1:15" ht="254.25" customHeight="1" x14ac:dyDescent="0.35">
      <c r="A2019" s="319" t="s">
        <v>4408</v>
      </c>
      <c r="B2019" s="463" t="s">
        <v>1725</v>
      </c>
      <c r="C2019" s="442" t="s">
        <v>636</v>
      </c>
      <c r="D2019" s="442" t="s">
        <v>4</v>
      </c>
      <c r="E2019" s="442" t="s">
        <v>25</v>
      </c>
      <c r="F2019" s="442" t="s">
        <v>999</v>
      </c>
      <c r="G2019" s="442" t="s">
        <v>999</v>
      </c>
      <c r="H2019" s="442">
        <v>70912</v>
      </c>
      <c r="I2019" s="531">
        <v>50000010104</v>
      </c>
      <c r="J2019" s="277">
        <v>275000.01500000001</v>
      </c>
      <c r="K2019" s="627"/>
      <c r="L2019" s="394"/>
      <c r="M2019" s="394" t="s">
        <v>5133</v>
      </c>
      <c r="N2019" s="277"/>
      <c r="O2019" s="478"/>
    </row>
    <row r="2020" spans="1:15" ht="109.5" customHeight="1" x14ac:dyDescent="0.35">
      <c r="A2020" s="319" t="s">
        <v>4409</v>
      </c>
      <c r="B2020" s="463" t="s">
        <v>1726</v>
      </c>
      <c r="C2020" s="442" t="s">
        <v>1717</v>
      </c>
      <c r="D2020" s="442" t="s">
        <v>4</v>
      </c>
      <c r="E2020" s="442" t="s">
        <v>25</v>
      </c>
      <c r="F2020" s="442" t="s">
        <v>522</v>
      </c>
      <c r="G2020" s="442" t="s">
        <v>522</v>
      </c>
      <c r="H2020" s="442">
        <v>70950</v>
      </c>
      <c r="I2020" s="531">
        <v>50000010104</v>
      </c>
      <c r="J2020" s="277">
        <v>1932394.375</v>
      </c>
      <c r="K2020" s="627"/>
      <c r="L2020" s="394"/>
      <c r="M2020" s="394" t="s">
        <v>5133</v>
      </c>
      <c r="N2020" s="277"/>
      <c r="O2020" s="478"/>
    </row>
    <row r="2021" spans="1:15" ht="107.25" customHeight="1" x14ac:dyDescent="0.35">
      <c r="A2021" s="319" t="s">
        <v>4410</v>
      </c>
      <c r="B2021" s="463" t="s">
        <v>1727</v>
      </c>
      <c r="C2021" s="442" t="s">
        <v>419</v>
      </c>
      <c r="D2021" s="442" t="s">
        <v>4</v>
      </c>
      <c r="E2021" s="442" t="s">
        <v>25</v>
      </c>
      <c r="F2021" s="442" t="s">
        <v>522</v>
      </c>
      <c r="G2021" s="442" t="s">
        <v>522</v>
      </c>
      <c r="H2021" s="442">
        <v>70950</v>
      </c>
      <c r="I2021" s="531">
        <v>50000010104</v>
      </c>
      <c r="J2021" s="277">
        <v>15023731.410000002</v>
      </c>
      <c r="K2021" s="627"/>
      <c r="L2021" s="394"/>
      <c r="M2021" s="394" t="s">
        <v>5133</v>
      </c>
      <c r="N2021" s="277">
        <v>15958647</v>
      </c>
      <c r="O2021" s="478"/>
    </row>
    <row r="2022" spans="1:15" ht="195.75" customHeight="1" x14ac:dyDescent="0.35">
      <c r="A2022" s="319" t="s">
        <v>4411</v>
      </c>
      <c r="B2022" s="463" t="s">
        <v>3460</v>
      </c>
      <c r="C2022" s="442" t="s">
        <v>653</v>
      </c>
      <c r="D2022" s="442" t="s">
        <v>4</v>
      </c>
      <c r="E2022" s="442" t="s">
        <v>25</v>
      </c>
      <c r="F2022" s="442" t="s">
        <v>522</v>
      </c>
      <c r="G2022" s="442" t="s">
        <v>522</v>
      </c>
      <c r="H2022" s="442">
        <v>70950</v>
      </c>
      <c r="I2022" s="531">
        <v>50000010104</v>
      </c>
      <c r="J2022" s="277">
        <v>14766292.9</v>
      </c>
      <c r="K2022" s="627"/>
      <c r="L2022" s="394"/>
      <c r="M2022" s="394" t="s">
        <v>5133</v>
      </c>
      <c r="N2022" s="277"/>
      <c r="O2022" s="478"/>
    </row>
    <row r="2023" spans="1:15" ht="81" customHeight="1" x14ac:dyDescent="0.35">
      <c r="A2023" s="319" t="s">
        <v>4412</v>
      </c>
      <c r="B2023" s="463" t="s">
        <v>1730</v>
      </c>
      <c r="C2023" s="442" t="s">
        <v>653</v>
      </c>
      <c r="D2023" s="442" t="s">
        <v>4</v>
      </c>
      <c r="E2023" s="442" t="s">
        <v>25</v>
      </c>
      <c r="F2023" s="442" t="s">
        <v>522</v>
      </c>
      <c r="G2023" s="442" t="s">
        <v>522</v>
      </c>
      <c r="H2023" s="442">
        <v>70950</v>
      </c>
      <c r="I2023" s="531">
        <v>50000010104</v>
      </c>
      <c r="J2023" s="277">
        <v>3097602</v>
      </c>
      <c r="K2023" s="627"/>
      <c r="L2023" s="394"/>
      <c r="M2023" s="394" t="s">
        <v>5133</v>
      </c>
      <c r="N2023" s="277">
        <v>3304109</v>
      </c>
      <c r="O2023" s="478"/>
    </row>
    <row r="2024" spans="1:15" ht="140.25" customHeight="1" x14ac:dyDescent="0.35">
      <c r="A2024" s="319" t="s">
        <v>4413</v>
      </c>
      <c r="B2024" s="463" t="s">
        <v>1731</v>
      </c>
      <c r="C2024" s="442" t="s">
        <v>653</v>
      </c>
      <c r="D2024" s="442" t="s">
        <v>4</v>
      </c>
      <c r="E2024" s="442" t="s">
        <v>25</v>
      </c>
      <c r="F2024" s="442" t="s">
        <v>522</v>
      </c>
      <c r="G2024" s="442" t="s">
        <v>522</v>
      </c>
      <c r="H2024" s="442">
        <v>70950</v>
      </c>
      <c r="I2024" s="531">
        <v>50000010104</v>
      </c>
      <c r="J2024" s="277">
        <v>37498722.015000001</v>
      </c>
      <c r="K2024" s="627"/>
      <c r="L2024" s="394"/>
      <c r="M2024" s="394" t="s">
        <v>5133</v>
      </c>
      <c r="N2024" s="277">
        <v>39998637</v>
      </c>
      <c r="O2024" s="478"/>
    </row>
    <row r="2025" spans="1:15" ht="77.25" customHeight="1" x14ac:dyDescent="0.35">
      <c r="A2025" s="319" t="s">
        <v>4414</v>
      </c>
      <c r="B2025" s="463" t="s">
        <v>1732</v>
      </c>
      <c r="C2025" s="442" t="s">
        <v>813</v>
      </c>
      <c r="D2025" s="442" t="s">
        <v>4</v>
      </c>
      <c r="E2025" s="442" t="s">
        <v>25</v>
      </c>
      <c r="F2025" s="442" t="s">
        <v>999</v>
      </c>
      <c r="G2025" s="442" t="s">
        <v>999</v>
      </c>
      <c r="H2025" s="442">
        <v>70950</v>
      </c>
      <c r="I2025" s="531">
        <v>50000010104</v>
      </c>
      <c r="J2025" s="277">
        <v>18560171.055</v>
      </c>
      <c r="K2025" s="627"/>
      <c r="L2025" s="394"/>
      <c r="M2025" s="394" t="s">
        <v>5133</v>
      </c>
      <c r="N2025" s="277"/>
      <c r="O2025" s="478"/>
    </row>
    <row r="2026" spans="1:15" ht="74.25" customHeight="1" x14ac:dyDescent="0.35">
      <c r="A2026" s="319" t="s">
        <v>4415</v>
      </c>
      <c r="B2026" s="463" t="s">
        <v>1733</v>
      </c>
      <c r="C2026" s="442" t="s">
        <v>653</v>
      </c>
      <c r="D2026" s="442" t="s">
        <v>4</v>
      </c>
      <c r="E2026" s="442" t="s">
        <v>25</v>
      </c>
      <c r="F2026" s="442" t="s">
        <v>522</v>
      </c>
      <c r="G2026" s="442" t="s">
        <v>522</v>
      </c>
      <c r="H2026" s="442">
        <v>70912</v>
      </c>
      <c r="I2026" s="531">
        <v>50000010104</v>
      </c>
      <c r="J2026" s="277">
        <v>13118988.25</v>
      </c>
      <c r="K2026" s="627"/>
      <c r="L2026" s="394"/>
      <c r="M2026" s="394" t="s">
        <v>5133</v>
      </c>
      <c r="N2026" s="277"/>
      <c r="O2026" s="478"/>
    </row>
    <row r="2027" spans="1:15" ht="138.75" customHeight="1" x14ac:dyDescent="0.35">
      <c r="A2027" s="319" t="s">
        <v>4416</v>
      </c>
      <c r="B2027" s="463" t="s">
        <v>1734</v>
      </c>
      <c r="C2027" s="442" t="s">
        <v>653</v>
      </c>
      <c r="D2027" s="442" t="s">
        <v>4</v>
      </c>
      <c r="E2027" s="442" t="s">
        <v>25</v>
      </c>
      <c r="F2027" s="442" t="s">
        <v>522</v>
      </c>
      <c r="G2027" s="442" t="s">
        <v>522</v>
      </c>
      <c r="H2027" s="442">
        <v>70950</v>
      </c>
      <c r="I2027" s="531">
        <v>50000010104</v>
      </c>
      <c r="J2027" s="277">
        <v>32836875</v>
      </c>
      <c r="K2027" s="627"/>
      <c r="L2027" s="394"/>
      <c r="M2027" s="394" t="s">
        <v>5133</v>
      </c>
      <c r="N2027" s="277"/>
      <c r="O2027" s="478"/>
    </row>
    <row r="2028" spans="1:15" ht="120.75" customHeight="1" x14ac:dyDescent="0.35">
      <c r="A2028" s="319" t="s">
        <v>4417</v>
      </c>
      <c r="B2028" s="463" t="s">
        <v>1735</v>
      </c>
      <c r="C2028" s="442" t="s">
        <v>418</v>
      </c>
      <c r="D2028" s="442" t="s">
        <v>4</v>
      </c>
      <c r="E2028" s="442" t="s">
        <v>25</v>
      </c>
      <c r="F2028" s="442" t="s">
        <v>522</v>
      </c>
      <c r="G2028" s="442" t="s">
        <v>522</v>
      </c>
      <c r="H2028" s="442">
        <v>70950</v>
      </c>
      <c r="I2028" s="531">
        <v>50000010104</v>
      </c>
      <c r="J2028" s="277">
        <v>18669463.57</v>
      </c>
      <c r="K2028" s="627"/>
      <c r="L2028" s="394"/>
      <c r="M2028" s="394" t="s">
        <v>5133</v>
      </c>
      <c r="N2028" s="277"/>
      <c r="O2028" s="478"/>
    </row>
    <row r="2029" spans="1:15" ht="68.25" customHeight="1" x14ac:dyDescent="0.35">
      <c r="A2029" s="319" t="s">
        <v>4418</v>
      </c>
      <c r="B2029" s="463" t="s">
        <v>1736</v>
      </c>
      <c r="C2029" s="442" t="s">
        <v>418</v>
      </c>
      <c r="D2029" s="442" t="s">
        <v>4</v>
      </c>
      <c r="E2029" s="442" t="s">
        <v>25</v>
      </c>
      <c r="F2029" s="442" t="s">
        <v>522</v>
      </c>
      <c r="G2029" s="442" t="s">
        <v>522</v>
      </c>
      <c r="H2029" s="442">
        <v>70950</v>
      </c>
      <c r="I2029" s="531">
        <v>50000010104</v>
      </c>
      <c r="J2029" s="277">
        <v>6627500</v>
      </c>
      <c r="K2029" s="627"/>
      <c r="L2029" s="394"/>
      <c r="M2029" s="394" t="s">
        <v>5133</v>
      </c>
      <c r="N2029" s="277">
        <v>5302000</v>
      </c>
      <c r="O2029" s="478"/>
    </row>
    <row r="2030" spans="1:15" ht="108" customHeight="1" x14ac:dyDescent="0.35">
      <c r="A2030" s="319" t="s">
        <v>4419</v>
      </c>
      <c r="B2030" s="463" t="s">
        <v>1737</v>
      </c>
      <c r="C2030" s="442" t="s">
        <v>1728</v>
      </c>
      <c r="D2030" s="442" t="s">
        <v>4</v>
      </c>
      <c r="E2030" s="442" t="s">
        <v>25</v>
      </c>
      <c r="F2030" s="442" t="s">
        <v>522</v>
      </c>
      <c r="G2030" s="442" t="s">
        <v>522</v>
      </c>
      <c r="H2030" s="442">
        <v>70912</v>
      </c>
      <c r="I2030" s="531">
        <v>50000010104</v>
      </c>
      <c r="J2030" s="277">
        <v>3587792.9250000003</v>
      </c>
      <c r="K2030" s="627"/>
      <c r="L2030" s="394"/>
      <c r="M2030" s="394" t="s">
        <v>5133</v>
      </c>
      <c r="N2030" s="277">
        <v>13635041</v>
      </c>
      <c r="O2030" s="478"/>
    </row>
    <row r="2031" spans="1:15" ht="183" customHeight="1" x14ac:dyDescent="0.35">
      <c r="A2031" s="319" t="s">
        <v>4420</v>
      </c>
      <c r="B2031" s="463" t="s">
        <v>1739</v>
      </c>
      <c r="C2031" s="442" t="s">
        <v>1729</v>
      </c>
      <c r="D2031" s="442" t="s">
        <v>4</v>
      </c>
      <c r="E2031" s="442" t="s">
        <v>25</v>
      </c>
      <c r="F2031" s="442" t="s">
        <v>522</v>
      </c>
      <c r="G2031" s="442" t="s">
        <v>522</v>
      </c>
      <c r="H2031" s="442">
        <v>70950</v>
      </c>
      <c r="I2031" s="531">
        <v>50000010104</v>
      </c>
      <c r="J2031" s="277">
        <v>49800000</v>
      </c>
      <c r="K2031" s="627"/>
      <c r="L2031" s="394"/>
      <c r="M2031" s="394" t="s">
        <v>5133</v>
      </c>
      <c r="N2031" s="277">
        <v>39840000</v>
      </c>
      <c r="O2031" s="478"/>
    </row>
    <row r="2032" spans="1:15" ht="105.75" customHeight="1" x14ac:dyDescent="0.35">
      <c r="A2032" s="319" t="s">
        <v>4421</v>
      </c>
      <c r="B2032" s="463" t="s">
        <v>1740</v>
      </c>
      <c r="C2032" s="442" t="s">
        <v>1728</v>
      </c>
      <c r="D2032" s="442" t="s">
        <v>4</v>
      </c>
      <c r="E2032" s="442" t="s">
        <v>25</v>
      </c>
      <c r="F2032" s="442" t="s">
        <v>62</v>
      </c>
      <c r="G2032" s="442" t="s">
        <v>62</v>
      </c>
      <c r="H2032" s="442">
        <v>70950</v>
      </c>
      <c r="I2032" s="531">
        <v>50000010106</v>
      </c>
      <c r="J2032" s="277">
        <v>4604499.46</v>
      </c>
      <c r="K2032" s="627"/>
      <c r="L2032" s="394"/>
      <c r="M2032" s="394" t="s">
        <v>5133</v>
      </c>
      <c r="N2032" s="277"/>
      <c r="O2032" s="478"/>
    </row>
    <row r="2033" spans="1:15" ht="75.75" customHeight="1" x14ac:dyDescent="0.35">
      <c r="A2033" s="319" t="s">
        <v>4422</v>
      </c>
      <c r="B2033" s="463" t="s">
        <v>1741</v>
      </c>
      <c r="C2033" s="442" t="s">
        <v>309</v>
      </c>
      <c r="D2033" s="442" t="s">
        <v>4</v>
      </c>
      <c r="E2033" s="442" t="s">
        <v>25</v>
      </c>
      <c r="F2033" s="442" t="s">
        <v>522</v>
      </c>
      <c r="G2033" s="442" t="s">
        <v>522</v>
      </c>
      <c r="H2033" s="442">
        <v>70950</v>
      </c>
      <c r="I2033" s="531">
        <v>50000010104</v>
      </c>
      <c r="J2033" s="277">
        <v>18673125</v>
      </c>
      <c r="K2033" s="627"/>
      <c r="L2033" s="394"/>
      <c r="M2033" s="394" t="s">
        <v>5133</v>
      </c>
      <c r="N2033" s="277"/>
      <c r="O2033" s="478"/>
    </row>
    <row r="2034" spans="1:15" ht="102" customHeight="1" x14ac:dyDescent="0.35">
      <c r="A2034" s="319" t="s">
        <v>4423</v>
      </c>
      <c r="B2034" s="463" t="s">
        <v>1742</v>
      </c>
      <c r="C2034" s="442" t="s">
        <v>871</v>
      </c>
      <c r="D2034" s="442" t="s">
        <v>4</v>
      </c>
      <c r="E2034" s="442" t="s">
        <v>25</v>
      </c>
      <c r="F2034" s="442" t="s">
        <v>999</v>
      </c>
      <c r="G2034" s="442" t="s">
        <v>999</v>
      </c>
      <c r="H2034" s="442">
        <v>70950</v>
      </c>
      <c r="I2034" s="531">
        <v>50000010104</v>
      </c>
      <c r="J2034" s="277">
        <v>17491984.335000001</v>
      </c>
      <c r="K2034" s="627"/>
      <c r="L2034" s="394"/>
      <c r="M2034" s="394" t="s">
        <v>5133</v>
      </c>
      <c r="N2034" s="277"/>
      <c r="O2034" s="478"/>
    </row>
    <row r="2035" spans="1:15" ht="65.25" customHeight="1" x14ac:dyDescent="0.35">
      <c r="A2035" s="319" t="s">
        <v>4424</v>
      </c>
      <c r="B2035" s="463" t="s">
        <v>1743</v>
      </c>
      <c r="C2035" s="442" t="s">
        <v>309</v>
      </c>
      <c r="D2035" s="442" t="s">
        <v>4</v>
      </c>
      <c r="E2035" s="442" t="s">
        <v>25</v>
      </c>
      <c r="F2035" s="442" t="s">
        <v>522</v>
      </c>
      <c r="G2035" s="442" t="s">
        <v>522</v>
      </c>
      <c r="H2035" s="442">
        <v>70912</v>
      </c>
      <c r="I2035" s="531">
        <v>50000010104</v>
      </c>
      <c r="J2035" s="277">
        <v>999925.98</v>
      </c>
      <c r="K2035" s="627"/>
      <c r="L2035" s="394"/>
      <c r="M2035" s="394" t="s">
        <v>5133</v>
      </c>
      <c r="N2035" s="277"/>
      <c r="O2035" s="478"/>
    </row>
    <row r="2036" spans="1:15" ht="141" customHeight="1" x14ac:dyDescent="0.35">
      <c r="A2036" s="319" t="s">
        <v>4425</v>
      </c>
      <c r="B2036" s="463" t="s">
        <v>1744</v>
      </c>
      <c r="C2036" s="442" t="s">
        <v>309</v>
      </c>
      <c r="D2036" s="442" t="s">
        <v>4</v>
      </c>
      <c r="E2036" s="442" t="s">
        <v>25</v>
      </c>
      <c r="F2036" s="442" t="s">
        <v>522</v>
      </c>
      <c r="G2036" s="442" t="s">
        <v>522</v>
      </c>
      <c r="H2036" s="442">
        <v>70912</v>
      </c>
      <c r="I2036" s="531">
        <v>50000010104</v>
      </c>
      <c r="J2036" s="277">
        <v>8314486.2100000009</v>
      </c>
      <c r="K2036" s="627"/>
      <c r="L2036" s="394"/>
      <c r="M2036" s="394" t="s">
        <v>5133</v>
      </c>
      <c r="N2036" s="277"/>
      <c r="O2036" s="478"/>
    </row>
    <row r="2037" spans="1:15" ht="272.25" customHeight="1" x14ac:dyDescent="0.35">
      <c r="A2037" s="319" t="s">
        <v>4426</v>
      </c>
      <c r="B2037" s="463" t="s">
        <v>1745</v>
      </c>
      <c r="C2037" s="442" t="s">
        <v>309</v>
      </c>
      <c r="D2037" s="442" t="s">
        <v>4</v>
      </c>
      <c r="E2037" s="442" t="s">
        <v>25</v>
      </c>
      <c r="F2037" s="442" t="s">
        <v>999</v>
      </c>
      <c r="G2037" s="442" t="s">
        <v>999</v>
      </c>
      <c r="H2037" s="442">
        <v>70912</v>
      </c>
      <c r="I2037" s="531">
        <v>50000010104</v>
      </c>
      <c r="J2037" s="277">
        <v>26111832.300000001</v>
      </c>
      <c r="K2037" s="627"/>
      <c r="L2037" s="394"/>
      <c r="M2037" s="394" t="s">
        <v>5133</v>
      </c>
      <c r="N2037" s="277"/>
      <c r="O2037" s="478"/>
    </row>
    <row r="2038" spans="1:15" ht="93.75" customHeight="1" x14ac:dyDescent="0.35">
      <c r="A2038" s="319" t="s">
        <v>4427</v>
      </c>
      <c r="B2038" s="463" t="s">
        <v>1747</v>
      </c>
      <c r="C2038" s="442" t="s">
        <v>545</v>
      </c>
      <c r="D2038" s="442" t="s">
        <v>4</v>
      </c>
      <c r="E2038" s="442" t="s">
        <v>25</v>
      </c>
      <c r="F2038" s="442" t="s">
        <v>62</v>
      </c>
      <c r="G2038" s="442" t="s">
        <v>62</v>
      </c>
      <c r="H2038" s="442">
        <v>70912</v>
      </c>
      <c r="I2038" s="531">
        <v>220000010106</v>
      </c>
      <c r="J2038" s="277">
        <v>18525000</v>
      </c>
      <c r="K2038" s="627"/>
      <c r="L2038" s="394"/>
      <c r="M2038" s="394" t="s">
        <v>5133</v>
      </c>
      <c r="N2038" s="277"/>
      <c r="O2038" s="478"/>
    </row>
    <row r="2039" spans="1:15" ht="77.25" customHeight="1" x14ac:dyDescent="0.35">
      <c r="A2039" s="319" t="s">
        <v>4428</v>
      </c>
      <c r="B2039" s="463" t="s">
        <v>1748</v>
      </c>
      <c r="C2039" s="442" t="s">
        <v>1738</v>
      </c>
      <c r="D2039" s="442" t="s">
        <v>4</v>
      </c>
      <c r="E2039" s="442" t="s">
        <v>25</v>
      </c>
      <c r="F2039" s="442" t="s">
        <v>999</v>
      </c>
      <c r="G2039" s="442" t="s">
        <v>999</v>
      </c>
      <c r="H2039" s="442">
        <v>70912</v>
      </c>
      <c r="I2039" s="531">
        <v>50000010104</v>
      </c>
      <c r="J2039" s="277">
        <v>19751647.690000001</v>
      </c>
      <c r="K2039" s="627"/>
      <c r="L2039" s="394"/>
      <c r="M2039" s="394" t="s">
        <v>5133</v>
      </c>
      <c r="N2039" s="277"/>
      <c r="O2039" s="478"/>
    </row>
    <row r="2040" spans="1:15" ht="88.5" customHeight="1" x14ac:dyDescent="0.35">
      <c r="A2040" s="319" t="s">
        <v>4429</v>
      </c>
      <c r="B2040" s="463" t="s">
        <v>1749</v>
      </c>
      <c r="C2040" s="442" t="s">
        <v>545</v>
      </c>
      <c r="D2040" s="442" t="s">
        <v>4</v>
      </c>
      <c r="E2040" s="442" t="s">
        <v>25</v>
      </c>
      <c r="F2040" s="442" t="s">
        <v>522</v>
      </c>
      <c r="G2040" s="442" t="s">
        <v>522</v>
      </c>
      <c r="H2040" s="442">
        <v>70912</v>
      </c>
      <c r="I2040" s="531">
        <v>50000010104</v>
      </c>
      <c r="J2040" s="277">
        <v>1090878.4150000028</v>
      </c>
      <c r="K2040" s="627"/>
      <c r="L2040" s="394"/>
      <c r="M2040" s="394" t="s">
        <v>5133</v>
      </c>
      <c r="N2040" s="277">
        <v>15364055</v>
      </c>
      <c r="O2040" s="478"/>
    </row>
    <row r="2041" spans="1:15" ht="82.5" customHeight="1" x14ac:dyDescent="0.35">
      <c r="A2041" s="319" t="s">
        <v>4430</v>
      </c>
      <c r="B2041" s="463" t="s">
        <v>1750</v>
      </c>
      <c r="C2041" s="442" t="s">
        <v>393</v>
      </c>
      <c r="D2041" s="442" t="s">
        <v>4</v>
      </c>
      <c r="E2041" s="442" t="s">
        <v>25</v>
      </c>
      <c r="F2041" s="442" t="s">
        <v>999</v>
      </c>
      <c r="G2041" s="442" t="s">
        <v>999</v>
      </c>
      <c r="H2041" s="442">
        <v>70950</v>
      </c>
      <c r="I2041" s="531">
        <v>50000010104</v>
      </c>
      <c r="J2041" s="277">
        <v>51250</v>
      </c>
      <c r="K2041" s="627"/>
      <c r="L2041" s="394"/>
      <c r="M2041" s="394" t="s">
        <v>5133</v>
      </c>
      <c r="N2041" s="277">
        <v>820000</v>
      </c>
      <c r="O2041" s="478"/>
    </row>
    <row r="2042" spans="1:15" ht="127.5" customHeight="1" x14ac:dyDescent="0.35">
      <c r="A2042" s="319" t="s">
        <v>4431</v>
      </c>
      <c r="B2042" s="463" t="s">
        <v>1751</v>
      </c>
      <c r="C2042" s="442" t="s">
        <v>801</v>
      </c>
      <c r="D2042" s="442" t="s">
        <v>4</v>
      </c>
      <c r="E2042" s="442" t="s">
        <v>25</v>
      </c>
      <c r="F2042" s="442" t="s">
        <v>522</v>
      </c>
      <c r="G2042" s="442" t="s">
        <v>522</v>
      </c>
      <c r="H2042" s="442">
        <v>70950</v>
      </c>
      <c r="I2042" s="531">
        <v>50000010104</v>
      </c>
      <c r="J2042" s="277">
        <v>567457.47500000056</v>
      </c>
      <c r="K2042" s="627"/>
      <c r="L2042" s="394"/>
      <c r="M2042" s="394" t="s">
        <v>5133</v>
      </c>
      <c r="N2042" s="277">
        <v>6456489</v>
      </c>
      <c r="O2042" s="478"/>
    </row>
    <row r="2043" spans="1:15" ht="69.75" customHeight="1" x14ac:dyDescent="0.35">
      <c r="A2043" s="319" t="s">
        <v>4432</v>
      </c>
      <c r="B2043" s="463" t="s">
        <v>1752</v>
      </c>
      <c r="C2043" s="442" t="s">
        <v>393</v>
      </c>
      <c r="D2043" s="442" t="s">
        <v>4</v>
      </c>
      <c r="E2043" s="442" t="s">
        <v>25</v>
      </c>
      <c r="F2043" s="442" t="s">
        <v>522</v>
      </c>
      <c r="G2043" s="442" t="s">
        <v>522</v>
      </c>
      <c r="H2043" s="442">
        <v>70912</v>
      </c>
      <c r="I2043" s="531">
        <v>50000010104</v>
      </c>
      <c r="J2043" s="277">
        <v>460109.87999999989</v>
      </c>
      <c r="K2043" s="627"/>
      <c r="L2043" s="394"/>
      <c r="M2043" s="394" t="s">
        <v>5133</v>
      </c>
      <c r="N2043" s="277">
        <v>6325924</v>
      </c>
      <c r="O2043" s="478"/>
    </row>
    <row r="2044" spans="1:15" ht="163.5" customHeight="1" x14ac:dyDescent="0.35">
      <c r="A2044" s="319" t="s">
        <v>4433</v>
      </c>
      <c r="B2044" s="463" t="s">
        <v>814</v>
      </c>
      <c r="C2044" s="442" t="s">
        <v>797</v>
      </c>
      <c r="D2044" s="442" t="s">
        <v>4</v>
      </c>
      <c r="E2044" s="442" t="s">
        <v>25</v>
      </c>
      <c r="F2044" s="442" t="s">
        <v>999</v>
      </c>
      <c r="G2044" s="442" t="s">
        <v>999</v>
      </c>
      <c r="H2044" s="442">
        <v>70950</v>
      </c>
      <c r="I2044" s="531">
        <v>50000010104</v>
      </c>
      <c r="J2044" s="277">
        <v>38006655.814999998</v>
      </c>
      <c r="K2044" s="627"/>
      <c r="L2044" s="394"/>
      <c r="M2044" s="394" t="s">
        <v>5133</v>
      </c>
      <c r="N2044" s="277">
        <v>60800000</v>
      </c>
      <c r="O2044" s="478"/>
    </row>
    <row r="2045" spans="1:15" ht="130.5" customHeight="1" x14ac:dyDescent="0.35">
      <c r="A2045" s="319" t="s">
        <v>4434</v>
      </c>
      <c r="B2045" s="463" t="s">
        <v>1753</v>
      </c>
      <c r="C2045" s="442" t="s">
        <v>469</v>
      </c>
      <c r="D2045" s="442" t="s">
        <v>4</v>
      </c>
      <c r="E2045" s="442" t="s">
        <v>25</v>
      </c>
      <c r="F2045" s="442" t="s">
        <v>999</v>
      </c>
      <c r="G2045" s="442" t="s">
        <v>999</v>
      </c>
      <c r="H2045" s="442">
        <v>70950</v>
      </c>
      <c r="I2045" s="531">
        <v>50000010104</v>
      </c>
      <c r="J2045" s="277">
        <v>1545496.0549999997</v>
      </c>
      <c r="K2045" s="627"/>
      <c r="L2045" s="394"/>
      <c r="M2045" s="394" t="s">
        <v>5133</v>
      </c>
      <c r="N2045" s="277">
        <v>30457752</v>
      </c>
      <c r="O2045" s="478"/>
    </row>
    <row r="2046" spans="1:15" ht="102" customHeight="1" x14ac:dyDescent="0.35">
      <c r="A2046" s="319" t="s">
        <v>4435</v>
      </c>
      <c r="B2046" s="463" t="s">
        <v>1754</v>
      </c>
      <c r="C2046" s="442" t="s">
        <v>1746</v>
      </c>
      <c r="D2046" s="442" t="s">
        <v>4</v>
      </c>
      <c r="E2046" s="442" t="s">
        <v>25</v>
      </c>
      <c r="F2046" s="442" t="s">
        <v>522</v>
      </c>
      <c r="G2046" s="442" t="s">
        <v>522</v>
      </c>
      <c r="H2046" s="442">
        <v>70950</v>
      </c>
      <c r="I2046" s="531">
        <v>50000010104</v>
      </c>
      <c r="J2046" s="277">
        <v>1235000</v>
      </c>
      <c r="K2046" s="627"/>
      <c r="L2046" s="394"/>
      <c r="M2046" s="394" t="s">
        <v>5133</v>
      </c>
      <c r="N2046" s="277"/>
      <c r="O2046" s="478"/>
    </row>
    <row r="2047" spans="1:15" ht="245.25" customHeight="1" x14ac:dyDescent="0.35">
      <c r="A2047" s="319" t="s">
        <v>4436</v>
      </c>
      <c r="B2047" s="463" t="s">
        <v>1756</v>
      </c>
      <c r="C2047" s="442" t="s">
        <v>1746</v>
      </c>
      <c r="D2047" s="442" t="s">
        <v>4</v>
      </c>
      <c r="E2047" s="442" t="s">
        <v>25</v>
      </c>
      <c r="F2047" s="442" t="s">
        <v>522</v>
      </c>
      <c r="G2047" s="442" t="s">
        <v>522</v>
      </c>
      <c r="H2047" s="442">
        <v>70912</v>
      </c>
      <c r="I2047" s="531">
        <v>50000010104</v>
      </c>
      <c r="J2047" s="277">
        <v>34884929.5</v>
      </c>
      <c r="K2047" s="627"/>
      <c r="L2047" s="394"/>
      <c r="M2047" s="394" t="s">
        <v>5133</v>
      </c>
      <c r="N2047" s="277"/>
      <c r="O2047" s="478"/>
    </row>
    <row r="2048" spans="1:15" ht="187.5" customHeight="1" x14ac:dyDescent="0.35">
      <c r="A2048" s="319" t="s">
        <v>4437</v>
      </c>
      <c r="B2048" s="463" t="s">
        <v>1758</v>
      </c>
      <c r="C2048" s="442" t="s">
        <v>1746</v>
      </c>
      <c r="D2048" s="442" t="s">
        <v>4</v>
      </c>
      <c r="E2048" s="442" t="s">
        <v>25</v>
      </c>
      <c r="F2048" s="442" t="s">
        <v>999</v>
      </c>
      <c r="G2048" s="442" t="s">
        <v>999</v>
      </c>
      <c r="H2048" s="442">
        <v>70950</v>
      </c>
      <c r="I2048" s="531">
        <v>50000010104</v>
      </c>
      <c r="J2048" s="277">
        <v>76917942.719999999</v>
      </c>
      <c r="K2048" s="627"/>
      <c r="L2048" s="394"/>
      <c r="M2048" s="394" t="s">
        <v>5133</v>
      </c>
      <c r="N2048" s="277"/>
      <c r="O2048" s="478"/>
    </row>
    <row r="2049" spans="1:15" ht="54" customHeight="1" x14ac:dyDescent="0.35">
      <c r="A2049" s="319" t="s">
        <v>4438</v>
      </c>
      <c r="B2049" s="463" t="s">
        <v>1760</v>
      </c>
      <c r="C2049" s="442" t="s">
        <v>488</v>
      </c>
      <c r="D2049" s="442" t="s">
        <v>4</v>
      </c>
      <c r="E2049" s="442" t="s">
        <v>25</v>
      </c>
      <c r="F2049" s="442" t="s">
        <v>522</v>
      </c>
      <c r="G2049" s="442" t="s">
        <v>522</v>
      </c>
      <c r="H2049" s="442">
        <v>70950</v>
      </c>
      <c r="I2049" s="531">
        <v>50000010104</v>
      </c>
      <c r="J2049" s="277">
        <v>17535822.934999999</v>
      </c>
      <c r="K2049" s="627"/>
      <c r="L2049" s="394"/>
      <c r="M2049" s="394" t="s">
        <v>5133</v>
      </c>
      <c r="N2049" s="277"/>
      <c r="O2049" s="478"/>
    </row>
    <row r="2050" spans="1:15" ht="81" customHeight="1" x14ac:dyDescent="0.35">
      <c r="A2050" s="319" t="s">
        <v>4439</v>
      </c>
      <c r="B2050" s="463" t="s">
        <v>1762</v>
      </c>
      <c r="C2050" s="442" t="s">
        <v>488</v>
      </c>
      <c r="D2050" s="442" t="s">
        <v>4</v>
      </c>
      <c r="E2050" s="442" t="s">
        <v>25</v>
      </c>
      <c r="F2050" s="442" t="s">
        <v>522</v>
      </c>
      <c r="G2050" s="442" t="s">
        <v>522</v>
      </c>
      <c r="H2050" s="442">
        <v>70912</v>
      </c>
      <c r="I2050" s="531">
        <v>50000010104</v>
      </c>
      <c r="J2050" s="277">
        <v>31499.995000001043</v>
      </c>
      <c r="K2050" s="627"/>
      <c r="L2050" s="394"/>
      <c r="M2050" s="394" t="s">
        <v>5133</v>
      </c>
      <c r="N2050" s="277"/>
      <c r="O2050" s="478"/>
    </row>
    <row r="2051" spans="1:15" ht="134.25" customHeight="1" x14ac:dyDescent="0.35">
      <c r="A2051" s="319" t="s">
        <v>4440</v>
      </c>
      <c r="B2051" s="463" t="s">
        <v>1764</v>
      </c>
      <c r="C2051" s="442" t="s">
        <v>488</v>
      </c>
      <c r="D2051" s="442" t="s">
        <v>4</v>
      </c>
      <c r="E2051" s="442" t="s">
        <v>25</v>
      </c>
      <c r="F2051" s="442" t="s">
        <v>999</v>
      </c>
      <c r="G2051" s="442" t="s">
        <v>999</v>
      </c>
      <c r="H2051" s="442">
        <v>70950</v>
      </c>
      <c r="I2051" s="531">
        <v>50000010104</v>
      </c>
      <c r="J2051" s="277">
        <v>24436588.545000002</v>
      </c>
      <c r="K2051" s="627"/>
      <c r="L2051" s="394"/>
      <c r="M2051" s="394" t="s">
        <v>5133</v>
      </c>
      <c r="N2051" s="277">
        <v>19549271</v>
      </c>
      <c r="O2051" s="478"/>
    </row>
    <row r="2052" spans="1:15" ht="115.5" customHeight="1" x14ac:dyDescent="0.35">
      <c r="A2052" s="319" t="s">
        <v>4441</v>
      </c>
      <c r="B2052" s="463" t="s">
        <v>1765</v>
      </c>
      <c r="C2052" s="442" t="s">
        <v>488</v>
      </c>
      <c r="D2052" s="442" t="s">
        <v>4</v>
      </c>
      <c r="E2052" s="442" t="s">
        <v>25</v>
      </c>
      <c r="F2052" s="442" t="s">
        <v>522</v>
      </c>
      <c r="G2052" s="442" t="s">
        <v>522</v>
      </c>
      <c r="H2052" s="442">
        <v>70950</v>
      </c>
      <c r="I2052" s="531">
        <v>50000010104</v>
      </c>
      <c r="J2052" s="277">
        <v>43499576.185000002</v>
      </c>
      <c r="K2052" s="627"/>
      <c r="L2052" s="394"/>
      <c r="M2052" s="394" t="s">
        <v>5133</v>
      </c>
      <c r="N2052" s="277">
        <v>58263488</v>
      </c>
      <c r="O2052" s="478"/>
    </row>
    <row r="2053" spans="1:15" ht="210" customHeight="1" x14ac:dyDescent="0.35">
      <c r="A2053" s="319" t="s">
        <v>4442</v>
      </c>
      <c r="B2053" s="463" t="s">
        <v>1766</v>
      </c>
      <c r="C2053" s="442" t="s">
        <v>646</v>
      </c>
      <c r="D2053" s="442" t="s">
        <v>4</v>
      </c>
      <c r="E2053" s="442" t="s">
        <v>25</v>
      </c>
      <c r="F2053" s="442" t="s">
        <v>999</v>
      </c>
      <c r="G2053" s="442" t="s">
        <v>999</v>
      </c>
      <c r="H2053" s="442">
        <v>70950</v>
      </c>
      <c r="I2053" s="531">
        <v>50000010104</v>
      </c>
      <c r="J2053" s="277">
        <v>1962719.9099999964</v>
      </c>
      <c r="K2053" s="627"/>
      <c r="L2053" s="394"/>
      <c r="M2053" s="394" t="s">
        <v>5133</v>
      </c>
      <c r="N2053" s="277">
        <v>39591953</v>
      </c>
      <c r="O2053" s="478"/>
    </row>
    <row r="2054" spans="1:15" ht="70.5" customHeight="1" x14ac:dyDescent="0.35">
      <c r="A2054" s="319" t="s">
        <v>4443</v>
      </c>
      <c r="B2054" s="463" t="s">
        <v>1768</v>
      </c>
      <c r="C2054" s="442" t="s">
        <v>627</v>
      </c>
      <c r="D2054" s="442" t="s">
        <v>4</v>
      </c>
      <c r="E2054" s="442" t="s">
        <v>25</v>
      </c>
      <c r="F2054" s="442" t="s">
        <v>999</v>
      </c>
      <c r="G2054" s="442" t="s">
        <v>999</v>
      </c>
      <c r="H2054" s="442">
        <v>70950</v>
      </c>
      <c r="I2054" s="531">
        <v>50000010104</v>
      </c>
      <c r="J2054" s="277">
        <v>22171756.899999999</v>
      </c>
      <c r="K2054" s="627"/>
      <c r="L2054" s="394"/>
      <c r="M2054" s="394" t="s">
        <v>5133</v>
      </c>
      <c r="N2054" s="277">
        <v>17737406</v>
      </c>
      <c r="O2054" s="478"/>
    </row>
    <row r="2055" spans="1:15" ht="72.75" customHeight="1" x14ac:dyDescent="0.35">
      <c r="A2055" s="319" t="s">
        <v>4444</v>
      </c>
      <c r="B2055" s="463" t="s">
        <v>1769</v>
      </c>
      <c r="C2055" s="442" t="s">
        <v>1755</v>
      </c>
      <c r="D2055" s="442" t="s">
        <v>4</v>
      </c>
      <c r="E2055" s="442" t="s">
        <v>25</v>
      </c>
      <c r="F2055" s="442" t="s">
        <v>522</v>
      </c>
      <c r="G2055" s="442" t="s">
        <v>522</v>
      </c>
      <c r="H2055" s="442">
        <v>70912</v>
      </c>
      <c r="I2055" s="531">
        <v>50000010104</v>
      </c>
      <c r="J2055" s="277">
        <v>379209.41500000004</v>
      </c>
      <c r="K2055" s="627"/>
      <c r="L2055" s="394"/>
      <c r="M2055" s="394" t="s">
        <v>5133</v>
      </c>
      <c r="N2055" s="277">
        <v>4434351</v>
      </c>
      <c r="O2055" s="478"/>
    </row>
    <row r="2056" spans="1:15" ht="66.75" customHeight="1" x14ac:dyDescent="0.35">
      <c r="A2056" s="319" t="s">
        <v>4445</v>
      </c>
      <c r="B2056" s="463" t="s">
        <v>1770</v>
      </c>
      <c r="C2056" s="442" t="s">
        <v>1757</v>
      </c>
      <c r="D2056" s="442" t="s">
        <v>4</v>
      </c>
      <c r="E2056" s="442" t="s">
        <v>25</v>
      </c>
      <c r="F2056" s="442" t="s">
        <v>522</v>
      </c>
      <c r="G2056" s="442" t="s">
        <v>522</v>
      </c>
      <c r="H2056" s="442">
        <v>70950</v>
      </c>
      <c r="I2056" s="531">
        <v>50000010104</v>
      </c>
      <c r="J2056" s="277">
        <v>461721.47999999858</v>
      </c>
      <c r="K2056" s="627"/>
      <c r="L2056" s="394"/>
      <c r="M2056" s="394" t="s">
        <v>5133</v>
      </c>
      <c r="N2056" s="277">
        <v>7383668</v>
      </c>
      <c r="O2056" s="478"/>
    </row>
    <row r="2057" spans="1:15" ht="97.5" customHeight="1" x14ac:dyDescent="0.35">
      <c r="A2057" s="319" t="s">
        <v>4446</v>
      </c>
      <c r="B2057" s="463" t="s">
        <v>1771</v>
      </c>
      <c r="C2057" s="442" t="s">
        <v>1759</v>
      </c>
      <c r="D2057" s="442" t="s">
        <v>4</v>
      </c>
      <c r="E2057" s="442" t="s">
        <v>25</v>
      </c>
      <c r="F2057" s="442" t="s">
        <v>999</v>
      </c>
      <c r="G2057" s="442" t="s">
        <v>999</v>
      </c>
      <c r="H2057" s="442">
        <v>70950</v>
      </c>
      <c r="I2057" s="531">
        <v>50000010104</v>
      </c>
      <c r="J2057" s="277">
        <v>15670794.305</v>
      </c>
      <c r="K2057" s="627"/>
      <c r="L2057" s="394"/>
      <c r="M2057" s="394" t="s">
        <v>5133</v>
      </c>
      <c r="N2057" s="277">
        <v>16715513</v>
      </c>
      <c r="O2057" s="478"/>
    </row>
    <row r="2058" spans="1:15" ht="75" customHeight="1" x14ac:dyDescent="0.35">
      <c r="A2058" s="319" t="s">
        <v>4447</v>
      </c>
      <c r="B2058" s="463" t="s">
        <v>1772</v>
      </c>
      <c r="C2058" s="442" t="s">
        <v>1761</v>
      </c>
      <c r="D2058" s="442" t="s">
        <v>4</v>
      </c>
      <c r="E2058" s="442" t="s">
        <v>25</v>
      </c>
      <c r="F2058" s="442" t="s">
        <v>522</v>
      </c>
      <c r="G2058" s="442" t="s">
        <v>522</v>
      </c>
      <c r="H2058" s="442">
        <v>70950</v>
      </c>
      <c r="I2058" s="531">
        <v>50000010104</v>
      </c>
      <c r="J2058" s="277">
        <v>19067568.545000002</v>
      </c>
      <c r="K2058" s="627"/>
      <c r="L2058" s="394"/>
      <c r="M2058" s="394" t="s">
        <v>5133</v>
      </c>
      <c r="N2058" s="277">
        <v>15254055</v>
      </c>
      <c r="O2058" s="478"/>
    </row>
    <row r="2059" spans="1:15" ht="265.5" customHeight="1" x14ac:dyDescent="0.35">
      <c r="A2059" s="319" t="s">
        <v>4448</v>
      </c>
      <c r="B2059" s="463" t="s">
        <v>815</v>
      </c>
      <c r="C2059" s="442" t="s">
        <v>1763</v>
      </c>
      <c r="D2059" s="442" t="s">
        <v>4</v>
      </c>
      <c r="E2059" s="442" t="s">
        <v>25</v>
      </c>
      <c r="F2059" s="442" t="s">
        <v>522</v>
      </c>
      <c r="G2059" s="442" t="s">
        <v>522</v>
      </c>
      <c r="H2059" s="442">
        <v>70912</v>
      </c>
      <c r="I2059" s="531">
        <v>50000010104</v>
      </c>
      <c r="J2059" s="277">
        <v>4360713.2849999964</v>
      </c>
      <c r="K2059" s="627"/>
      <c r="L2059" s="394"/>
      <c r="M2059" s="394" t="s">
        <v>5133</v>
      </c>
      <c r="N2059" s="277">
        <v>43828349</v>
      </c>
      <c r="O2059" s="478"/>
    </row>
    <row r="2060" spans="1:15" ht="90" customHeight="1" x14ac:dyDescent="0.35">
      <c r="A2060" s="319" t="s">
        <v>4449</v>
      </c>
      <c r="B2060" s="463" t="s">
        <v>1773</v>
      </c>
      <c r="C2060" s="442" t="s">
        <v>190</v>
      </c>
      <c r="D2060" s="442" t="s">
        <v>4</v>
      </c>
      <c r="E2060" s="442" t="s">
        <v>25</v>
      </c>
      <c r="F2060" s="442" t="s">
        <v>522</v>
      </c>
      <c r="G2060" s="442" t="s">
        <v>522</v>
      </c>
      <c r="H2060" s="442">
        <v>70950</v>
      </c>
      <c r="I2060" s="531">
        <v>50000010104</v>
      </c>
      <c r="J2060" s="277">
        <v>11378895.18</v>
      </c>
      <c r="K2060" s="627"/>
      <c r="L2060" s="394"/>
      <c r="M2060" s="394" t="s">
        <v>5133</v>
      </c>
      <c r="N2060" s="277"/>
      <c r="O2060" s="478"/>
    </row>
    <row r="2061" spans="1:15" ht="66" customHeight="1" x14ac:dyDescent="0.35">
      <c r="A2061" s="319" t="s">
        <v>4450</v>
      </c>
      <c r="B2061" s="463" t="s">
        <v>1774</v>
      </c>
      <c r="C2061" s="442" t="s">
        <v>190</v>
      </c>
      <c r="D2061" s="442" t="s">
        <v>4</v>
      </c>
      <c r="E2061" s="442" t="s">
        <v>25</v>
      </c>
      <c r="F2061" s="442" t="s">
        <v>522</v>
      </c>
      <c r="G2061" s="442" t="s">
        <v>522</v>
      </c>
      <c r="H2061" s="442">
        <v>70950</v>
      </c>
      <c r="I2061" s="531">
        <v>50000010104</v>
      </c>
      <c r="J2061" s="277">
        <v>5306067.0350000001</v>
      </c>
      <c r="K2061" s="627"/>
      <c r="L2061" s="394"/>
      <c r="M2061" s="394" t="s">
        <v>5133</v>
      </c>
      <c r="N2061" s="277"/>
      <c r="O2061" s="478"/>
    </row>
    <row r="2062" spans="1:15" ht="72" customHeight="1" x14ac:dyDescent="0.35">
      <c r="A2062" s="319" t="s">
        <v>4451</v>
      </c>
      <c r="B2062" s="463" t="s">
        <v>1775</v>
      </c>
      <c r="C2062" s="442" t="s">
        <v>1767</v>
      </c>
      <c r="D2062" s="442" t="s">
        <v>4</v>
      </c>
      <c r="E2062" s="442" t="s">
        <v>25</v>
      </c>
      <c r="F2062" s="442" t="s">
        <v>522</v>
      </c>
      <c r="G2062" s="442" t="s">
        <v>522</v>
      </c>
      <c r="H2062" s="442">
        <v>70950</v>
      </c>
      <c r="I2062" s="531">
        <v>50000010104</v>
      </c>
      <c r="J2062" s="277">
        <v>11214565.17</v>
      </c>
      <c r="K2062" s="627"/>
      <c r="L2062" s="394"/>
      <c r="M2062" s="394" t="s">
        <v>5133</v>
      </c>
      <c r="N2062" s="277"/>
      <c r="O2062" s="478"/>
    </row>
    <row r="2063" spans="1:15" ht="75.75" customHeight="1" x14ac:dyDescent="0.35">
      <c r="A2063" s="319" t="s">
        <v>4452</v>
      </c>
      <c r="B2063" s="463" t="s">
        <v>1776</v>
      </c>
      <c r="C2063" s="442" t="s">
        <v>456</v>
      </c>
      <c r="D2063" s="442" t="s">
        <v>4</v>
      </c>
      <c r="E2063" s="442" t="s">
        <v>25</v>
      </c>
      <c r="F2063" s="442" t="s">
        <v>999</v>
      </c>
      <c r="G2063" s="442" t="s">
        <v>999</v>
      </c>
      <c r="H2063" s="442">
        <v>70950</v>
      </c>
      <c r="I2063" s="531">
        <v>50000010104</v>
      </c>
      <c r="J2063" s="277">
        <v>9861343.1449999996</v>
      </c>
      <c r="K2063" s="627"/>
      <c r="L2063" s="394"/>
      <c r="M2063" s="394" t="s">
        <v>5133</v>
      </c>
      <c r="N2063" s="277"/>
      <c r="O2063" s="478"/>
    </row>
    <row r="2064" spans="1:15" ht="187.5" customHeight="1" x14ac:dyDescent="0.35">
      <c r="A2064" s="319" t="s">
        <v>4453</v>
      </c>
      <c r="B2064" s="463" t="s">
        <v>1777</v>
      </c>
      <c r="C2064" s="442" t="s">
        <v>456</v>
      </c>
      <c r="D2064" s="442" t="s">
        <v>4</v>
      </c>
      <c r="E2064" s="442" t="s">
        <v>25</v>
      </c>
      <c r="F2064" s="442" t="s">
        <v>999</v>
      </c>
      <c r="G2064" s="442" t="s">
        <v>999</v>
      </c>
      <c r="H2064" s="442">
        <v>70950</v>
      </c>
      <c r="I2064" s="531">
        <v>50000010104</v>
      </c>
      <c r="J2064" s="277">
        <v>18337500</v>
      </c>
      <c r="K2064" s="627"/>
      <c r="L2064" s="394"/>
      <c r="M2064" s="394" t="s">
        <v>5133</v>
      </c>
      <c r="N2064" s="277"/>
      <c r="O2064" s="478"/>
    </row>
    <row r="2065" spans="1:15" ht="54.75" customHeight="1" x14ac:dyDescent="0.35">
      <c r="A2065" s="319" t="s">
        <v>4454</v>
      </c>
      <c r="B2065" s="463" t="s">
        <v>1778</v>
      </c>
      <c r="C2065" s="442" t="s">
        <v>456</v>
      </c>
      <c r="D2065" s="442" t="s">
        <v>4</v>
      </c>
      <c r="E2065" s="442" t="s">
        <v>25</v>
      </c>
      <c r="F2065" s="442" t="s">
        <v>999</v>
      </c>
      <c r="G2065" s="442" t="s">
        <v>999</v>
      </c>
      <c r="H2065" s="442">
        <v>70950</v>
      </c>
      <c r="I2065" s="531">
        <v>50000010104</v>
      </c>
      <c r="J2065" s="277">
        <v>12573240.645</v>
      </c>
      <c r="K2065" s="627"/>
      <c r="L2065" s="394"/>
      <c r="M2065" s="394" t="s">
        <v>5133</v>
      </c>
      <c r="N2065" s="277"/>
      <c r="O2065" s="478"/>
    </row>
    <row r="2066" spans="1:15" ht="60.75" customHeight="1" x14ac:dyDescent="0.35">
      <c r="A2066" s="319" t="s">
        <v>4455</v>
      </c>
      <c r="B2066" s="463" t="s">
        <v>1779</v>
      </c>
      <c r="C2066" s="442" t="s">
        <v>456</v>
      </c>
      <c r="D2066" s="442" t="s">
        <v>4</v>
      </c>
      <c r="E2066" s="442" t="s">
        <v>25</v>
      </c>
      <c r="F2066" s="442" t="s">
        <v>999</v>
      </c>
      <c r="G2066" s="442" t="s">
        <v>999</v>
      </c>
      <c r="H2066" s="442">
        <v>70950</v>
      </c>
      <c r="I2066" s="531">
        <v>50000010104</v>
      </c>
      <c r="J2066" s="277">
        <v>9092953.0649999995</v>
      </c>
      <c r="K2066" s="627"/>
      <c r="L2066" s="394"/>
      <c r="M2066" s="394" t="s">
        <v>5133</v>
      </c>
      <c r="N2066" s="277"/>
      <c r="O2066" s="478"/>
    </row>
    <row r="2067" spans="1:15" ht="100.5" customHeight="1" x14ac:dyDescent="0.35">
      <c r="A2067" s="319" t="s">
        <v>4456</v>
      </c>
      <c r="B2067" s="463" t="s">
        <v>1780</v>
      </c>
      <c r="C2067" s="442" t="s">
        <v>190</v>
      </c>
      <c r="D2067" s="442" t="s">
        <v>4</v>
      </c>
      <c r="E2067" s="442" t="s">
        <v>25</v>
      </c>
      <c r="F2067" s="442" t="s">
        <v>522</v>
      </c>
      <c r="G2067" s="442" t="s">
        <v>522</v>
      </c>
      <c r="H2067" s="442">
        <v>70912</v>
      </c>
      <c r="I2067" s="531">
        <v>50000010104</v>
      </c>
      <c r="J2067" s="277">
        <f>1565469.805+1</f>
        <v>1565470.8049999999</v>
      </c>
      <c r="K2067" s="627"/>
      <c r="L2067" s="394"/>
      <c r="M2067" s="394" t="s">
        <v>5133</v>
      </c>
      <c r="N2067" s="277"/>
      <c r="O2067" s="478"/>
    </row>
    <row r="2068" spans="1:15" ht="100.5" customHeight="1" x14ac:dyDescent="0.35">
      <c r="A2068" s="319" t="s">
        <v>4457</v>
      </c>
      <c r="B2068" s="463" t="s">
        <v>1781</v>
      </c>
      <c r="C2068" s="442" t="s">
        <v>492</v>
      </c>
      <c r="D2068" s="442" t="s">
        <v>4</v>
      </c>
      <c r="E2068" s="442" t="s">
        <v>25</v>
      </c>
      <c r="F2068" s="442" t="s">
        <v>999</v>
      </c>
      <c r="G2068" s="442" t="s">
        <v>999</v>
      </c>
      <c r="H2068" s="442">
        <v>70912</v>
      </c>
      <c r="I2068" s="531">
        <v>50000010104</v>
      </c>
      <c r="J2068" s="277">
        <v>20160269.740000002</v>
      </c>
      <c r="K2068" s="627"/>
      <c r="L2068" s="394"/>
      <c r="M2068" s="394" t="s">
        <v>5133</v>
      </c>
      <c r="N2068" s="277">
        <v>16217415</v>
      </c>
      <c r="O2068" s="478"/>
    </row>
    <row r="2069" spans="1:15" ht="63.75" customHeight="1" x14ac:dyDescent="0.35">
      <c r="A2069" s="319" t="s">
        <v>4458</v>
      </c>
      <c r="B2069" s="463" t="s">
        <v>1782</v>
      </c>
      <c r="C2069" s="442" t="s">
        <v>492</v>
      </c>
      <c r="D2069" s="442" t="s">
        <v>4</v>
      </c>
      <c r="E2069" s="442" t="s">
        <v>25</v>
      </c>
      <c r="F2069" s="442" t="s">
        <v>999</v>
      </c>
      <c r="G2069" s="442" t="s">
        <v>999</v>
      </c>
      <c r="H2069" s="442">
        <v>70950</v>
      </c>
      <c r="I2069" s="531">
        <v>50000010104</v>
      </c>
      <c r="J2069" s="277">
        <v>2322375</v>
      </c>
      <c r="K2069" s="627"/>
      <c r="L2069" s="394"/>
      <c r="M2069" s="394" t="s">
        <v>5133</v>
      </c>
      <c r="N2069" s="277">
        <v>7431600</v>
      </c>
      <c r="O2069" s="478"/>
    </row>
    <row r="2070" spans="1:15" ht="94.5" customHeight="1" x14ac:dyDescent="0.35">
      <c r="A2070" s="319" t="s">
        <v>4459</v>
      </c>
      <c r="B2070" s="463" t="s">
        <v>1783</v>
      </c>
      <c r="C2070" s="442" t="s">
        <v>492</v>
      </c>
      <c r="D2070" s="442" t="s">
        <v>4</v>
      </c>
      <c r="E2070" s="442" t="s">
        <v>25</v>
      </c>
      <c r="F2070" s="442" t="s">
        <v>522</v>
      </c>
      <c r="G2070" s="442" t="s">
        <v>522</v>
      </c>
      <c r="H2070" s="442">
        <v>70950</v>
      </c>
      <c r="I2070" s="531">
        <v>50000010104</v>
      </c>
      <c r="J2070" s="277">
        <v>2908782.8000000007</v>
      </c>
      <c r="K2070" s="627"/>
      <c r="L2070" s="394"/>
      <c r="M2070" s="394" t="s">
        <v>5133</v>
      </c>
      <c r="N2070" s="277">
        <v>15903965</v>
      </c>
      <c r="O2070" s="478"/>
    </row>
    <row r="2071" spans="1:15" ht="83.25" customHeight="1" x14ac:dyDescent="0.35">
      <c r="A2071" s="319" t="s">
        <v>4460</v>
      </c>
      <c r="B2071" s="463" t="s">
        <v>1784</v>
      </c>
      <c r="C2071" s="442" t="s">
        <v>492</v>
      </c>
      <c r="D2071" s="442" t="s">
        <v>4</v>
      </c>
      <c r="E2071" s="442" t="s">
        <v>25</v>
      </c>
      <c r="F2071" s="442" t="s">
        <v>522</v>
      </c>
      <c r="G2071" s="442" t="s">
        <v>522</v>
      </c>
      <c r="H2071" s="442">
        <v>70950</v>
      </c>
      <c r="I2071" s="531">
        <v>50000010104</v>
      </c>
      <c r="J2071" s="277">
        <v>7511994.0099999998</v>
      </c>
      <c r="K2071" s="627"/>
      <c r="L2071" s="394"/>
      <c r="M2071" s="394" t="s">
        <v>5133</v>
      </c>
      <c r="N2071" s="277">
        <v>8012767</v>
      </c>
      <c r="O2071" s="478"/>
    </row>
    <row r="2072" spans="1:15" ht="72.75" customHeight="1" x14ac:dyDescent="0.35">
      <c r="A2072" s="319" t="s">
        <v>4461</v>
      </c>
      <c r="B2072" s="463" t="s">
        <v>1785</v>
      </c>
      <c r="C2072" s="442" t="s">
        <v>492</v>
      </c>
      <c r="D2072" s="442" t="s">
        <v>4</v>
      </c>
      <c r="E2072" s="442" t="s">
        <v>25</v>
      </c>
      <c r="F2072" s="442" t="s">
        <v>522</v>
      </c>
      <c r="G2072" s="442" t="s">
        <v>522</v>
      </c>
      <c r="H2072" s="442">
        <v>70912</v>
      </c>
      <c r="I2072" s="531">
        <v>50000010104</v>
      </c>
      <c r="J2072" s="277">
        <v>1371992</v>
      </c>
      <c r="K2072" s="627"/>
      <c r="L2072" s="394"/>
      <c r="M2072" s="394" t="s">
        <v>5133</v>
      </c>
      <c r="N2072" s="277">
        <v>21951866</v>
      </c>
      <c r="O2072" s="478"/>
    </row>
    <row r="2073" spans="1:15" ht="61.5" customHeight="1" x14ac:dyDescent="0.35">
      <c r="A2073" s="319" t="s">
        <v>4462</v>
      </c>
      <c r="B2073" s="463" t="s">
        <v>1786</v>
      </c>
      <c r="C2073" s="442" t="s">
        <v>489</v>
      </c>
      <c r="D2073" s="442" t="s">
        <v>4</v>
      </c>
      <c r="E2073" s="442" t="s">
        <v>25</v>
      </c>
      <c r="F2073" s="442" t="s">
        <v>522</v>
      </c>
      <c r="G2073" s="442" t="s">
        <v>522</v>
      </c>
      <c r="H2073" s="442">
        <v>70950</v>
      </c>
      <c r="I2073" s="531">
        <v>50000010104</v>
      </c>
      <c r="J2073" s="277">
        <v>26407123.184999999</v>
      </c>
      <c r="K2073" s="627"/>
      <c r="L2073" s="394"/>
      <c r="M2073" s="394" t="s">
        <v>5133</v>
      </c>
      <c r="N2073" s="277">
        <v>21125699</v>
      </c>
      <c r="O2073" s="478"/>
    </row>
    <row r="2074" spans="1:15" ht="221.25" customHeight="1" x14ac:dyDescent="0.35">
      <c r="A2074" s="319" t="s">
        <v>4463</v>
      </c>
      <c r="B2074" s="463" t="s">
        <v>1787</v>
      </c>
      <c r="C2074" s="442" t="s">
        <v>190</v>
      </c>
      <c r="D2074" s="442" t="s">
        <v>4</v>
      </c>
      <c r="E2074" s="442" t="s">
        <v>25</v>
      </c>
      <c r="F2074" s="442" t="s">
        <v>522</v>
      </c>
      <c r="G2074" s="442" t="s">
        <v>522</v>
      </c>
      <c r="H2074" s="442">
        <v>70912</v>
      </c>
      <c r="I2074" s="531">
        <v>50000010104</v>
      </c>
      <c r="J2074" s="277">
        <v>37276875</v>
      </c>
      <c r="K2074" s="627"/>
      <c r="L2074" s="394"/>
      <c r="M2074" s="394" t="s">
        <v>5133</v>
      </c>
      <c r="N2074" s="277"/>
      <c r="O2074" s="478"/>
    </row>
    <row r="2075" spans="1:15" ht="78" customHeight="1" x14ac:dyDescent="0.35">
      <c r="A2075" s="319" t="s">
        <v>4464</v>
      </c>
      <c r="B2075" s="463" t="s">
        <v>1788</v>
      </c>
      <c r="C2075" s="442" t="s">
        <v>190</v>
      </c>
      <c r="D2075" s="442" t="s">
        <v>4</v>
      </c>
      <c r="E2075" s="442" t="s">
        <v>25</v>
      </c>
      <c r="F2075" s="442" t="s">
        <v>522</v>
      </c>
      <c r="G2075" s="442" t="s">
        <v>522</v>
      </c>
      <c r="H2075" s="442">
        <v>70950</v>
      </c>
      <c r="I2075" s="531">
        <v>50000010104</v>
      </c>
      <c r="J2075" s="277">
        <v>18212568.920000002</v>
      </c>
      <c r="K2075" s="627"/>
      <c r="L2075" s="394"/>
      <c r="M2075" s="394" t="s">
        <v>5133</v>
      </c>
      <c r="N2075" s="277"/>
      <c r="O2075" s="478"/>
    </row>
    <row r="2076" spans="1:15" ht="75.75" customHeight="1" x14ac:dyDescent="0.35">
      <c r="A2076" s="319" t="s">
        <v>4465</v>
      </c>
      <c r="B2076" s="463" t="s">
        <v>1789</v>
      </c>
      <c r="C2076" s="442" t="s">
        <v>816</v>
      </c>
      <c r="D2076" s="442" t="s">
        <v>4</v>
      </c>
      <c r="E2076" s="442" t="s">
        <v>25</v>
      </c>
      <c r="F2076" s="442" t="s">
        <v>999</v>
      </c>
      <c r="G2076" s="442" t="s">
        <v>999</v>
      </c>
      <c r="H2076" s="442">
        <v>70950</v>
      </c>
      <c r="I2076" s="531">
        <v>50000010104</v>
      </c>
      <c r="J2076" s="277">
        <v>12663240.645</v>
      </c>
      <c r="K2076" s="627"/>
      <c r="L2076" s="394"/>
      <c r="M2076" s="394" t="s">
        <v>5133</v>
      </c>
      <c r="N2076" s="277">
        <v>10130593</v>
      </c>
      <c r="O2076" s="478"/>
    </row>
    <row r="2077" spans="1:15" ht="64.5" customHeight="1" x14ac:dyDescent="0.35">
      <c r="A2077" s="319" t="s">
        <v>4466</v>
      </c>
      <c r="B2077" s="463" t="s">
        <v>1790</v>
      </c>
      <c r="C2077" s="442" t="s">
        <v>470</v>
      </c>
      <c r="D2077" s="442" t="s">
        <v>4</v>
      </c>
      <c r="E2077" s="442" t="s">
        <v>25</v>
      </c>
      <c r="F2077" s="442" t="s">
        <v>522</v>
      </c>
      <c r="G2077" s="442" t="s">
        <v>522</v>
      </c>
      <c r="H2077" s="442">
        <v>70950</v>
      </c>
      <c r="I2077" s="531">
        <v>50000010104</v>
      </c>
      <c r="J2077" s="277">
        <v>2973304.84</v>
      </c>
      <c r="K2077" s="627"/>
      <c r="L2077" s="394"/>
      <c r="M2077" s="394" t="s">
        <v>5133</v>
      </c>
      <c r="N2077" s="277">
        <v>4911192</v>
      </c>
      <c r="O2077" s="478"/>
    </row>
    <row r="2078" spans="1:15" ht="83.25" customHeight="1" x14ac:dyDescent="0.35">
      <c r="A2078" s="319" t="s">
        <v>4467</v>
      </c>
      <c r="B2078" s="463" t="s">
        <v>1791</v>
      </c>
      <c r="C2078" s="442" t="s">
        <v>470</v>
      </c>
      <c r="D2078" s="442" t="s">
        <v>4</v>
      </c>
      <c r="E2078" s="442" t="s">
        <v>25</v>
      </c>
      <c r="F2078" s="442" t="s">
        <v>62</v>
      </c>
      <c r="G2078" s="442" t="s">
        <v>62</v>
      </c>
      <c r="H2078" s="442">
        <v>70950</v>
      </c>
      <c r="I2078" s="531">
        <v>220000010106</v>
      </c>
      <c r="J2078" s="277">
        <v>10183372.810000001</v>
      </c>
      <c r="K2078" s="627"/>
      <c r="L2078" s="394"/>
      <c r="M2078" s="394" t="s">
        <v>5133</v>
      </c>
      <c r="N2078" s="277">
        <v>30618110</v>
      </c>
      <c r="O2078" s="478"/>
    </row>
    <row r="2079" spans="1:15" ht="223.5" customHeight="1" x14ac:dyDescent="0.35">
      <c r="A2079" s="319" t="s">
        <v>4468</v>
      </c>
      <c r="B2079" s="463" t="s">
        <v>1792</v>
      </c>
      <c r="C2079" s="442" t="s">
        <v>470</v>
      </c>
      <c r="D2079" s="442" t="s">
        <v>4</v>
      </c>
      <c r="E2079" s="442" t="s">
        <v>25</v>
      </c>
      <c r="F2079" s="442" t="s">
        <v>999</v>
      </c>
      <c r="G2079" s="442" t="s">
        <v>999</v>
      </c>
      <c r="H2079" s="442">
        <v>70950</v>
      </c>
      <c r="I2079" s="531">
        <v>50000010104</v>
      </c>
      <c r="J2079" s="277">
        <v>22491572.050000001</v>
      </c>
      <c r="K2079" s="627"/>
      <c r="L2079" s="394"/>
      <c r="M2079" s="394" t="s">
        <v>5133</v>
      </c>
      <c r="N2079" s="277">
        <v>39765012</v>
      </c>
      <c r="O2079" s="478"/>
    </row>
    <row r="2080" spans="1:15" ht="126" customHeight="1" x14ac:dyDescent="0.35">
      <c r="A2080" s="319" t="s">
        <v>4469</v>
      </c>
      <c r="B2080" s="463" t="s">
        <v>1793</v>
      </c>
      <c r="C2080" s="442" t="s">
        <v>470</v>
      </c>
      <c r="D2080" s="442" t="s">
        <v>4</v>
      </c>
      <c r="E2080" s="442" t="s">
        <v>25</v>
      </c>
      <c r="F2080" s="442" t="s">
        <v>999</v>
      </c>
      <c r="G2080" s="442" t="s">
        <v>999</v>
      </c>
      <c r="H2080" s="442">
        <v>70950</v>
      </c>
      <c r="I2080" s="531">
        <v>50000010104</v>
      </c>
      <c r="J2080" s="277">
        <v>5927621.0500000007</v>
      </c>
      <c r="K2080" s="627"/>
      <c r="L2080" s="394"/>
      <c r="M2080" s="394" t="s">
        <v>5133</v>
      </c>
      <c r="N2080" s="277"/>
      <c r="O2080" s="478"/>
    </row>
    <row r="2081" spans="1:15" ht="152.25" customHeight="1" x14ac:dyDescent="0.35">
      <c r="A2081" s="319" t="s">
        <v>4470</v>
      </c>
      <c r="B2081" s="463" t="s">
        <v>1795</v>
      </c>
      <c r="C2081" s="442" t="s">
        <v>799</v>
      </c>
      <c r="D2081" s="442" t="s">
        <v>4</v>
      </c>
      <c r="E2081" s="442" t="s">
        <v>25</v>
      </c>
      <c r="F2081" s="442" t="s">
        <v>999</v>
      </c>
      <c r="G2081" s="442" t="s">
        <v>999</v>
      </c>
      <c r="H2081" s="442">
        <v>70950</v>
      </c>
      <c r="I2081" s="531">
        <v>50000010104</v>
      </c>
      <c r="J2081" s="277">
        <v>37425689.625</v>
      </c>
      <c r="K2081" s="627"/>
      <c r="L2081" s="394"/>
      <c r="M2081" s="394" t="s">
        <v>5133</v>
      </c>
      <c r="N2081" s="277"/>
      <c r="O2081" s="478"/>
    </row>
    <row r="2082" spans="1:15" ht="68.25" customHeight="1" x14ac:dyDescent="0.35">
      <c r="A2082" s="319" t="s">
        <v>4471</v>
      </c>
      <c r="B2082" s="463" t="s">
        <v>1796</v>
      </c>
      <c r="C2082" s="442" t="s">
        <v>470</v>
      </c>
      <c r="D2082" s="442" t="s">
        <v>4</v>
      </c>
      <c r="E2082" s="442" t="s">
        <v>25</v>
      </c>
      <c r="F2082" s="442" t="s">
        <v>522</v>
      </c>
      <c r="G2082" s="442" t="s">
        <v>522</v>
      </c>
      <c r="H2082" s="442">
        <v>70950</v>
      </c>
      <c r="I2082" s="531">
        <v>50000010104</v>
      </c>
      <c r="J2082" s="277">
        <v>23187584</v>
      </c>
      <c r="K2082" s="627"/>
      <c r="L2082" s="394"/>
      <c r="M2082" s="394" t="s">
        <v>5133</v>
      </c>
      <c r="N2082" s="277"/>
      <c r="O2082" s="478"/>
    </row>
    <row r="2083" spans="1:15" ht="59.25" customHeight="1" x14ac:dyDescent="0.35">
      <c r="A2083" s="319" t="s">
        <v>4472</v>
      </c>
      <c r="B2083" s="463" t="s">
        <v>1797</v>
      </c>
      <c r="C2083" s="442" t="s">
        <v>470</v>
      </c>
      <c r="D2083" s="442" t="s">
        <v>4</v>
      </c>
      <c r="E2083" s="442" t="s">
        <v>25</v>
      </c>
      <c r="F2083" s="442" t="s">
        <v>999</v>
      </c>
      <c r="G2083" s="442" t="s">
        <v>999</v>
      </c>
      <c r="H2083" s="442">
        <v>70950</v>
      </c>
      <c r="I2083" s="531">
        <v>50000010104</v>
      </c>
      <c r="J2083" s="277">
        <v>19067568.545000002</v>
      </c>
      <c r="K2083" s="627"/>
      <c r="L2083" s="394"/>
      <c r="M2083" s="394" t="s">
        <v>5133</v>
      </c>
      <c r="N2083" s="277"/>
      <c r="O2083" s="478"/>
    </row>
    <row r="2084" spans="1:15" ht="61.5" customHeight="1" x14ac:dyDescent="0.35">
      <c r="A2084" s="319" t="s">
        <v>4473</v>
      </c>
      <c r="B2084" s="463" t="s">
        <v>1799</v>
      </c>
      <c r="C2084" s="442" t="s">
        <v>470</v>
      </c>
      <c r="D2084" s="442" t="s">
        <v>4</v>
      </c>
      <c r="E2084" s="442" t="s">
        <v>25</v>
      </c>
      <c r="F2084" s="442" t="s">
        <v>522</v>
      </c>
      <c r="G2084" s="442" t="s">
        <v>522</v>
      </c>
      <c r="H2084" s="442">
        <v>70950</v>
      </c>
      <c r="I2084" s="531">
        <v>50000010104</v>
      </c>
      <c r="J2084" s="277">
        <v>7875677.8499999996</v>
      </c>
      <c r="K2084" s="627"/>
      <c r="L2084" s="394"/>
      <c r="M2084" s="394" t="s">
        <v>5133</v>
      </c>
      <c r="N2084" s="277"/>
      <c r="O2084" s="478"/>
    </row>
    <row r="2085" spans="1:15" ht="60.75" customHeight="1" x14ac:dyDescent="0.35">
      <c r="A2085" s="319" t="s">
        <v>4474</v>
      </c>
      <c r="B2085" s="463" t="s">
        <v>1800</v>
      </c>
      <c r="C2085" s="442" t="s">
        <v>817</v>
      </c>
      <c r="D2085" s="442" t="s">
        <v>4</v>
      </c>
      <c r="E2085" s="442" t="s">
        <v>25</v>
      </c>
      <c r="F2085" s="442" t="s">
        <v>522</v>
      </c>
      <c r="G2085" s="442" t="s">
        <v>522</v>
      </c>
      <c r="H2085" s="442">
        <v>70950</v>
      </c>
      <c r="I2085" s="531">
        <v>50000010104</v>
      </c>
      <c r="J2085" s="277">
        <v>5836809.1349999998</v>
      </c>
      <c r="K2085" s="627"/>
      <c r="L2085" s="394"/>
      <c r="M2085" s="394" t="s">
        <v>5133</v>
      </c>
      <c r="N2085" s="277"/>
      <c r="O2085" s="478"/>
    </row>
    <row r="2086" spans="1:15" ht="59.25" customHeight="1" x14ac:dyDescent="0.35">
      <c r="A2086" s="319" t="s">
        <v>4475</v>
      </c>
      <c r="B2086" s="463" t="s">
        <v>1801</v>
      </c>
      <c r="C2086" s="442" t="s">
        <v>817</v>
      </c>
      <c r="D2086" s="442" t="s">
        <v>4</v>
      </c>
      <c r="E2086" s="442" t="s">
        <v>25</v>
      </c>
      <c r="F2086" s="442" t="s">
        <v>62</v>
      </c>
      <c r="G2086" s="442" t="s">
        <v>62</v>
      </c>
      <c r="H2086" s="442">
        <v>70950</v>
      </c>
      <c r="I2086" s="531">
        <v>220000010106</v>
      </c>
      <c r="J2086" s="277">
        <v>19067568.545000002</v>
      </c>
      <c r="K2086" s="627"/>
      <c r="L2086" s="394"/>
      <c r="M2086" s="394" t="s">
        <v>5133</v>
      </c>
      <c r="N2086" s="277"/>
      <c r="O2086" s="478"/>
    </row>
    <row r="2087" spans="1:15" ht="60.75" customHeight="1" x14ac:dyDescent="0.35">
      <c r="A2087" s="319" t="s">
        <v>4476</v>
      </c>
      <c r="B2087" s="463" t="s">
        <v>1802</v>
      </c>
      <c r="C2087" s="442" t="s">
        <v>817</v>
      </c>
      <c r="D2087" s="442" t="s">
        <v>4</v>
      </c>
      <c r="E2087" s="442" t="s">
        <v>25</v>
      </c>
      <c r="F2087" s="442" t="s">
        <v>522</v>
      </c>
      <c r="G2087" s="442" t="s">
        <v>522</v>
      </c>
      <c r="H2087" s="442">
        <v>70950</v>
      </c>
      <c r="I2087" s="531">
        <v>50000010104</v>
      </c>
      <c r="J2087" s="277">
        <v>11994367.175000001</v>
      </c>
      <c r="K2087" s="627"/>
      <c r="L2087" s="394"/>
      <c r="M2087" s="394" t="s">
        <v>5133</v>
      </c>
      <c r="N2087" s="277"/>
      <c r="O2087" s="478"/>
    </row>
    <row r="2088" spans="1:15" ht="60" customHeight="1" x14ac:dyDescent="0.35">
      <c r="A2088" s="319" t="s">
        <v>4477</v>
      </c>
      <c r="B2088" s="463" t="s">
        <v>1803</v>
      </c>
      <c r="C2088" s="442" t="s">
        <v>1794</v>
      </c>
      <c r="D2088" s="442" t="s">
        <v>4</v>
      </c>
      <c r="E2088" s="442" t="s">
        <v>25</v>
      </c>
      <c r="F2088" s="442" t="s">
        <v>999</v>
      </c>
      <c r="G2088" s="442" t="s">
        <v>999</v>
      </c>
      <c r="H2088" s="442">
        <v>70950</v>
      </c>
      <c r="I2088" s="531">
        <v>50000010104</v>
      </c>
      <c r="J2088" s="277">
        <v>20020948.125</v>
      </c>
      <c r="K2088" s="627"/>
      <c r="L2088" s="394"/>
      <c r="M2088" s="394" t="s">
        <v>5133</v>
      </c>
      <c r="N2088" s="277">
        <v>21355678</v>
      </c>
      <c r="O2088" s="478"/>
    </row>
    <row r="2089" spans="1:15" ht="66" customHeight="1" x14ac:dyDescent="0.35">
      <c r="A2089" s="319" t="s">
        <v>4478</v>
      </c>
      <c r="B2089" s="463" t="s">
        <v>1804</v>
      </c>
      <c r="C2089" s="442" t="s">
        <v>331</v>
      </c>
      <c r="D2089" s="442" t="s">
        <v>4</v>
      </c>
      <c r="E2089" s="442" t="s">
        <v>25</v>
      </c>
      <c r="F2089" s="442" t="s">
        <v>522</v>
      </c>
      <c r="G2089" s="442" t="s">
        <v>522</v>
      </c>
      <c r="H2089" s="442">
        <v>70950</v>
      </c>
      <c r="I2089" s="531">
        <v>50000010104</v>
      </c>
      <c r="J2089" s="277">
        <v>2692968.75</v>
      </c>
      <c r="K2089" s="627"/>
      <c r="L2089" s="394"/>
      <c r="M2089" s="394" t="s">
        <v>5133</v>
      </c>
      <c r="N2089" s="277">
        <v>2872500</v>
      </c>
      <c r="O2089" s="478"/>
    </row>
    <row r="2090" spans="1:15" ht="66.75" customHeight="1" x14ac:dyDescent="0.35">
      <c r="A2090" s="319" t="s">
        <v>4479</v>
      </c>
      <c r="B2090" s="463" t="s">
        <v>1805</v>
      </c>
      <c r="C2090" s="442" t="s">
        <v>195</v>
      </c>
      <c r="D2090" s="442" t="s">
        <v>4</v>
      </c>
      <c r="E2090" s="442" t="s">
        <v>25</v>
      </c>
      <c r="F2090" s="442" t="s">
        <v>522</v>
      </c>
      <c r="G2090" s="442" t="s">
        <v>522</v>
      </c>
      <c r="H2090" s="442">
        <v>70950</v>
      </c>
      <c r="I2090" s="531">
        <v>50000010104</v>
      </c>
      <c r="J2090" s="277">
        <v>4277343.75</v>
      </c>
      <c r="K2090" s="627"/>
      <c r="L2090" s="394"/>
      <c r="M2090" s="394" t="s">
        <v>5133</v>
      </c>
      <c r="N2090" s="277">
        <v>4562500</v>
      </c>
      <c r="O2090" s="478"/>
    </row>
    <row r="2091" spans="1:15" ht="105" customHeight="1" x14ac:dyDescent="0.35">
      <c r="A2091" s="319" t="s">
        <v>4480</v>
      </c>
      <c r="B2091" s="463" t="s">
        <v>1806</v>
      </c>
      <c r="C2091" s="442" t="s">
        <v>1798</v>
      </c>
      <c r="D2091" s="442" t="s">
        <v>4</v>
      </c>
      <c r="E2091" s="442" t="s">
        <v>25</v>
      </c>
      <c r="F2091" s="442" t="s">
        <v>522</v>
      </c>
      <c r="G2091" s="442" t="s">
        <v>522</v>
      </c>
      <c r="H2091" s="442">
        <v>70950</v>
      </c>
      <c r="I2091" s="531">
        <v>50000010104</v>
      </c>
      <c r="J2091" s="277">
        <v>2778863.0649999976</v>
      </c>
      <c r="K2091" s="627"/>
      <c r="L2091" s="394"/>
      <c r="M2091" s="394" t="s">
        <v>5133</v>
      </c>
      <c r="N2091" s="277"/>
      <c r="O2091" s="478"/>
    </row>
    <row r="2092" spans="1:15" ht="108.75" customHeight="1" x14ac:dyDescent="0.35">
      <c r="A2092" s="319" t="s">
        <v>4481</v>
      </c>
      <c r="B2092" s="463" t="s">
        <v>1807</v>
      </c>
      <c r="C2092" s="442" t="s">
        <v>195</v>
      </c>
      <c r="D2092" s="442" t="s">
        <v>4</v>
      </c>
      <c r="E2092" s="442" t="s">
        <v>25</v>
      </c>
      <c r="F2092" s="442" t="s">
        <v>522</v>
      </c>
      <c r="G2092" s="442" t="s">
        <v>522</v>
      </c>
      <c r="H2092" s="442">
        <v>70912</v>
      </c>
      <c r="I2092" s="531">
        <v>50000010104</v>
      </c>
      <c r="J2092" s="277">
        <v>18400125</v>
      </c>
      <c r="K2092" s="627"/>
      <c r="L2092" s="394"/>
      <c r="M2092" s="394" t="s">
        <v>5133</v>
      </c>
      <c r="N2092" s="277"/>
      <c r="O2092" s="478"/>
    </row>
    <row r="2093" spans="1:15" ht="105" customHeight="1" x14ac:dyDescent="0.35">
      <c r="A2093" s="319" t="s">
        <v>4482</v>
      </c>
      <c r="B2093" s="463" t="s">
        <v>1808</v>
      </c>
      <c r="C2093" s="442" t="s">
        <v>1798</v>
      </c>
      <c r="D2093" s="442" t="s">
        <v>4</v>
      </c>
      <c r="E2093" s="442" t="s">
        <v>25</v>
      </c>
      <c r="F2093" s="442" t="s">
        <v>522</v>
      </c>
      <c r="G2093" s="442" t="s">
        <v>522</v>
      </c>
      <c r="H2093" s="442">
        <v>70950</v>
      </c>
      <c r="I2093" s="531">
        <v>50000010104</v>
      </c>
      <c r="J2093" s="277">
        <v>1342398.0300000012</v>
      </c>
      <c r="K2093" s="627"/>
      <c r="L2093" s="394"/>
      <c r="M2093" s="394" t="s">
        <v>5133</v>
      </c>
      <c r="N2093" s="277">
        <v>15364055</v>
      </c>
      <c r="O2093" s="478"/>
    </row>
    <row r="2094" spans="1:15" ht="66.75" customHeight="1" x14ac:dyDescent="0.35">
      <c r="A2094" s="319" t="s">
        <v>4483</v>
      </c>
      <c r="B2094" s="463" t="s">
        <v>1809</v>
      </c>
      <c r="C2094" s="442" t="s">
        <v>1798</v>
      </c>
      <c r="D2094" s="442" t="s">
        <v>4</v>
      </c>
      <c r="E2094" s="442" t="s">
        <v>25</v>
      </c>
      <c r="F2094" s="442" t="s">
        <v>522</v>
      </c>
      <c r="G2094" s="442" t="s">
        <v>522</v>
      </c>
      <c r="H2094" s="442" t="s">
        <v>47</v>
      </c>
      <c r="I2094" s="531">
        <v>50000010104</v>
      </c>
      <c r="J2094" s="277">
        <v>7597944.6449999996</v>
      </c>
      <c r="K2094" s="627"/>
      <c r="L2094" s="394"/>
      <c r="M2094" s="394" t="s">
        <v>5133</v>
      </c>
      <c r="N2094" s="277">
        <v>10130593</v>
      </c>
      <c r="O2094" s="478"/>
    </row>
    <row r="2095" spans="1:15" ht="78" customHeight="1" x14ac:dyDescent="0.35">
      <c r="A2095" s="319" t="s">
        <v>4484</v>
      </c>
      <c r="B2095" s="463" t="s">
        <v>1810</v>
      </c>
      <c r="C2095" s="442" t="s">
        <v>1798</v>
      </c>
      <c r="D2095" s="442" t="s">
        <v>4</v>
      </c>
      <c r="E2095" s="442" t="s">
        <v>25</v>
      </c>
      <c r="F2095" s="442" t="s">
        <v>522</v>
      </c>
      <c r="G2095" s="442" t="s">
        <v>522</v>
      </c>
      <c r="H2095" s="442">
        <v>70950</v>
      </c>
      <c r="I2095" s="531">
        <v>50000010104</v>
      </c>
      <c r="J2095" s="277">
        <v>5982429.035000002</v>
      </c>
      <c r="K2095" s="627"/>
      <c r="L2095" s="394"/>
      <c r="M2095" s="394" t="s">
        <v>5133</v>
      </c>
      <c r="N2095" s="277">
        <v>15250055</v>
      </c>
      <c r="O2095" s="478"/>
    </row>
    <row r="2096" spans="1:15" ht="229.5" customHeight="1" x14ac:dyDescent="0.35">
      <c r="A2096" s="319" t="s">
        <v>4485</v>
      </c>
      <c r="B2096" s="463" t="s">
        <v>1811</v>
      </c>
      <c r="C2096" s="442" t="s">
        <v>818</v>
      </c>
      <c r="D2096" s="442" t="s">
        <v>4</v>
      </c>
      <c r="E2096" s="442" t="s">
        <v>25</v>
      </c>
      <c r="F2096" s="442" t="s">
        <v>522</v>
      </c>
      <c r="G2096" s="442" t="s">
        <v>522</v>
      </c>
      <c r="H2096" s="442">
        <v>70950</v>
      </c>
      <c r="I2096" s="531">
        <v>50000010104</v>
      </c>
      <c r="J2096" s="277">
        <v>29976282.899999999</v>
      </c>
      <c r="K2096" s="627"/>
      <c r="L2096" s="394"/>
      <c r="M2096" s="394" t="s">
        <v>5133</v>
      </c>
      <c r="N2096" s="277"/>
      <c r="O2096" s="478"/>
    </row>
    <row r="2097" spans="1:15" ht="204" customHeight="1" x14ac:dyDescent="0.35">
      <c r="A2097" s="319" t="s">
        <v>4486</v>
      </c>
      <c r="B2097" s="463" t="s">
        <v>1812</v>
      </c>
      <c r="C2097" s="442" t="s">
        <v>818</v>
      </c>
      <c r="D2097" s="442" t="s">
        <v>4</v>
      </c>
      <c r="E2097" s="442" t="s">
        <v>25</v>
      </c>
      <c r="F2097" s="442" t="s">
        <v>522</v>
      </c>
      <c r="G2097" s="442" t="s">
        <v>522</v>
      </c>
      <c r="H2097" s="442">
        <v>70950</v>
      </c>
      <c r="I2097" s="531">
        <v>50000010104</v>
      </c>
      <c r="J2097" s="277">
        <v>5428462.3149999976</v>
      </c>
      <c r="K2097" s="627"/>
      <c r="L2097" s="394"/>
      <c r="M2097" s="394" t="s">
        <v>5133</v>
      </c>
      <c r="N2097" s="277"/>
      <c r="O2097" s="478"/>
    </row>
    <row r="2098" spans="1:15" ht="84.75" customHeight="1" x14ac:dyDescent="0.35">
      <c r="A2098" s="319" t="s">
        <v>4487</v>
      </c>
      <c r="B2098" s="463" t="s">
        <v>1813</v>
      </c>
      <c r="C2098" s="442" t="s">
        <v>818</v>
      </c>
      <c r="D2098" s="442" t="s">
        <v>4</v>
      </c>
      <c r="E2098" s="442" t="s">
        <v>25</v>
      </c>
      <c r="F2098" s="442" t="s">
        <v>62</v>
      </c>
      <c r="G2098" s="442" t="s">
        <v>62</v>
      </c>
      <c r="H2098" s="442">
        <v>70912</v>
      </c>
      <c r="I2098" s="531">
        <v>220000010106</v>
      </c>
      <c r="J2098" s="277">
        <v>14897337.850000001</v>
      </c>
      <c r="K2098" s="627"/>
      <c r="L2098" s="394"/>
      <c r="M2098" s="394" t="s">
        <v>5133</v>
      </c>
      <c r="N2098" s="277"/>
      <c r="O2098" s="478"/>
    </row>
    <row r="2099" spans="1:15" ht="63.75" customHeight="1" x14ac:dyDescent="0.35">
      <c r="A2099" s="319" t="s">
        <v>4488</v>
      </c>
      <c r="B2099" s="463" t="s">
        <v>1814</v>
      </c>
      <c r="C2099" s="442" t="s">
        <v>818</v>
      </c>
      <c r="D2099" s="442" t="s">
        <v>4</v>
      </c>
      <c r="E2099" s="442" t="s">
        <v>25</v>
      </c>
      <c r="F2099" s="442" t="s">
        <v>62</v>
      </c>
      <c r="G2099" s="442" t="s">
        <v>62</v>
      </c>
      <c r="H2099" s="442" t="s">
        <v>47</v>
      </c>
      <c r="I2099" s="531">
        <v>220000010106</v>
      </c>
      <c r="J2099" s="277">
        <v>1560900</v>
      </c>
      <c r="K2099" s="627"/>
      <c r="L2099" s="394"/>
      <c r="M2099" s="394" t="s">
        <v>5133</v>
      </c>
      <c r="N2099" s="277"/>
      <c r="O2099" s="478"/>
    </row>
    <row r="2100" spans="1:15" ht="63.75" customHeight="1" x14ac:dyDescent="0.35">
      <c r="A2100" s="319" t="s">
        <v>4489</v>
      </c>
      <c r="B2100" s="463" t="s">
        <v>1815</v>
      </c>
      <c r="C2100" s="442" t="s">
        <v>471</v>
      </c>
      <c r="D2100" s="442" t="s">
        <v>4</v>
      </c>
      <c r="E2100" s="442" t="s">
        <v>25</v>
      </c>
      <c r="F2100" s="442" t="s">
        <v>522</v>
      </c>
      <c r="G2100" s="442" t="s">
        <v>522</v>
      </c>
      <c r="H2100" s="442">
        <v>70912</v>
      </c>
      <c r="I2100" s="531">
        <v>50000010104</v>
      </c>
      <c r="J2100" s="277">
        <v>14388464.549999999</v>
      </c>
      <c r="K2100" s="627"/>
      <c r="L2100" s="394"/>
      <c r="M2100" s="394" t="s">
        <v>5133</v>
      </c>
      <c r="N2100" s="277">
        <v>15347696</v>
      </c>
      <c r="O2100" s="478"/>
    </row>
    <row r="2101" spans="1:15" ht="123.75" customHeight="1" x14ac:dyDescent="0.35">
      <c r="A2101" s="319" t="s">
        <v>4490</v>
      </c>
      <c r="B2101" s="463" t="s">
        <v>3461</v>
      </c>
      <c r="C2101" s="442" t="s">
        <v>471</v>
      </c>
      <c r="D2101" s="442" t="s">
        <v>4</v>
      </c>
      <c r="E2101" s="442" t="s">
        <v>25</v>
      </c>
      <c r="F2101" s="442" t="s">
        <v>999</v>
      </c>
      <c r="G2101" s="442" t="s">
        <v>999</v>
      </c>
      <c r="H2101" s="442">
        <v>70950</v>
      </c>
      <c r="I2101" s="531">
        <v>50000010104</v>
      </c>
      <c r="J2101" s="277">
        <v>41415258.350000001</v>
      </c>
      <c r="K2101" s="627"/>
      <c r="L2101" s="394"/>
      <c r="M2101" s="394" t="s">
        <v>5133</v>
      </c>
      <c r="N2101" s="277">
        <v>44252304</v>
      </c>
      <c r="O2101" s="478"/>
    </row>
    <row r="2102" spans="1:15" ht="59.25" customHeight="1" x14ac:dyDescent="0.35">
      <c r="A2102" s="319" t="s">
        <v>4491</v>
      </c>
      <c r="B2102" s="463" t="s">
        <v>1816</v>
      </c>
      <c r="C2102" s="442" t="s">
        <v>409</v>
      </c>
      <c r="D2102" s="442" t="s">
        <v>4</v>
      </c>
      <c r="E2102" s="442" t="s">
        <v>25</v>
      </c>
      <c r="F2102" s="442" t="s">
        <v>522</v>
      </c>
      <c r="G2102" s="442" t="s">
        <v>522</v>
      </c>
      <c r="H2102" s="442">
        <v>70950</v>
      </c>
      <c r="I2102" s="531">
        <v>50000010104</v>
      </c>
      <c r="J2102" s="277">
        <v>19438421.719999999</v>
      </c>
      <c r="K2102" s="627"/>
      <c r="L2102" s="394"/>
      <c r="M2102" s="394" t="s">
        <v>5133</v>
      </c>
      <c r="N2102" s="277">
        <v>20734317</v>
      </c>
      <c r="O2102" s="478"/>
    </row>
    <row r="2103" spans="1:15" ht="67.5" customHeight="1" x14ac:dyDescent="0.35">
      <c r="A2103" s="319" t="s">
        <v>4492</v>
      </c>
      <c r="B2103" s="463" t="s">
        <v>1817</v>
      </c>
      <c r="C2103" s="442" t="s">
        <v>409</v>
      </c>
      <c r="D2103" s="442" t="s">
        <v>4</v>
      </c>
      <c r="E2103" s="442" t="s">
        <v>25</v>
      </c>
      <c r="F2103" s="442" t="s">
        <v>522</v>
      </c>
      <c r="G2103" s="442" t="s">
        <v>522</v>
      </c>
      <c r="H2103" s="442">
        <v>70912</v>
      </c>
      <c r="I2103" s="531">
        <v>50000010104</v>
      </c>
      <c r="J2103" s="277">
        <v>18750000</v>
      </c>
      <c r="K2103" s="627"/>
      <c r="L2103" s="394"/>
      <c r="M2103" s="394" t="s">
        <v>5133</v>
      </c>
      <c r="N2103" s="277">
        <v>20000000</v>
      </c>
      <c r="O2103" s="478"/>
    </row>
    <row r="2104" spans="1:15" ht="61.5" customHeight="1" x14ac:dyDescent="0.35">
      <c r="A2104" s="319" t="s">
        <v>4493</v>
      </c>
      <c r="B2104" s="463" t="s">
        <v>1818</v>
      </c>
      <c r="C2104" s="442" t="s">
        <v>409</v>
      </c>
      <c r="D2104" s="442" t="s">
        <v>4</v>
      </c>
      <c r="E2104" s="442" t="s">
        <v>25</v>
      </c>
      <c r="F2104" s="442" t="s">
        <v>522</v>
      </c>
      <c r="G2104" s="442" t="s">
        <v>522</v>
      </c>
      <c r="H2104" s="442">
        <v>70950</v>
      </c>
      <c r="I2104" s="531">
        <v>50000010104</v>
      </c>
      <c r="J2104" s="277">
        <v>5400000</v>
      </c>
      <c r="K2104" s="627"/>
      <c r="L2104" s="394"/>
      <c r="M2104" s="394" t="s">
        <v>5133</v>
      </c>
      <c r="N2104" s="277">
        <v>5760000</v>
      </c>
      <c r="O2104" s="478"/>
    </row>
    <row r="2105" spans="1:15" ht="125.25" customHeight="1" x14ac:dyDescent="0.35">
      <c r="A2105" s="319" t="s">
        <v>4494</v>
      </c>
      <c r="B2105" s="463" t="s">
        <v>3462</v>
      </c>
      <c r="C2105" s="442" t="s">
        <v>188</v>
      </c>
      <c r="D2105" s="442" t="s">
        <v>4</v>
      </c>
      <c r="E2105" s="442" t="s">
        <v>25</v>
      </c>
      <c r="F2105" s="442" t="s">
        <v>522</v>
      </c>
      <c r="G2105" s="442" t="s">
        <v>522</v>
      </c>
      <c r="H2105" s="442">
        <v>70950</v>
      </c>
      <c r="I2105" s="531">
        <v>50000010104</v>
      </c>
      <c r="J2105" s="277">
        <v>21349888.149999999</v>
      </c>
      <c r="K2105" s="627"/>
      <c r="L2105" s="394"/>
      <c r="M2105" s="394" t="s">
        <v>5133</v>
      </c>
      <c r="N2105" s="277"/>
      <c r="O2105" s="478"/>
    </row>
    <row r="2106" spans="1:15" ht="85.5" customHeight="1" x14ac:dyDescent="0.35">
      <c r="A2106" s="319" t="s">
        <v>4495</v>
      </c>
      <c r="B2106" s="463" t="s">
        <v>1819</v>
      </c>
      <c r="C2106" s="442" t="s">
        <v>637</v>
      </c>
      <c r="D2106" s="442" t="s">
        <v>4</v>
      </c>
      <c r="E2106" s="442" t="s">
        <v>25</v>
      </c>
      <c r="F2106" s="442" t="s">
        <v>522</v>
      </c>
      <c r="G2106" s="442" t="s">
        <v>522</v>
      </c>
      <c r="H2106" s="442">
        <v>70950</v>
      </c>
      <c r="I2106" s="531">
        <v>50000010104</v>
      </c>
      <c r="J2106" s="277">
        <v>18385150.16</v>
      </c>
      <c r="K2106" s="627"/>
      <c r="L2106" s="394"/>
      <c r="M2106" s="394" t="s">
        <v>5133</v>
      </c>
      <c r="N2106" s="277"/>
      <c r="O2106" s="478"/>
    </row>
    <row r="2107" spans="1:15" ht="66" customHeight="1" x14ac:dyDescent="0.35">
      <c r="A2107" s="319" t="s">
        <v>4496</v>
      </c>
      <c r="B2107" s="463" t="s">
        <v>1821</v>
      </c>
      <c r="C2107" s="442" t="s">
        <v>480</v>
      </c>
      <c r="D2107" s="442" t="s">
        <v>4</v>
      </c>
      <c r="E2107" s="442" t="s">
        <v>25</v>
      </c>
      <c r="F2107" s="442" t="s">
        <v>522</v>
      </c>
      <c r="G2107" s="442" t="s">
        <v>522</v>
      </c>
      <c r="H2107" s="442">
        <v>70950</v>
      </c>
      <c r="I2107" s="531">
        <v>50000010104</v>
      </c>
      <c r="J2107" s="277">
        <v>14799333.305000002</v>
      </c>
      <c r="K2107" s="627"/>
      <c r="L2107" s="394"/>
      <c r="M2107" s="394" t="s">
        <v>5133</v>
      </c>
      <c r="N2107" s="277"/>
      <c r="O2107" s="191"/>
    </row>
    <row r="2108" spans="1:15" ht="66" customHeight="1" x14ac:dyDescent="0.35">
      <c r="A2108" s="319" t="s">
        <v>4497</v>
      </c>
      <c r="B2108" s="463" t="s">
        <v>804</v>
      </c>
      <c r="C2108" s="442" t="s">
        <v>188</v>
      </c>
      <c r="D2108" s="442" t="s">
        <v>4</v>
      </c>
      <c r="E2108" s="442" t="s">
        <v>25</v>
      </c>
      <c r="F2108" s="442" t="s">
        <v>62</v>
      </c>
      <c r="G2108" s="442" t="s">
        <v>62</v>
      </c>
      <c r="H2108" s="442">
        <v>70950</v>
      </c>
      <c r="I2108" s="531">
        <v>220000010106</v>
      </c>
      <c r="J2108" s="277">
        <v>49290000</v>
      </c>
      <c r="K2108" s="627"/>
      <c r="L2108" s="394"/>
      <c r="M2108" s="394" t="s">
        <v>5133</v>
      </c>
      <c r="N2108" s="277">
        <v>39432000</v>
      </c>
      <c r="O2108" s="478"/>
    </row>
    <row r="2109" spans="1:15" ht="74.25" customHeight="1" x14ac:dyDescent="0.35">
      <c r="A2109" s="319" t="s">
        <v>4498</v>
      </c>
      <c r="B2109" s="463" t="s">
        <v>1822</v>
      </c>
      <c r="C2109" s="442" t="s">
        <v>648</v>
      </c>
      <c r="D2109" s="442" t="s">
        <v>4</v>
      </c>
      <c r="E2109" s="442" t="s">
        <v>25</v>
      </c>
      <c r="F2109" s="442" t="s">
        <v>999</v>
      </c>
      <c r="G2109" s="442" t="s">
        <v>999</v>
      </c>
      <c r="H2109" s="442">
        <v>70950</v>
      </c>
      <c r="I2109" s="531">
        <v>50000010104</v>
      </c>
      <c r="J2109" s="277">
        <v>74165954.400000006</v>
      </c>
      <c r="K2109" s="627"/>
      <c r="L2109" s="394"/>
      <c r="M2109" s="394" t="s">
        <v>5133</v>
      </c>
      <c r="N2109" s="277"/>
      <c r="O2109" s="478"/>
    </row>
    <row r="2110" spans="1:15" ht="58.5" customHeight="1" x14ac:dyDescent="0.35">
      <c r="A2110" s="319" t="s">
        <v>4499</v>
      </c>
      <c r="B2110" s="463" t="s">
        <v>1823</v>
      </c>
      <c r="C2110" s="442" t="s">
        <v>648</v>
      </c>
      <c r="D2110" s="442" t="s">
        <v>4</v>
      </c>
      <c r="E2110" s="442" t="s">
        <v>25</v>
      </c>
      <c r="F2110" s="442" t="s">
        <v>999</v>
      </c>
      <c r="G2110" s="442" t="s">
        <v>999</v>
      </c>
      <c r="H2110" s="442">
        <v>70950</v>
      </c>
      <c r="I2110" s="531">
        <v>50000010104</v>
      </c>
      <c r="J2110" s="277">
        <v>10076340</v>
      </c>
      <c r="K2110" s="627"/>
      <c r="L2110" s="394"/>
      <c r="M2110" s="394" t="s">
        <v>5133</v>
      </c>
      <c r="N2110" s="277"/>
      <c r="O2110" s="478"/>
    </row>
    <row r="2111" spans="1:15" ht="60.75" customHeight="1" x14ac:dyDescent="0.35">
      <c r="A2111" s="319" t="s">
        <v>4500</v>
      </c>
      <c r="B2111" s="463" t="s">
        <v>1824</v>
      </c>
      <c r="C2111" s="442" t="s">
        <v>442</v>
      </c>
      <c r="D2111" s="442" t="s">
        <v>4</v>
      </c>
      <c r="E2111" s="442" t="s">
        <v>25</v>
      </c>
      <c r="F2111" s="442" t="s">
        <v>522</v>
      </c>
      <c r="G2111" s="442" t="s">
        <v>522</v>
      </c>
      <c r="H2111" s="442">
        <v>70950</v>
      </c>
      <c r="I2111" s="531">
        <v>50000010104</v>
      </c>
      <c r="J2111" s="277">
        <v>24973704</v>
      </c>
      <c r="K2111" s="627"/>
      <c r="L2111" s="394"/>
      <c r="M2111" s="394" t="s">
        <v>5133</v>
      </c>
      <c r="N2111" s="277"/>
      <c r="O2111" s="478"/>
    </row>
    <row r="2112" spans="1:15" ht="81.75" customHeight="1" x14ac:dyDescent="0.35">
      <c r="A2112" s="319" t="s">
        <v>4501</v>
      </c>
      <c r="B2112" s="463" t="s">
        <v>3463</v>
      </c>
      <c r="C2112" s="442" t="s">
        <v>442</v>
      </c>
      <c r="D2112" s="442" t="s">
        <v>4</v>
      </c>
      <c r="E2112" s="442" t="s">
        <v>25</v>
      </c>
      <c r="F2112" s="442" t="s">
        <v>522</v>
      </c>
      <c r="G2112" s="442" t="s">
        <v>522</v>
      </c>
      <c r="H2112" s="442">
        <v>70950</v>
      </c>
      <c r="I2112" s="531">
        <v>50000010104</v>
      </c>
      <c r="J2112" s="277">
        <v>49908420</v>
      </c>
      <c r="K2112" s="627"/>
      <c r="L2112" s="394"/>
      <c r="M2112" s="394" t="s">
        <v>5133</v>
      </c>
      <c r="N2112" s="277"/>
      <c r="O2112" s="478"/>
    </row>
    <row r="2113" spans="1:16" ht="85.5" customHeight="1" x14ac:dyDescent="0.35">
      <c r="A2113" s="319" t="s">
        <v>4502</v>
      </c>
      <c r="B2113" s="463" t="s">
        <v>1825</v>
      </c>
      <c r="C2113" s="442" t="s">
        <v>442</v>
      </c>
      <c r="D2113" s="442" t="s">
        <v>4</v>
      </c>
      <c r="E2113" s="442" t="s">
        <v>25</v>
      </c>
      <c r="F2113" s="442" t="s">
        <v>999</v>
      </c>
      <c r="G2113" s="442" t="s">
        <v>999</v>
      </c>
      <c r="H2113" s="442">
        <v>70950</v>
      </c>
      <c r="I2113" s="531">
        <v>50000010104</v>
      </c>
      <c r="J2113" s="277">
        <v>24973704</v>
      </c>
      <c r="K2113" s="627"/>
      <c r="L2113" s="394"/>
      <c r="M2113" s="394" t="s">
        <v>5133</v>
      </c>
      <c r="N2113" s="277"/>
      <c r="O2113" s="478"/>
    </row>
    <row r="2114" spans="1:16" ht="153" customHeight="1" x14ac:dyDescent="0.35">
      <c r="A2114" s="319" t="s">
        <v>4503</v>
      </c>
      <c r="B2114" s="463" t="s">
        <v>3464</v>
      </c>
      <c r="C2114" s="442" t="s">
        <v>442</v>
      </c>
      <c r="D2114" s="442" t="s">
        <v>4</v>
      </c>
      <c r="E2114" s="442" t="s">
        <v>25</v>
      </c>
      <c r="F2114" s="442" t="s">
        <v>522</v>
      </c>
      <c r="G2114" s="442" t="s">
        <v>522</v>
      </c>
      <c r="H2114" s="442">
        <v>70950</v>
      </c>
      <c r="I2114" s="531">
        <v>50000010104</v>
      </c>
      <c r="J2114" s="277">
        <v>9928053.2520000003</v>
      </c>
      <c r="K2114" s="627"/>
      <c r="L2114" s="394"/>
      <c r="M2114" s="394" t="s">
        <v>5133</v>
      </c>
      <c r="N2114" s="277"/>
      <c r="O2114" s="478"/>
    </row>
    <row r="2115" spans="1:16" ht="127.5" customHeight="1" x14ac:dyDescent="0.35">
      <c r="A2115" s="319" t="s">
        <v>4504</v>
      </c>
      <c r="B2115" s="463" t="s">
        <v>1826</v>
      </c>
      <c r="C2115" s="442" t="s">
        <v>1820</v>
      </c>
      <c r="D2115" s="442" t="s">
        <v>4</v>
      </c>
      <c r="E2115" s="442" t="s">
        <v>25</v>
      </c>
      <c r="F2115" s="442" t="s">
        <v>522</v>
      </c>
      <c r="G2115" s="442" t="s">
        <v>522</v>
      </c>
      <c r="H2115" s="442">
        <v>70950</v>
      </c>
      <c r="I2115" s="531">
        <v>50000010104</v>
      </c>
      <c r="J2115" s="277">
        <v>29908770.963999998</v>
      </c>
      <c r="K2115" s="627"/>
      <c r="L2115" s="394"/>
      <c r="M2115" s="394" t="s">
        <v>5133</v>
      </c>
      <c r="N2115" s="277"/>
      <c r="O2115" s="478"/>
    </row>
    <row r="2116" spans="1:16" ht="71.25" customHeight="1" x14ac:dyDescent="0.35">
      <c r="A2116" s="319" t="s">
        <v>4505</v>
      </c>
      <c r="B2116" s="463" t="s">
        <v>1827</v>
      </c>
      <c r="C2116" s="442" t="s">
        <v>1540</v>
      </c>
      <c r="D2116" s="442" t="s">
        <v>4</v>
      </c>
      <c r="E2116" s="442" t="s">
        <v>25</v>
      </c>
      <c r="F2116" s="442" t="s">
        <v>999</v>
      </c>
      <c r="G2116" s="442" t="s">
        <v>999</v>
      </c>
      <c r="H2116" s="442">
        <v>70950</v>
      </c>
      <c r="I2116" s="531">
        <v>50000010104</v>
      </c>
      <c r="J2116" s="277">
        <v>8080245.1560000004</v>
      </c>
      <c r="K2116" s="627"/>
      <c r="L2116" s="394"/>
      <c r="M2116" s="394" t="s">
        <v>5133</v>
      </c>
      <c r="N2116" s="277"/>
      <c r="O2116" s="478"/>
    </row>
    <row r="2117" spans="1:16" ht="96" customHeight="1" x14ac:dyDescent="0.35">
      <c r="A2117" s="319" t="s">
        <v>4506</v>
      </c>
      <c r="B2117" s="463" t="s">
        <v>1828</v>
      </c>
      <c r="C2117" s="442" t="s">
        <v>5</v>
      </c>
      <c r="D2117" s="442" t="s">
        <v>4</v>
      </c>
      <c r="E2117" s="442" t="s">
        <v>25</v>
      </c>
      <c r="F2117" s="442" t="s">
        <v>62</v>
      </c>
      <c r="G2117" s="442" t="s">
        <v>62</v>
      </c>
      <c r="H2117" s="442">
        <v>70950</v>
      </c>
      <c r="I2117" s="531">
        <v>50000010102</v>
      </c>
      <c r="J2117" s="277">
        <v>12720745.127999999</v>
      </c>
      <c r="K2117" s="627"/>
      <c r="L2117" s="394"/>
      <c r="M2117" s="394" t="s">
        <v>5133</v>
      </c>
      <c r="N2117" s="277"/>
      <c r="O2117" s="478"/>
    </row>
    <row r="2118" spans="1:16" ht="72.75" customHeight="1" x14ac:dyDescent="0.35">
      <c r="A2118" s="319" t="s">
        <v>4507</v>
      </c>
      <c r="B2118" s="463" t="s">
        <v>1829</v>
      </c>
      <c r="C2118" s="442" t="s">
        <v>5</v>
      </c>
      <c r="D2118" s="442" t="s">
        <v>4</v>
      </c>
      <c r="E2118" s="442" t="s">
        <v>25</v>
      </c>
      <c r="F2118" s="442" t="s">
        <v>522</v>
      </c>
      <c r="G2118" s="442" t="s">
        <v>522</v>
      </c>
      <c r="H2118" s="442">
        <v>70950</v>
      </c>
      <c r="I2118" s="531">
        <v>50000010102</v>
      </c>
      <c r="J2118" s="277">
        <v>8206045.2319999989</v>
      </c>
      <c r="K2118" s="627"/>
      <c r="L2118" s="394"/>
      <c r="M2118" s="394" t="s">
        <v>5133</v>
      </c>
      <c r="N2118" s="277"/>
      <c r="O2118" s="478"/>
    </row>
    <row r="2119" spans="1:16" ht="108.75" customHeight="1" x14ac:dyDescent="0.35">
      <c r="A2119" s="319" t="s">
        <v>4508</v>
      </c>
      <c r="B2119" s="463" t="s">
        <v>1830</v>
      </c>
      <c r="C2119" s="442" t="s">
        <v>5</v>
      </c>
      <c r="D2119" s="442" t="s">
        <v>4</v>
      </c>
      <c r="E2119" s="442" t="s">
        <v>25</v>
      </c>
      <c r="F2119" s="442" t="s">
        <v>62</v>
      </c>
      <c r="G2119" s="442" t="s">
        <v>62</v>
      </c>
      <c r="H2119" s="442">
        <v>70912</v>
      </c>
      <c r="I2119" s="531">
        <v>220000010106</v>
      </c>
      <c r="J2119" s="277">
        <v>12929279.947999999</v>
      </c>
      <c r="K2119" s="627"/>
      <c r="L2119" s="394"/>
      <c r="M2119" s="394" t="s">
        <v>5133</v>
      </c>
      <c r="N2119" s="277"/>
      <c r="O2119" s="478"/>
    </row>
    <row r="2120" spans="1:16" ht="86.25" customHeight="1" x14ac:dyDescent="0.35">
      <c r="A2120" s="319" t="s">
        <v>4509</v>
      </c>
      <c r="B2120" s="463" t="s">
        <v>1831</v>
      </c>
      <c r="C2120" s="442" t="s">
        <v>5</v>
      </c>
      <c r="D2120" s="442" t="s">
        <v>4</v>
      </c>
      <c r="E2120" s="442" t="s">
        <v>25</v>
      </c>
      <c r="F2120" s="442" t="s">
        <v>62</v>
      </c>
      <c r="G2120" s="442" t="s">
        <v>62</v>
      </c>
      <c r="H2120" s="442" t="s">
        <v>47</v>
      </c>
      <c r="I2120" s="531">
        <v>220000010106</v>
      </c>
      <c r="J2120" s="277">
        <v>11984024.231999999</v>
      </c>
      <c r="K2120" s="627"/>
      <c r="L2120" s="394"/>
      <c r="M2120" s="394" t="s">
        <v>5133</v>
      </c>
      <c r="N2120" s="277"/>
      <c r="O2120" s="478"/>
    </row>
    <row r="2121" spans="1:16" ht="74.25" customHeight="1" x14ac:dyDescent="0.35">
      <c r="A2121" s="319" t="s">
        <v>4510</v>
      </c>
      <c r="B2121" s="463" t="s">
        <v>1832</v>
      </c>
      <c r="C2121" s="442" t="s">
        <v>5</v>
      </c>
      <c r="D2121" s="442" t="s">
        <v>4</v>
      </c>
      <c r="E2121" s="442" t="s">
        <v>25</v>
      </c>
      <c r="F2121" s="442" t="s">
        <v>62</v>
      </c>
      <c r="G2121" s="442" t="s">
        <v>62</v>
      </c>
      <c r="H2121" s="442">
        <v>70950</v>
      </c>
      <c r="I2121" s="531">
        <v>50000010106</v>
      </c>
      <c r="J2121" s="277">
        <v>15254054.836000001</v>
      </c>
      <c r="K2121" s="627"/>
      <c r="L2121" s="394"/>
      <c r="M2121" s="394" t="s">
        <v>5133</v>
      </c>
      <c r="N2121" s="277"/>
      <c r="O2121" s="478"/>
    </row>
    <row r="2122" spans="1:16" ht="112.5" customHeight="1" x14ac:dyDescent="0.35">
      <c r="A2122" s="319" t="s">
        <v>4511</v>
      </c>
      <c r="B2122" s="463" t="s">
        <v>1833</v>
      </c>
      <c r="C2122" s="442" t="s">
        <v>5</v>
      </c>
      <c r="D2122" s="442" t="s">
        <v>4</v>
      </c>
      <c r="E2122" s="442" t="s">
        <v>25</v>
      </c>
      <c r="F2122" s="442" t="s">
        <v>62</v>
      </c>
      <c r="G2122" s="442" t="s">
        <v>62</v>
      </c>
      <c r="H2122" s="442">
        <v>70912</v>
      </c>
      <c r="I2122" s="531">
        <v>220000010106</v>
      </c>
      <c r="J2122" s="277">
        <v>668498.24000000011</v>
      </c>
      <c r="K2122" s="627"/>
      <c r="L2122" s="394"/>
      <c r="M2122" s="394" t="s">
        <v>5133</v>
      </c>
      <c r="N2122" s="149"/>
      <c r="O2122" s="478"/>
      <c r="P2122" s="437" t="s">
        <v>1826</v>
      </c>
    </row>
    <row r="2123" spans="1:16" ht="113.25" customHeight="1" x14ac:dyDescent="0.35">
      <c r="A2123" s="319" t="s">
        <v>4512</v>
      </c>
      <c r="B2123" s="463" t="s">
        <v>1834</v>
      </c>
      <c r="C2123" s="442" t="s">
        <v>490</v>
      </c>
      <c r="D2123" s="442">
        <v>2101</v>
      </c>
      <c r="E2123" s="442" t="s">
        <v>25</v>
      </c>
      <c r="F2123" s="442">
        <v>23030103</v>
      </c>
      <c r="G2123" s="442">
        <v>23030103</v>
      </c>
      <c r="H2123" s="442">
        <v>70950</v>
      </c>
      <c r="I2123" s="531">
        <v>50000010104</v>
      </c>
      <c r="J2123" s="277">
        <v>11400000</v>
      </c>
      <c r="K2123" s="627"/>
      <c r="L2123" s="394"/>
      <c r="M2123" s="394" t="s">
        <v>5133</v>
      </c>
      <c r="N2123" s="277"/>
      <c r="O2123" s="478"/>
    </row>
    <row r="2124" spans="1:16" ht="81.75" customHeight="1" x14ac:dyDescent="0.35">
      <c r="A2124" s="319" t="s">
        <v>4513</v>
      </c>
      <c r="B2124" s="463" t="s">
        <v>1835</v>
      </c>
      <c r="C2124" s="442">
        <v>210</v>
      </c>
      <c r="D2124" s="442">
        <v>2101</v>
      </c>
      <c r="E2124" s="442" t="s">
        <v>25</v>
      </c>
      <c r="F2124" s="442">
        <v>23030103</v>
      </c>
      <c r="G2124" s="442">
        <v>23030103</v>
      </c>
      <c r="H2124" s="442">
        <v>70950</v>
      </c>
      <c r="I2124" s="531">
        <v>50000010104</v>
      </c>
      <c r="J2124" s="277">
        <v>3407980.5279999999</v>
      </c>
      <c r="K2124" s="627"/>
      <c r="L2124" s="394"/>
      <c r="M2124" s="394" t="s">
        <v>5133</v>
      </c>
      <c r="N2124" s="277"/>
      <c r="O2124" s="478"/>
    </row>
    <row r="2125" spans="1:16" ht="120" customHeight="1" x14ac:dyDescent="0.35">
      <c r="A2125" s="319" t="s">
        <v>4514</v>
      </c>
      <c r="B2125" s="463" t="s">
        <v>1836</v>
      </c>
      <c r="C2125" s="442" t="s">
        <v>191</v>
      </c>
      <c r="D2125" s="442">
        <v>2101</v>
      </c>
      <c r="E2125" s="442" t="s">
        <v>25</v>
      </c>
      <c r="F2125" s="442">
        <v>31050406</v>
      </c>
      <c r="G2125" s="442">
        <v>31050406</v>
      </c>
      <c r="H2125" s="442">
        <v>70950</v>
      </c>
      <c r="I2125" s="531">
        <v>50000010104</v>
      </c>
      <c r="J2125" s="277">
        <v>23566608.240000002</v>
      </c>
      <c r="K2125" s="627"/>
      <c r="L2125" s="394"/>
      <c r="M2125" s="394" t="s">
        <v>5133</v>
      </c>
      <c r="N2125" s="277"/>
      <c r="O2125" s="478"/>
    </row>
    <row r="2126" spans="1:16" ht="92.25" customHeight="1" x14ac:dyDescent="0.35">
      <c r="A2126" s="319" t="s">
        <v>4515</v>
      </c>
      <c r="B2126" s="463" t="s">
        <v>1837</v>
      </c>
      <c r="C2126" s="442" t="s">
        <v>191</v>
      </c>
      <c r="D2126" s="442">
        <v>2101</v>
      </c>
      <c r="E2126" s="442" t="s">
        <v>25</v>
      </c>
      <c r="F2126" s="442">
        <v>31050406</v>
      </c>
      <c r="G2126" s="442">
        <v>31050406</v>
      </c>
      <c r="H2126" s="442">
        <v>70950</v>
      </c>
      <c r="I2126" s="531">
        <v>50000010104</v>
      </c>
      <c r="J2126" s="277">
        <v>14884779.460000001</v>
      </c>
      <c r="K2126" s="627"/>
      <c r="L2126" s="394"/>
      <c r="M2126" s="394" t="s">
        <v>5133</v>
      </c>
      <c r="N2126" s="277"/>
      <c r="O2126" s="478"/>
    </row>
    <row r="2127" spans="1:16" ht="230.25" customHeight="1" x14ac:dyDescent="0.35">
      <c r="A2127" s="319" t="s">
        <v>4516</v>
      </c>
      <c r="B2127" s="463" t="s">
        <v>1838</v>
      </c>
      <c r="C2127" s="442" t="s">
        <v>191</v>
      </c>
      <c r="D2127" s="442">
        <v>2101</v>
      </c>
      <c r="E2127" s="442" t="s">
        <v>25</v>
      </c>
      <c r="F2127" s="442">
        <v>31050406</v>
      </c>
      <c r="G2127" s="442">
        <v>31050406</v>
      </c>
      <c r="H2127" s="442">
        <v>70950</v>
      </c>
      <c r="I2127" s="531">
        <v>50000010104</v>
      </c>
      <c r="J2127" s="277">
        <v>141091244.40399998</v>
      </c>
      <c r="K2127" s="627"/>
      <c r="L2127" s="394"/>
      <c r="M2127" s="394" t="s">
        <v>5133</v>
      </c>
      <c r="N2127" s="277"/>
      <c r="O2127" s="478"/>
    </row>
    <row r="2128" spans="1:16" ht="93.75" customHeight="1" x14ac:dyDescent="0.35">
      <c r="A2128" s="319" t="s">
        <v>4517</v>
      </c>
      <c r="B2128" s="463" t="s">
        <v>1839</v>
      </c>
      <c r="C2128" s="442" t="s">
        <v>191</v>
      </c>
      <c r="D2128" s="442">
        <v>2101</v>
      </c>
      <c r="E2128" s="442" t="s">
        <v>25</v>
      </c>
      <c r="F2128" s="442">
        <v>31050406</v>
      </c>
      <c r="G2128" s="442">
        <v>31050406</v>
      </c>
      <c r="H2128" s="442">
        <v>70950</v>
      </c>
      <c r="I2128" s="531">
        <v>50000010104</v>
      </c>
      <c r="J2128" s="277">
        <v>29305570.451999996</v>
      </c>
      <c r="K2128" s="627"/>
      <c r="L2128" s="394"/>
      <c r="M2128" s="394" t="s">
        <v>5133</v>
      </c>
      <c r="N2128" s="277"/>
      <c r="O2128" s="478"/>
    </row>
    <row r="2129" spans="1:15" ht="80.25" customHeight="1" x14ac:dyDescent="0.35">
      <c r="A2129" s="319" t="s">
        <v>4518</v>
      </c>
      <c r="B2129" s="463" t="s">
        <v>1840</v>
      </c>
      <c r="C2129" s="442" t="s">
        <v>392</v>
      </c>
      <c r="D2129" s="442">
        <v>2101</v>
      </c>
      <c r="E2129" s="442" t="s">
        <v>25</v>
      </c>
      <c r="F2129" s="442">
        <v>31050406</v>
      </c>
      <c r="G2129" s="442">
        <v>31050406</v>
      </c>
      <c r="H2129" s="442">
        <v>70950</v>
      </c>
      <c r="I2129" s="531">
        <v>50000010104</v>
      </c>
      <c r="J2129" s="277">
        <v>756907.21600000001</v>
      </c>
      <c r="K2129" s="627"/>
      <c r="L2129" s="394"/>
      <c r="M2129" s="394" t="s">
        <v>5133</v>
      </c>
      <c r="N2129" s="277"/>
      <c r="O2129" s="478"/>
    </row>
    <row r="2130" spans="1:15" ht="101.25" customHeight="1" x14ac:dyDescent="0.35">
      <c r="A2130" s="319" t="s">
        <v>4519</v>
      </c>
      <c r="B2130" s="463" t="s">
        <v>1841</v>
      </c>
      <c r="C2130" s="442" t="s">
        <v>616</v>
      </c>
      <c r="D2130" s="442">
        <v>2101</v>
      </c>
      <c r="E2130" s="442" t="s">
        <v>25</v>
      </c>
      <c r="F2130" s="442">
        <v>23030103</v>
      </c>
      <c r="G2130" s="442">
        <v>23030103</v>
      </c>
      <c r="H2130" s="442">
        <v>70950</v>
      </c>
      <c r="I2130" s="531">
        <v>50000010104</v>
      </c>
      <c r="J2130" s="277">
        <v>5055800.324</v>
      </c>
      <c r="K2130" s="627"/>
      <c r="L2130" s="394"/>
      <c r="M2130" s="394" t="s">
        <v>5133</v>
      </c>
      <c r="N2130" s="277"/>
      <c r="O2130" s="478"/>
    </row>
    <row r="2131" spans="1:15" ht="126.75" customHeight="1" x14ac:dyDescent="0.35">
      <c r="A2131" s="319" t="s">
        <v>4520</v>
      </c>
      <c r="B2131" s="463" t="s">
        <v>1842</v>
      </c>
      <c r="C2131" s="442">
        <v>211</v>
      </c>
      <c r="D2131" s="442">
        <v>2101</v>
      </c>
      <c r="E2131" s="442" t="s">
        <v>25</v>
      </c>
      <c r="F2131" s="442">
        <v>31050406</v>
      </c>
      <c r="G2131" s="442">
        <v>31050406</v>
      </c>
      <c r="H2131" s="442">
        <v>70950</v>
      </c>
      <c r="I2131" s="531">
        <v>50000010104</v>
      </c>
      <c r="J2131" s="277">
        <v>15933021.640000001</v>
      </c>
      <c r="K2131" s="627"/>
      <c r="L2131" s="394"/>
      <c r="M2131" s="394" t="s">
        <v>5133</v>
      </c>
      <c r="N2131" s="277"/>
      <c r="O2131" s="478"/>
    </row>
    <row r="2132" spans="1:15" ht="111" customHeight="1" x14ac:dyDescent="0.35">
      <c r="A2132" s="319" t="s">
        <v>4521</v>
      </c>
      <c r="B2132" s="463" t="s">
        <v>1843</v>
      </c>
      <c r="C2132" s="442">
        <v>212</v>
      </c>
      <c r="D2132" s="442">
        <v>2101</v>
      </c>
      <c r="E2132" s="442" t="s">
        <v>25</v>
      </c>
      <c r="F2132" s="442">
        <v>31050406</v>
      </c>
      <c r="G2132" s="442">
        <v>31050406</v>
      </c>
      <c r="H2132" s="442">
        <v>70912</v>
      </c>
      <c r="I2132" s="531">
        <v>50000010104</v>
      </c>
      <c r="J2132" s="277">
        <v>7296609.54</v>
      </c>
      <c r="K2132" s="627"/>
      <c r="L2132" s="394"/>
      <c r="M2132" s="394" t="s">
        <v>5133</v>
      </c>
      <c r="N2132" s="277"/>
      <c r="O2132" s="478"/>
    </row>
    <row r="2133" spans="1:15" ht="75.75" customHeight="1" x14ac:dyDescent="0.35">
      <c r="A2133" s="319" t="s">
        <v>4522</v>
      </c>
      <c r="B2133" s="463" t="s">
        <v>1845</v>
      </c>
      <c r="C2133" s="442">
        <v>212</v>
      </c>
      <c r="D2133" s="442">
        <v>2101</v>
      </c>
      <c r="E2133" s="442" t="s">
        <v>25</v>
      </c>
      <c r="F2133" s="442">
        <v>31050406</v>
      </c>
      <c r="G2133" s="442">
        <v>31050406</v>
      </c>
      <c r="H2133" s="442">
        <v>70950</v>
      </c>
      <c r="I2133" s="531">
        <v>50000010104</v>
      </c>
      <c r="J2133" s="277">
        <v>12693647.340000002</v>
      </c>
      <c r="K2133" s="627"/>
      <c r="L2133" s="394"/>
      <c r="M2133" s="394" t="s">
        <v>5133</v>
      </c>
      <c r="N2133" s="277"/>
      <c r="O2133" s="478"/>
    </row>
    <row r="2134" spans="1:15" ht="106.5" customHeight="1" x14ac:dyDescent="0.35">
      <c r="A2134" s="319" t="s">
        <v>4523</v>
      </c>
      <c r="B2134" s="463" t="s">
        <v>1846</v>
      </c>
      <c r="C2134" s="442">
        <v>212</v>
      </c>
      <c r="D2134" s="442">
        <v>2101</v>
      </c>
      <c r="E2134" s="442" t="s">
        <v>25</v>
      </c>
      <c r="F2134" s="442">
        <v>31050406</v>
      </c>
      <c r="G2134" s="442">
        <v>31050406</v>
      </c>
      <c r="H2134" s="442">
        <v>70950</v>
      </c>
      <c r="I2134" s="531">
        <v>50000010104</v>
      </c>
      <c r="J2134" s="277">
        <v>12682322.731999999</v>
      </c>
      <c r="K2134" s="627"/>
      <c r="L2134" s="394"/>
      <c r="M2134" s="394" t="s">
        <v>5133</v>
      </c>
      <c r="N2134" s="277"/>
      <c r="O2134" s="478"/>
    </row>
    <row r="2135" spans="1:15" ht="102.75" customHeight="1" x14ac:dyDescent="0.35">
      <c r="A2135" s="319" t="s">
        <v>4524</v>
      </c>
      <c r="B2135" s="463" t="s">
        <v>1847</v>
      </c>
      <c r="C2135" s="442">
        <v>212</v>
      </c>
      <c r="D2135" s="442">
        <v>2101</v>
      </c>
      <c r="E2135" s="442" t="s">
        <v>25</v>
      </c>
      <c r="F2135" s="442">
        <v>31050406</v>
      </c>
      <c r="G2135" s="442">
        <v>31050406</v>
      </c>
      <c r="H2135" s="442">
        <v>70912</v>
      </c>
      <c r="I2135" s="531">
        <v>50000010104</v>
      </c>
      <c r="J2135" s="277">
        <v>12051288.804000001</v>
      </c>
      <c r="K2135" s="627"/>
      <c r="L2135" s="394"/>
      <c r="M2135" s="394" t="s">
        <v>5133</v>
      </c>
      <c r="N2135" s="277"/>
      <c r="O2135" s="478"/>
    </row>
    <row r="2136" spans="1:15" ht="58.5" customHeight="1" x14ac:dyDescent="0.35">
      <c r="A2136" s="319" t="s">
        <v>4525</v>
      </c>
      <c r="B2136" s="463" t="s">
        <v>1848</v>
      </c>
      <c r="C2136" s="442">
        <v>212</v>
      </c>
      <c r="D2136" s="442">
        <v>2101</v>
      </c>
      <c r="E2136" s="442" t="s">
        <v>25</v>
      </c>
      <c r="F2136" s="442">
        <v>23030103</v>
      </c>
      <c r="G2136" s="442">
        <v>23030103</v>
      </c>
      <c r="H2136" s="442">
        <v>70950</v>
      </c>
      <c r="I2136" s="531">
        <v>50000010104</v>
      </c>
      <c r="J2136" s="277">
        <v>4627796.9399999995</v>
      </c>
      <c r="K2136" s="627"/>
      <c r="L2136" s="394"/>
      <c r="M2136" s="394" t="s">
        <v>5133</v>
      </c>
      <c r="N2136" s="277"/>
      <c r="O2136" s="478"/>
    </row>
    <row r="2137" spans="1:15" ht="91.5" customHeight="1" x14ac:dyDescent="0.35">
      <c r="A2137" s="319" t="s">
        <v>4526</v>
      </c>
      <c r="B2137" s="463" t="s">
        <v>1849</v>
      </c>
      <c r="C2137" s="442">
        <v>321</v>
      </c>
      <c r="D2137" s="442">
        <v>2101</v>
      </c>
      <c r="E2137" s="442" t="s">
        <v>25</v>
      </c>
      <c r="F2137" s="442">
        <v>31050406</v>
      </c>
      <c r="G2137" s="442">
        <v>31050406</v>
      </c>
      <c r="H2137" s="442">
        <v>70950</v>
      </c>
      <c r="I2137" s="531">
        <v>50000010104</v>
      </c>
      <c r="J2137" s="277">
        <v>14196431.012000002</v>
      </c>
      <c r="K2137" s="627"/>
      <c r="L2137" s="394"/>
      <c r="M2137" s="394" t="s">
        <v>5133</v>
      </c>
      <c r="N2137" s="277"/>
      <c r="O2137" s="478"/>
    </row>
    <row r="2138" spans="1:15" ht="81.75" customHeight="1" x14ac:dyDescent="0.35">
      <c r="A2138" s="319" t="s">
        <v>4527</v>
      </c>
      <c r="B2138" s="463" t="s">
        <v>1850</v>
      </c>
      <c r="C2138" s="442">
        <v>321</v>
      </c>
      <c r="D2138" s="442">
        <v>2101</v>
      </c>
      <c r="E2138" s="442" t="s">
        <v>25</v>
      </c>
      <c r="F2138" s="442">
        <v>23030103</v>
      </c>
      <c r="G2138" s="442">
        <v>23030103</v>
      </c>
      <c r="H2138" s="442">
        <v>70912</v>
      </c>
      <c r="I2138" s="531">
        <v>50000010104</v>
      </c>
      <c r="J2138" s="277">
        <v>10974850.384</v>
      </c>
      <c r="K2138" s="627"/>
      <c r="L2138" s="394"/>
      <c r="M2138" s="394" t="s">
        <v>5133</v>
      </c>
      <c r="N2138" s="277"/>
      <c r="O2138" s="478"/>
    </row>
    <row r="2139" spans="1:15" ht="151.5" customHeight="1" x14ac:dyDescent="0.35">
      <c r="A2139" s="319" t="s">
        <v>4528</v>
      </c>
      <c r="B2139" s="463" t="s">
        <v>1851</v>
      </c>
      <c r="C2139" s="442">
        <v>103</v>
      </c>
      <c r="D2139" s="442">
        <v>2101</v>
      </c>
      <c r="E2139" s="442" t="s">
        <v>25</v>
      </c>
      <c r="F2139" s="442">
        <v>23030108</v>
      </c>
      <c r="G2139" s="442">
        <v>23030108</v>
      </c>
      <c r="H2139" s="442">
        <v>70950</v>
      </c>
      <c r="I2139" s="531">
        <v>50000010104</v>
      </c>
      <c r="J2139" s="277">
        <v>32542636.299999997</v>
      </c>
      <c r="K2139" s="627"/>
      <c r="L2139" s="394"/>
      <c r="M2139" s="394" t="s">
        <v>5133</v>
      </c>
      <c r="N2139" s="277"/>
      <c r="O2139" s="478"/>
    </row>
    <row r="2140" spans="1:15" ht="105" customHeight="1" x14ac:dyDescent="0.35">
      <c r="A2140" s="319" t="s">
        <v>4529</v>
      </c>
      <c r="B2140" s="463" t="s">
        <v>1852</v>
      </c>
      <c r="C2140" s="442">
        <v>103</v>
      </c>
      <c r="D2140" s="442">
        <v>2101</v>
      </c>
      <c r="E2140" s="442" t="s">
        <v>25</v>
      </c>
      <c r="F2140" s="442">
        <v>31050406</v>
      </c>
      <c r="G2140" s="442">
        <v>31050406</v>
      </c>
      <c r="H2140" s="442">
        <v>70950</v>
      </c>
      <c r="I2140" s="531">
        <v>50000010104</v>
      </c>
      <c r="J2140" s="277">
        <v>12641937.151999999</v>
      </c>
      <c r="K2140" s="627"/>
      <c r="L2140" s="394"/>
      <c r="M2140" s="394" t="s">
        <v>5133</v>
      </c>
      <c r="N2140" s="277"/>
      <c r="O2140" s="478"/>
    </row>
    <row r="2141" spans="1:15" ht="84" customHeight="1" x14ac:dyDescent="0.35">
      <c r="A2141" s="319" t="s">
        <v>4530</v>
      </c>
      <c r="B2141" s="463" t="s">
        <v>1853</v>
      </c>
      <c r="C2141" s="442" t="s">
        <v>1844</v>
      </c>
      <c r="D2141" s="442">
        <v>2101</v>
      </c>
      <c r="E2141" s="442" t="s">
        <v>25</v>
      </c>
      <c r="F2141" s="442">
        <v>31050406</v>
      </c>
      <c r="G2141" s="442">
        <v>31050406</v>
      </c>
      <c r="H2141" s="442">
        <v>70950</v>
      </c>
      <c r="I2141" s="531">
        <v>50000010104</v>
      </c>
      <c r="J2141" s="277">
        <v>12911004.040000001</v>
      </c>
      <c r="K2141" s="627"/>
      <c r="L2141" s="394"/>
      <c r="M2141" s="394" t="s">
        <v>5133</v>
      </c>
      <c r="N2141" s="277"/>
      <c r="O2141" s="478"/>
    </row>
    <row r="2142" spans="1:15" ht="116.25" customHeight="1" x14ac:dyDescent="0.35">
      <c r="A2142" s="319" t="s">
        <v>4531</v>
      </c>
      <c r="B2142" s="463" t="s">
        <v>1854</v>
      </c>
      <c r="C2142" s="442">
        <v>216</v>
      </c>
      <c r="D2142" s="442">
        <v>2101</v>
      </c>
      <c r="E2142" s="442" t="s">
        <v>25</v>
      </c>
      <c r="F2142" s="442">
        <v>31050406</v>
      </c>
      <c r="G2142" s="442">
        <v>31050406</v>
      </c>
      <c r="H2142" s="442">
        <v>70950</v>
      </c>
      <c r="I2142" s="531">
        <v>50000010104</v>
      </c>
      <c r="J2142" s="277">
        <v>19589074.399999999</v>
      </c>
      <c r="K2142" s="627"/>
      <c r="L2142" s="394"/>
      <c r="M2142" s="394" t="s">
        <v>5133</v>
      </c>
      <c r="N2142" s="277"/>
      <c r="O2142" s="478"/>
    </row>
    <row r="2143" spans="1:15" ht="109.5" customHeight="1" x14ac:dyDescent="0.35">
      <c r="A2143" s="319" t="s">
        <v>4532</v>
      </c>
      <c r="B2143" s="463" t="s">
        <v>4693</v>
      </c>
      <c r="C2143" s="442" t="s">
        <v>1728</v>
      </c>
      <c r="D2143" s="442">
        <v>2101</v>
      </c>
      <c r="E2143" s="442" t="s">
        <v>25</v>
      </c>
      <c r="F2143" s="442">
        <v>23030103</v>
      </c>
      <c r="G2143" s="442">
        <v>23030103</v>
      </c>
      <c r="H2143" s="442">
        <v>70950</v>
      </c>
      <c r="I2143" s="531">
        <v>50000010104</v>
      </c>
      <c r="J2143" s="277">
        <v>10294879.912</v>
      </c>
      <c r="K2143" s="627"/>
      <c r="L2143" s="394"/>
      <c r="M2143" s="394" t="s">
        <v>5133</v>
      </c>
      <c r="N2143" s="277"/>
      <c r="O2143" s="478"/>
    </row>
    <row r="2144" spans="1:15" ht="93" customHeight="1" x14ac:dyDescent="0.35">
      <c r="A2144" s="319" t="s">
        <v>4533</v>
      </c>
      <c r="B2144" s="463" t="s">
        <v>1855</v>
      </c>
      <c r="C2144" s="442">
        <v>104</v>
      </c>
      <c r="D2144" s="442">
        <v>2101</v>
      </c>
      <c r="E2144" s="442" t="s">
        <v>25</v>
      </c>
      <c r="F2144" s="442">
        <v>31050406</v>
      </c>
      <c r="G2144" s="442">
        <v>31050406</v>
      </c>
      <c r="H2144" s="442">
        <v>70912</v>
      </c>
      <c r="I2144" s="531">
        <v>50000010104</v>
      </c>
      <c r="J2144" s="277">
        <v>11670251.952</v>
      </c>
      <c r="K2144" s="627"/>
      <c r="L2144" s="394"/>
      <c r="M2144" s="394" t="s">
        <v>5133</v>
      </c>
      <c r="N2144" s="277"/>
      <c r="O2144" s="478"/>
    </row>
    <row r="2145" spans="1:15" ht="62.25" customHeight="1" x14ac:dyDescent="0.35">
      <c r="A2145" s="319" t="s">
        <v>4534</v>
      </c>
      <c r="B2145" s="463" t="s">
        <v>1856</v>
      </c>
      <c r="C2145" s="442" t="s">
        <v>627</v>
      </c>
      <c r="D2145" s="442">
        <v>2101</v>
      </c>
      <c r="E2145" s="442" t="s">
        <v>25</v>
      </c>
      <c r="F2145" s="442">
        <v>23030103</v>
      </c>
      <c r="G2145" s="442">
        <v>23030103</v>
      </c>
      <c r="H2145" s="442">
        <v>70950</v>
      </c>
      <c r="I2145" s="531">
        <v>50000010104</v>
      </c>
      <c r="J2145" s="277">
        <v>5510042.7280000001</v>
      </c>
      <c r="K2145" s="627"/>
      <c r="L2145" s="394"/>
      <c r="M2145" s="394" t="s">
        <v>5133</v>
      </c>
      <c r="N2145" s="277"/>
      <c r="O2145" s="478"/>
    </row>
    <row r="2146" spans="1:15" ht="130.5" customHeight="1" x14ac:dyDescent="0.35">
      <c r="A2146" s="319" t="s">
        <v>4535</v>
      </c>
      <c r="B2146" s="463" t="s">
        <v>1858</v>
      </c>
      <c r="C2146" s="442" t="s">
        <v>627</v>
      </c>
      <c r="D2146" s="442">
        <v>2101</v>
      </c>
      <c r="E2146" s="442" t="s">
        <v>25</v>
      </c>
      <c r="F2146" s="442">
        <v>23030103</v>
      </c>
      <c r="G2146" s="442">
        <v>23030103</v>
      </c>
      <c r="H2146" s="442">
        <v>70950</v>
      </c>
      <c r="I2146" s="531">
        <v>50000010104</v>
      </c>
      <c r="J2146" s="277">
        <v>9462381.1559999995</v>
      </c>
      <c r="K2146" s="627"/>
      <c r="L2146" s="394"/>
      <c r="M2146" s="394" t="s">
        <v>5133</v>
      </c>
      <c r="N2146" s="277"/>
      <c r="O2146" s="478"/>
    </row>
    <row r="2147" spans="1:15" ht="69" customHeight="1" x14ac:dyDescent="0.35">
      <c r="A2147" s="319" t="s">
        <v>4536</v>
      </c>
      <c r="B2147" s="463" t="s">
        <v>1859</v>
      </c>
      <c r="C2147" s="442" t="s">
        <v>627</v>
      </c>
      <c r="D2147" s="442">
        <v>2101</v>
      </c>
      <c r="E2147" s="442" t="s">
        <v>25</v>
      </c>
      <c r="F2147" s="442">
        <v>31050406</v>
      </c>
      <c r="G2147" s="442">
        <v>31050406</v>
      </c>
      <c r="H2147" s="442">
        <v>70950</v>
      </c>
      <c r="I2147" s="531">
        <v>50000010104</v>
      </c>
      <c r="J2147" s="277">
        <v>7416032.0319999987</v>
      </c>
      <c r="K2147" s="627"/>
      <c r="L2147" s="394"/>
      <c r="M2147" s="394" t="s">
        <v>5133</v>
      </c>
      <c r="N2147" s="277"/>
      <c r="O2147" s="478"/>
    </row>
    <row r="2148" spans="1:15" ht="66.75" customHeight="1" x14ac:dyDescent="0.35">
      <c r="A2148" s="319" t="s">
        <v>4537</v>
      </c>
      <c r="B2148" s="463" t="s">
        <v>1860</v>
      </c>
      <c r="C2148" s="442" t="s">
        <v>627</v>
      </c>
      <c r="D2148" s="442">
        <v>2101</v>
      </c>
      <c r="E2148" s="442" t="s">
        <v>25</v>
      </c>
      <c r="F2148" s="442">
        <v>31050406</v>
      </c>
      <c r="G2148" s="442">
        <v>31050406</v>
      </c>
      <c r="H2148" s="442">
        <v>70950</v>
      </c>
      <c r="I2148" s="531">
        <v>50000010104</v>
      </c>
      <c r="J2148" s="277">
        <v>7243109.6400000006</v>
      </c>
      <c r="K2148" s="627"/>
      <c r="L2148" s="394"/>
      <c r="M2148" s="394" t="s">
        <v>5133</v>
      </c>
      <c r="N2148" s="277"/>
      <c r="O2148" s="478"/>
    </row>
    <row r="2149" spans="1:15" ht="117.75" customHeight="1" x14ac:dyDescent="0.35">
      <c r="A2149" s="319" t="s">
        <v>4538</v>
      </c>
      <c r="B2149" s="463" t="s">
        <v>1861</v>
      </c>
      <c r="C2149" s="442">
        <v>106</v>
      </c>
      <c r="D2149" s="442">
        <v>2101</v>
      </c>
      <c r="E2149" s="442" t="s">
        <v>25</v>
      </c>
      <c r="F2149" s="442">
        <v>31050406</v>
      </c>
      <c r="G2149" s="442">
        <v>31050406</v>
      </c>
      <c r="H2149" s="442">
        <v>70912</v>
      </c>
      <c r="I2149" s="531">
        <v>50000010104</v>
      </c>
      <c r="J2149" s="277">
        <v>12643287.596000001</v>
      </c>
      <c r="K2149" s="627"/>
      <c r="L2149" s="394"/>
      <c r="M2149" s="394" t="s">
        <v>5133</v>
      </c>
      <c r="N2149" s="277"/>
      <c r="O2149" s="478"/>
    </row>
    <row r="2150" spans="1:15" ht="73.5" customHeight="1" x14ac:dyDescent="0.35">
      <c r="A2150" s="319" t="s">
        <v>4539</v>
      </c>
      <c r="B2150" s="463" t="s">
        <v>1862</v>
      </c>
      <c r="C2150" s="442" t="s">
        <v>816</v>
      </c>
      <c r="D2150" s="442">
        <v>2101</v>
      </c>
      <c r="E2150" s="442" t="s">
        <v>25</v>
      </c>
      <c r="F2150" s="442">
        <v>23030103</v>
      </c>
      <c r="G2150" s="442">
        <v>23030103</v>
      </c>
      <c r="H2150" s="442">
        <v>70950</v>
      </c>
      <c r="I2150" s="531">
        <v>50000010104</v>
      </c>
      <c r="J2150" s="277">
        <v>24503847.175999999</v>
      </c>
      <c r="K2150" s="627"/>
      <c r="L2150" s="394"/>
      <c r="M2150" s="394" t="s">
        <v>5133</v>
      </c>
      <c r="N2150" s="277"/>
      <c r="O2150" s="478"/>
    </row>
    <row r="2151" spans="1:15" ht="102" customHeight="1" x14ac:dyDescent="0.35">
      <c r="A2151" s="319" t="s">
        <v>4540</v>
      </c>
      <c r="B2151" s="463" t="s">
        <v>1863</v>
      </c>
      <c r="C2151" s="442">
        <v>106</v>
      </c>
      <c r="D2151" s="442">
        <v>2101</v>
      </c>
      <c r="E2151" s="442" t="s">
        <v>25</v>
      </c>
      <c r="F2151" s="442">
        <v>23030103</v>
      </c>
      <c r="G2151" s="442">
        <v>23030103</v>
      </c>
      <c r="H2151" s="442">
        <v>70950</v>
      </c>
      <c r="I2151" s="531">
        <v>50000010104</v>
      </c>
      <c r="J2151" s="277">
        <v>53969425.859999999</v>
      </c>
      <c r="K2151" s="627"/>
      <c r="L2151" s="394"/>
      <c r="M2151" s="394" t="s">
        <v>5133</v>
      </c>
      <c r="N2151" s="277"/>
      <c r="O2151" s="478"/>
    </row>
    <row r="2152" spans="1:15" ht="118.5" customHeight="1" x14ac:dyDescent="0.35">
      <c r="A2152" s="319" t="s">
        <v>4541</v>
      </c>
      <c r="B2152" s="463" t="s">
        <v>1865</v>
      </c>
      <c r="C2152" s="442" t="s">
        <v>896</v>
      </c>
      <c r="D2152" s="442">
        <v>2101</v>
      </c>
      <c r="E2152" s="442" t="s">
        <v>25</v>
      </c>
      <c r="F2152" s="442">
        <v>31050406</v>
      </c>
      <c r="G2152" s="442">
        <v>31050406</v>
      </c>
      <c r="H2152" s="442">
        <v>70950</v>
      </c>
      <c r="I2152" s="531">
        <v>50000010104</v>
      </c>
      <c r="J2152" s="277">
        <v>15707797.803999998</v>
      </c>
      <c r="K2152" s="627"/>
      <c r="L2152" s="394"/>
      <c r="M2152" s="394" t="s">
        <v>5133</v>
      </c>
      <c r="N2152" s="277"/>
      <c r="O2152" s="478"/>
    </row>
    <row r="2153" spans="1:15" ht="55.5" customHeight="1" x14ac:dyDescent="0.35">
      <c r="A2153" s="319" t="s">
        <v>4542</v>
      </c>
      <c r="B2153" s="463" t="s">
        <v>1866</v>
      </c>
      <c r="C2153" s="442" t="s">
        <v>650</v>
      </c>
      <c r="D2153" s="442">
        <v>2101</v>
      </c>
      <c r="E2153" s="442" t="s">
        <v>25</v>
      </c>
      <c r="F2153" s="442">
        <v>31050406</v>
      </c>
      <c r="G2153" s="442">
        <v>31050406</v>
      </c>
      <c r="H2153" s="442">
        <v>70950</v>
      </c>
      <c r="I2153" s="531">
        <v>50000010104</v>
      </c>
      <c r="J2153" s="277">
        <v>473473.31600000005</v>
      </c>
      <c r="K2153" s="627"/>
      <c r="L2153" s="394"/>
      <c r="M2153" s="394" t="s">
        <v>5133</v>
      </c>
      <c r="N2153" s="277"/>
      <c r="O2153" s="478"/>
    </row>
    <row r="2154" spans="1:15" ht="77.25" customHeight="1" x14ac:dyDescent="0.35">
      <c r="A2154" s="319" t="s">
        <v>4543</v>
      </c>
      <c r="B2154" s="463" t="s">
        <v>1867</v>
      </c>
      <c r="C2154" s="442" t="s">
        <v>650</v>
      </c>
      <c r="D2154" s="442">
        <v>2101</v>
      </c>
      <c r="E2154" s="442" t="s">
        <v>25</v>
      </c>
      <c r="F2154" s="442">
        <v>31050406</v>
      </c>
      <c r="G2154" s="442">
        <v>31050406</v>
      </c>
      <c r="H2154" s="442">
        <v>70912</v>
      </c>
      <c r="I2154" s="531">
        <v>50000010104</v>
      </c>
      <c r="J2154" s="277">
        <v>24816146.236000001</v>
      </c>
      <c r="K2154" s="627"/>
      <c r="L2154" s="394"/>
      <c r="M2154" s="394" t="s">
        <v>5133</v>
      </c>
      <c r="N2154" s="277"/>
      <c r="O2154" s="478"/>
    </row>
    <row r="2155" spans="1:15" ht="72.75" customHeight="1" x14ac:dyDescent="0.35">
      <c r="A2155" s="319" t="s">
        <v>4544</v>
      </c>
      <c r="B2155" s="463" t="s">
        <v>1868</v>
      </c>
      <c r="C2155" s="442" t="s">
        <v>1857</v>
      </c>
      <c r="D2155" s="442">
        <v>2101</v>
      </c>
      <c r="E2155" s="442" t="s">
        <v>25</v>
      </c>
      <c r="F2155" s="442">
        <v>31050406</v>
      </c>
      <c r="G2155" s="442">
        <v>31050406</v>
      </c>
      <c r="H2155" s="442">
        <v>70912</v>
      </c>
      <c r="I2155" s="531">
        <v>50000010104</v>
      </c>
      <c r="J2155" s="277">
        <v>19926864</v>
      </c>
      <c r="K2155" s="627"/>
      <c r="L2155" s="394"/>
      <c r="M2155" s="394" t="s">
        <v>5133</v>
      </c>
      <c r="N2155" s="277"/>
      <c r="O2155" s="478"/>
    </row>
    <row r="2156" spans="1:15" ht="70.5" customHeight="1" x14ac:dyDescent="0.35">
      <c r="A2156" s="319" t="s">
        <v>4545</v>
      </c>
      <c r="B2156" s="463" t="s">
        <v>1869</v>
      </c>
      <c r="C2156" s="442" t="s">
        <v>1857</v>
      </c>
      <c r="D2156" s="442">
        <v>2101</v>
      </c>
      <c r="E2156" s="442" t="s">
        <v>25</v>
      </c>
      <c r="F2156" s="442">
        <v>31050406</v>
      </c>
      <c r="G2156" s="442">
        <v>31050406</v>
      </c>
      <c r="H2156" s="442">
        <v>70912</v>
      </c>
      <c r="I2156" s="531">
        <v>50000010104</v>
      </c>
      <c r="J2156" s="277">
        <v>29963520</v>
      </c>
      <c r="K2156" s="627"/>
      <c r="L2156" s="394"/>
      <c r="M2156" s="394" t="s">
        <v>5133</v>
      </c>
      <c r="N2156" s="277"/>
      <c r="O2156" s="478"/>
    </row>
    <row r="2157" spans="1:15" ht="33.75" customHeight="1" x14ac:dyDescent="0.35">
      <c r="A2157" s="319" t="s">
        <v>4546</v>
      </c>
      <c r="B2157" s="463" t="s">
        <v>4835</v>
      </c>
      <c r="C2157" s="442" t="s">
        <v>650</v>
      </c>
      <c r="D2157" s="442">
        <v>2101</v>
      </c>
      <c r="E2157" s="442" t="s">
        <v>25</v>
      </c>
      <c r="F2157" s="442">
        <v>31050406</v>
      </c>
      <c r="G2157" s="442">
        <v>31050406</v>
      </c>
      <c r="H2157" s="442">
        <v>70912</v>
      </c>
      <c r="I2157" s="531">
        <v>50000010104</v>
      </c>
      <c r="J2157" s="277">
        <v>600000000</v>
      </c>
      <c r="K2157" s="627">
        <f>2500000000+100000000-500000000</f>
        <v>2100000000</v>
      </c>
      <c r="L2157" s="394"/>
      <c r="M2157" s="394" t="s">
        <v>5133</v>
      </c>
      <c r="N2157" s="277"/>
      <c r="O2157" s="478"/>
    </row>
    <row r="2158" spans="1:15" ht="90" customHeight="1" x14ac:dyDescent="0.35">
      <c r="A2158" s="319" t="s">
        <v>4547</v>
      </c>
      <c r="B2158" s="463" t="s">
        <v>4836</v>
      </c>
      <c r="C2158" s="442" t="s">
        <v>650</v>
      </c>
      <c r="D2158" s="442">
        <v>2101</v>
      </c>
      <c r="E2158" s="442" t="s">
        <v>25</v>
      </c>
      <c r="F2158" s="442">
        <v>31050406</v>
      </c>
      <c r="G2158" s="442">
        <v>31050406</v>
      </c>
      <c r="H2158" s="442">
        <v>70912</v>
      </c>
      <c r="I2158" s="531">
        <v>50000010104</v>
      </c>
      <c r="J2158" s="277">
        <v>4309819.88</v>
      </c>
      <c r="K2158" s="627"/>
      <c r="L2158" s="394"/>
      <c r="M2158" s="394" t="s">
        <v>5133</v>
      </c>
      <c r="N2158" s="277"/>
      <c r="O2158" s="478"/>
    </row>
    <row r="2159" spans="1:15" ht="134.25" customHeight="1" x14ac:dyDescent="0.35">
      <c r="A2159" s="319" t="s">
        <v>4548</v>
      </c>
      <c r="B2159" s="463" t="s">
        <v>4837</v>
      </c>
      <c r="C2159" s="442" t="s">
        <v>896</v>
      </c>
      <c r="D2159" s="442">
        <v>2101</v>
      </c>
      <c r="E2159" s="442" t="s">
        <v>25</v>
      </c>
      <c r="F2159" s="442">
        <v>31050406</v>
      </c>
      <c r="G2159" s="442">
        <v>31050406</v>
      </c>
      <c r="H2159" s="442">
        <v>70950</v>
      </c>
      <c r="I2159" s="531">
        <v>50000010104</v>
      </c>
      <c r="J2159" s="277">
        <v>6549847.6600000001</v>
      </c>
      <c r="K2159" s="627"/>
      <c r="L2159" s="394"/>
      <c r="M2159" s="394" t="s">
        <v>5133</v>
      </c>
      <c r="N2159" s="277"/>
      <c r="O2159" s="478"/>
    </row>
    <row r="2160" spans="1:15" ht="102" customHeight="1" x14ac:dyDescent="0.35">
      <c r="A2160" s="319" t="s">
        <v>4549</v>
      </c>
      <c r="B2160" s="463" t="s">
        <v>4838</v>
      </c>
      <c r="C2160" s="442" t="s">
        <v>650</v>
      </c>
      <c r="D2160" s="442">
        <v>2101</v>
      </c>
      <c r="E2160" s="442" t="s">
        <v>25</v>
      </c>
      <c r="F2160" s="442">
        <v>31050406</v>
      </c>
      <c r="G2160" s="442">
        <v>31050406</v>
      </c>
      <c r="H2160" s="442">
        <v>70912</v>
      </c>
      <c r="I2160" s="531">
        <v>50000010104</v>
      </c>
      <c r="J2160" s="277">
        <v>49775000</v>
      </c>
      <c r="K2160" s="627"/>
      <c r="L2160" s="394"/>
      <c r="M2160" s="394" t="s">
        <v>5133</v>
      </c>
      <c r="N2160" s="277"/>
      <c r="O2160" s="478"/>
    </row>
    <row r="2161" spans="1:15" ht="171.75" customHeight="1" x14ac:dyDescent="0.35">
      <c r="A2161" s="319" t="s">
        <v>4550</v>
      </c>
      <c r="B2161" s="463" t="s">
        <v>4839</v>
      </c>
      <c r="C2161" s="442" t="s">
        <v>650</v>
      </c>
      <c r="D2161" s="442">
        <v>2101</v>
      </c>
      <c r="E2161" s="442" t="s">
        <v>25</v>
      </c>
      <c r="F2161" s="442">
        <v>31050406</v>
      </c>
      <c r="G2161" s="442">
        <v>31050406</v>
      </c>
      <c r="H2161" s="442">
        <v>70912</v>
      </c>
      <c r="I2161" s="531">
        <v>50000010104</v>
      </c>
      <c r="J2161" s="277">
        <v>7357157.5999999996</v>
      </c>
      <c r="K2161" s="627"/>
      <c r="L2161" s="394"/>
      <c r="M2161" s="394" t="s">
        <v>5133</v>
      </c>
      <c r="N2161" s="277"/>
      <c r="O2161" s="478"/>
    </row>
    <row r="2162" spans="1:15" ht="146.25" customHeight="1" x14ac:dyDescent="0.35">
      <c r="A2162" s="319" t="s">
        <v>4551</v>
      </c>
      <c r="B2162" s="463" t="s">
        <v>4840</v>
      </c>
      <c r="C2162" s="442" t="s">
        <v>896</v>
      </c>
      <c r="D2162" s="442">
        <v>2101</v>
      </c>
      <c r="E2162" s="442" t="s">
        <v>25</v>
      </c>
      <c r="F2162" s="442">
        <v>31050406</v>
      </c>
      <c r="G2162" s="442">
        <v>31050406</v>
      </c>
      <c r="H2162" s="442">
        <v>70950</v>
      </c>
      <c r="I2162" s="531">
        <v>50000010104</v>
      </c>
      <c r="J2162" s="277">
        <f>57159303.59-15000000</f>
        <v>42159303.590000004</v>
      </c>
      <c r="K2162" s="627"/>
      <c r="L2162" s="394"/>
      <c r="M2162" s="394" t="s">
        <v>5133</v>
      </c>
      <c r="N2162" s="277"/>
      <c r="O2162" s="478"/>
    </row>
    <row r="2163" spans="1:15" ht="95.25" customHeight="1" x14ac:dyDescent="0.35">
      <c r="A2163" s="319" t="s">
        <v>4552</v>
      </c>
      <c r="B2163" s="463" t="s">
        <v>4841</v>
      </c>
      <c r="C2163" s="442" t="s">
        <v>896</v>
      </c>
      <c r="D2163" s="442">
        <v>2101</v>
      </c>
      <c r="E2163" s="442" t="s">
        <v>25</v>
      </c>
      <c r="F2163" s="442">
        <v>31050406</v>
      </c>
      <c r="G2163" s="442">
        <v>31050406</v>
      </c>
      <c r="H2163" s="442">
        <v>70950</v>
      </c>
      <c r="I2163" s="531">
        <v>50000010104</v>
      </c>
      <c r="J2163" s="277">
        <f>36756917.1+100845</f>
        <v>36857762.100000001</v>
      </c>
      <c r="K2163" s="627"/>
      <c r="L2163" s="394"/>
      <c r="M2163" s="394" t="s">
        <v>5133</v>
      </c>
      <c r="N2163" s="277"/>
      <c r="O2163" s="478"/>
    </row>
    <row r="2164" spans="1:15" ht="160.5" customHeight="1" x14ac:dyDescent="0.35">
      <c r="A2164" s="319" t="s">
        <v>4553</v>
      </c>
      <c r="B2164" s="463" t="s">
        <v>4842</v>
      </c>
      <c r="C2164" s="442" t="s">
        <v>650</v>
      </c>
      <c r="D2164" s="442">
        <v>2101</v>
      </c>
      <c r="E2164" s="442" t="s">
        <v>25</v>
      </c>
      <c r="F2164" s="442">
        <v>31050406</v>
      </c>
      <c r="G2164" s="442">
        <v>31050406</v>
      </c>
      <c r="H2164" s="442">
        <v>70912</v>
      </c>
      <c r="I2164" s="531">
        <v>50000010104</v>
      </c>
      <c r="J2164" s="277">
        <v>8000000</v>
      </c>
      <c r="K2164" s="627"/>
      <c r="L2164" s="394"/>
      <c r="M2164" s="394" t="s">
        <v>5133</v>
      </c>
      <c r="N2164" s="277"/>
      <c r="O2164" s="478"/>
    </row>
    <row r="2165" spans="1:15" ht="132.75" customHeight="1" x14ac:dyDescent="0.35">
      <c r="A2165" s="319" t="s">
        <v>4554</v>
      </c>
      <c r="B2165" s="463" t="s">
        <v>4856</v>
      </c>
      <c r="C2165" s="442" t="s">
        <v>896</v>
      </c>
      <c r="D2165" s="442">
        <v>2101</v>
      </c>
      <c r="E2165" s="442" t="s">
        <v>25</v>
      </c>
      <c r="F2165" s="442">
        <v>31050406</v>
      </c>
      <c r="G2165" s="442">
        <v>31050406</v>
      </c>
      <c r="H2165" s="442">
        <v>70950</v>
      </c>
      <c r="I2165" s="531">
        <v>50000010104</v>
      </c>
      <c r="J2165" s="277">
        <v>34991109.640000001</v>
      </c>
      <c r="K2165" s="627"/>
      <c r="L2165" s="394"/>
      <c r="M2165" s="394" t="s">
        <v>5133</v>
      </c>
      <c r="N2165" s="277"/>
      <c r="O2165" s="478"/>
    </row>
    <row r="2166" spans="1:15" ht="94.5" customHeight="1" x14ac:dyDescent="0.35">
      <c r="A2166" s="319" t="s">
        <v>4555</v>
      </c>
      <c r="B2166" s="463" t="s">
        <v>4843</v>
      </c>
      <c r="C2166" s="442" t="s">
        <v>650</v>
      </c>
      <c r="D2166" s="442">
        <v>2101</v>
      </c>
      <c r="E2166" s="442" t="s">
        <v>25</v>
      </c>
      <c r="F2166" s="442">
        <v>31050406</v>
      </c>
      <c r="G2166" s="442">
        <v>31050406</v>
      </c>
      <c r="H2166" s="442">
        <v>70912</v>
      </c>
      <c r="I2166" s="531">
        <v>50000010104</v>
      </c>
      <c r="J2166" s="277">
        <v>50000000</v>
      </c>
      <c r="K2166" s="627"/>
      <c r="L2166" s="394"/>
      <c r="M2166" s="394" t="s">
        <v>5133</v>
      </c>
      <c r="N2166" s="277"/>
      <c r="O2166" s="478"/>
    </row>
    <row r="2167" spans="1:15" ht="72" customHeight="1" x14ac:dyDescent="0.35">
      <c r="A2167" s="319" t="s">
        <v>4556</v>
      </c>
      <c r="B2167" s="463" t="s">
        <v>4859</v>
      </c>
      <c r="C2167" s="442" t="s">
        <v>1857</v>
      </c>
      <c r="D2167" s="442">
        <v>2101</v>
      </c>
      <c r="E2167" s="442" t="s">
        <v>25</v>
      </c>
      <c r="F2167" s="442">
        <v>31050406</v>
      </c>
      <c r="G2167" s="442">
        <v>31050406</v>
      </c>
      <c r="H2167" s="442">
        <v>70912</v>
      </c>
      <c r="I2167" s="531">
        <v>50000010104</v>
      </c>
      <c r="J2167" s="277">
        <v>90000000</v>
      </c>
      <c r="K2167" s="627"/>
      <c r="L2167" s="394"/>
      <c r="M2167" s="394" t="s">
        <v>5133</v>
      </c>
      <c r="N2167" s="277"/>
      <c r="O2167" s="478"/>
    </row>
    <row r="2168" spans="1:15" ht="54" customHeight="1" x14ac:dyDescent="0.35">
      <c r="A2168" s="319" t="s">
        <v>4557</v>
      </c>
      <c r="B2168" s="463" t="s">
        <v>3465</v>
      </c>
      <c r="C2168" s="442" t="s">
        <v>1857</v>
      </c>
      <c r="D2168" s="442">
        <v>2101</v>
      </c>
      <c r="E2168" s="442" t="s">
        <v>25</v>
      </c>
      <c r="F2168" s="442">
        <v>31050406</v>
      </c>
      <c r="G2168" s="442">
        <v>31050406</v>
      </c>
      <c r="H2168" s="442">
        <v>70912</v>
      </c>
      <c r="I2168" s="531">
        <v>50000010104</v>
      </c>
      <c r="J2168" s="277">
        <v>500000000</v>
      </c>
      <c r="K2168" s="627"/>
      <c r="L2168" s="394"/>
      <c r="M2168" s="394" t="s">
        <v>5133</v>
      </c>
      <c r="N2168" s="277">
        <v>150000000</v>
      </c>
      <c r="O2168" s="478"/>
    </row>
    <row r="2169" spans="1:15" ht="72" customHeight="1" x14ac:dyDescent="0.35">
      <c r="A2169" s="319" t="s">
        <v>4558</v>
      </c>
      <c r="B2169" s="463" t="s">
        <v>4694</v>
      </c>
      <c r="C2169" s="442" t="s">
        <v>1857</v>
      </c>
      <c r="D2169" s="442">
        <v>2101</v>
      </c>
      <c r="E2169" s="442" t="s">
        <v>25</v>
      </c>
      <c r="F2169" s="442">
        <v>31050406</v>
      </c>
      <c r="G2169" s="442">
        <v>31050406</v>
      </c>
      <c r="H2169" s="442">
        <v>70912</v>
      </c>
      <c r="I2169" s="531">
        <v>50000010104</v>
      </c>
      <c r="J2169" s="277">
        <v>500000000</v>
      </c>
      <c r="K2169" s="627">
        <v>200000000</v>
      </c>
      <c r="L2169" s="394"/>
      <c r="M2169" s="394" t="s">
        <v>5133</v>
      </c>
      <c r="N2169" s="277"/>
      <c r="O2169" s="478"/>
    </row>
    <row r="2170" spans="1:15" ht="80.25" customHeight="1" x14ac:dyDescent="0.35">
      <c r="A2170" s="319" t="s">
        <v>4559</v>
      </c>
      <c r="B2170" s="463" t="s">
        <v>4695</v>
      </c>
      <c r="C2170" s="442" t="s">
        <v>650</v>
      </c>
      <c r="D2170" s="442">
        <v>2101</v>
      </c>
      <c r="E2170" s="442" t="s">
        <v>25</v>
      </c>
      <c r="F2170" s="442">
        <v>31050406</v>
      </c>
      <c r="G2170" s="442">
        <v>31050406</v>
      </c>
      <c r="H2170" s="442">
        <v>70950</v>
      </c>
      <c r="I2170" s="531">
        <v>50000010104</v>
      </c>
      <c r="J2170" s="277">
        <v>500000000</v>
      </c>
      <c r="K2170" s="627"/>
      <c r="L2170" s="394"/>
      <c r="M2170" s="394" t="s">
        <v>5133</v>
      </c>
      <c r="N2170" s="277"/>
      <c r="O2170" s="478"/>
    </row>
    <row r="2171" spans="1:15" ht="54.75" customHeight="1" x14ac:dyDescent="0.35">
      <c r="A2171" s="319" t="s">
        <v>4844</v>
      </c>
      <c r="B2171" s="463" t="s">
        <v>5101</v>
      </c>
      <c r="C2171" s="442">
        <v>108</v>
      </c>
      <c r="D2171" s="442">
        <v>2101</v>
      </c>
      <c r="E2171" s="442" t="s">
        <v>25</v>
      </c>
      <c r="F2171" s="442">
        <v>23030103</v>
      </c>
      <c r="G2171" s="442">
        <v>23030103</v>
      </c>
      <c r="H2171" s="442">
        <v>70950</v>
      </c>
      <c r="I2171" s="531">
        <v>50000010104</v>
      </c>
      <c r="J2171" s="277">
        <f>1965375267+44867953</f>
        <v>2010243220</v>
      </c>
      <c r="K2171" s="627">
        <f>442017393+500000000+500000000</f>
        <v>1442017393</v>
      </c>
      <c r="L2171" s="627">
        <f>442017393+500000000+500000000</f>
        <v>1442017393</v>
      </c>
      <c r="M2171" s="394" t="s">
        <v>5123</v>
      </c>
      <c r="N2171" s="277">
        <v>3448500000</v>
      </c>
      <c r="O2171" s="478"/>
    </row>
    <row r="2172" spans="1:15" ht="54" customHeight="1" x14ac:dyDescent="0.35">
      <c r="A2172" s="319" t="s">
        <v>4845</v>
      </c>
      <c r="B2172" s="463" t="s">
        <v>1914</v>
      </c>
      <c r="C2172" s="442" t="s">
        <v>1864</v>
      </c>
      <c r="D2172" s="442">
        <v>2101</v>
      </c>
      <c r="E2172" s="442" t="s">
        <v>25</v>
      </c>
      <c r="F2172" s="442">
        <v>23030103</v>
      </c>
      <c r="G2172" s="442">
        <v>23030103</v>
      </c>
      <c r="H2172" s="442">
        <v>70950</v>
      </c>
      <c r="I2172" s="531">
        <v>50000010104</v>
      </c>
      <c r="J2172" s="277">
        <v>235493603</v>
      </c>
      <c r="K2172" s="627"/>
      <c r="L2172" s="394"/>
      <c r="M2172" s="394" t="s">
        <v>5133</v>
      </c>
      <c r="N2172" s="277"/>
      <c r="O2172" s="478"/>
    </row>
    <row r="2173" spans="1:15" ht="36" customHeight="1" x14ac:dyDescent="0.35">
      <c r="A2173" s="319" t="s">
        <v>4846</v>
      </c>
      <c r="B2173" s="463" t="s">
        <v>1900</v>
      </c>
      <c r="C2173" s="442" t="s">
        <v>800</v>
      </c>
      <c r="D2173" s="442">
        <v>2101</v>
      </c>
      <c r="E2173" s="442" t="s">
        <v>25</v>
      </c>
      <c r="F2173" s="442">
        <v>31050406</v>
      </c>
      <c r="G2173" s="442">
        <v>31050406</v>
      </c>
      <c r="H2173" s="442">
        <v>70912</v>
      </c>
      <c r="I2173" s="531">
        <v>50000010104</v>
      </c>
      <c r="J2173" s="277">
        <v>700000000</v>
      </c>
      <c r="K2173" s="627">
        <v>700000000</v>
      </c>
      <c r="L2173" s="627">
        <v>700000000</v>
      </c>
      <c r="M2173" s="394" t="s">
        <v>5123</v>
      </c>
      <c r="N2173" s="277">
        <v>900000000</v>
      </c>
      <c r="O2173" s="478"/>
    </row>
    <row r="2174" spans="1:15" ht="36" customHeight="1" x14ac:dyDescent="0.35">
      <c r="A2174" s="319" t="s">
        <v>4847</v>
      </c>
      <c r="B2174" s="463" t="s">
        <v>4616</v>
      </c>
      <c r="C2174" s="442">
        <v>426</v>
      </c>
      <c r="D2174" s="442">
        <v>2101</v>
      </c>
      <c r="E2174" s="532" t="s">
        <v>25</v>
      </c>
      <c r="F2174" s="169">
        <v>22020311</v>
      </c>
      <c r="G2174" s="169">
        <v>22020311</v>
      </c>
      <c r="H2174" s="167">
        <v>70950</v>
      </c>
      <c r="I2174" s="142" t="s">
        <v>792</v>
      </c>
      <c r="J2174" s="277">
        <f>'CAP LIMIT'!C72</f>
        <v>2000000000</v>
      </c>
      <c r="K2174" s="627">
        <v>0</v>
      </c>
      <c r="L2174" s="394"/>
      <c r="M2174" s="394" t="s">
        <v>5133</v>
      </c>
      <c r="N2174" s="277">
        <v>500000000</v>
      </c>
      <c r="O2174" s="478"/>
    </row>
    <row r="2175" spans="1:15" ht="36" customHeight="1" x14ac:dyDescent="0.35">
      <c r="A2175" s="319" t="s">
        <v>4848</v>
      </c>
      <c r="B2175" s="463" t="s">
        <v>3479</v>
      </c>
      <c r="C2175" s="442">
        <v>426</v>
      </c>
      <c r="D2175" s="442">
        <v>2101</v>
      </c>
      <c r="E2175" s="532" t="s">
        <v>25</v>
      </c>
      <c r="F2175" s="169">
        <v>22020311</v>
      </c>
      <c r="G2175" s="169">
        <v>22020311</v>
      </c>
      <c r="H2175" s="167">
        <v>70950</v>
      </c>
      <c r="I2175" s="142" t="s">
        <v>792</v>
      </c>
      <c r="J2175" s="277">
        <f>'CAP LIMIT'!C73</f>
        <v>3000000000</v>
      </c>
      <c r="K2175" s="627">
        <v>3000000000</v>
      </c>
      <c r="L2175" s="394"/>
      <c r="M2175" s="394" t="s">
        <v>5133</v>
      </c>
      <c r="N2175" s="277">
        <v>3100000000</v>
      </c>
      <c r="O2175" s="478"/>
    </row>
    <row r="2176" spans="1:15" ht="36" customHeight="1" x14ac:dyDescent="0.35">
      <c r="A2176" s="319" t="s">
        <v>4849</v>
      </c>
      <c r="B2176" s="463" t="s">
        <v>1892</v>
      </c>
      <c r="C2176" s="442">
        <v>325</v>
      </c>
      <c r="D2176" s="442">
        <v>2101</v>
      </c>
      <c r="E2176" s="442" t="s">
        <v>25</v>
      </c>
      <c r="F2176" s="442">
        <v>31050406</v>
      </c>
      <c r="G2176" s="442">
        <v>31050406</v>
      </c>
      <c r="H2176" s="442">
        <v>70912</v>
      </c>
      <c r="I2176" s="531">
        <v>50000010104</v>
      </c>
      <c r="J2176" s="277">
        <v>20000000</v>
      </c>
      <c r="K2176" s="627"/>
      <c r="L2176" s="394"/>
      <c r="M2176" s="394" t="s">
        <v>5133</v>
      </c>
      <c r="N2176" s="277"/>
      <c r="O2176" s="478"/>
    </row>
    <row r="2177" spans="1:16" ht="36" customHeight="1" x14ac:dyDescent="0.35">
      <c r="A2177" s="319" t="s">
        <v>4850</v>
      </c>
      <c r="B2177" s="463" t="s">
        <v>1870</v>
      </c>
      <c r="C2177" s="442">
        <v>325</v>
      </c>
      <c r="D2177" s="442">
        <v>2101</v>
      </c>
      <c r="E2177" s="442" t="s">
        <v>25</v>
      </c>
      <c r="F2177" s="442">
        <v>23030103</v>
      </c>
      <c r="G2177" s="442">
        <v>23030103</v>
      </c>
      <c r="H2177" s="442">
        <v>70950</v>
      </c>
      <c r="I2177" s="531">
        <v>50000010104</v>
      </c>
      <c r="J2177" s="277">
        <v>15000000</v>
      </c>
      <c r="K2177" s="627"/>
      <c r="L2177" s="394"/>
      <c r="M2177" s="394" t="s">
        <v>5133</v>
      </c>
      <c r="N2177" s="277">
        <v>15000000</v>
      </c>
      <c r="O2177" s="478"/>
    </row>
    <row r="2178" spans="1:16" ht="36" customHeight="1" x14ac:dyDescent="0.35">
      <c r="A2178" s="319" t="s">
        <v>4851</v>
      </c>
      <c r="B2178" s="463" t="s">
        <v>102</v>
      </c>
      <c r="C2178" s="442">
        <v>200</v>
      </c>
      <c r="D2178" s="442">
        <v>2101</v>
      </c>
      <c r="E2178" s="442" t="s">
        <v>25</v>
      </c>
      <c r="F2178" s="442">
        <v>32010601</v>
      </c>
      <c r="G2178" s="442">
        <v>32010601</v>
      </c>
      <c r="H2178" s="442">
        <v>70950</v>
      </c>
      <c r="I2178" s="531">
        <v>220000010106</v>
      </c>
      <c r="J2178" s="277">
        <v>1000000</v>
      </c>
      <c r="K2178" s="627"/>
      <c r="L2178" s="394"/>
      <c r="M2178" s="394" t="s">
        <v>5133</v>
      </c>
      <c r="N2178" s="277">
        <v>500000</v>
      </c>
      <c r="O2178" s="478"/>
    </row>
    <row r="2179" spans="1:16" ht="36" customHeight="1" x14ac:dyDescent="0.35">
      <c r="A2179" s="319" t="s">
        <v>4852</v>
      </c>
      <c r="B2179" s="463" t="s">
        <v>106</v>
      </c>
      <c r="C2179" s="442">
        <v>200</v>
      </c>
      <c r="D2179" s="442">
        <v>2101</v>
      </c>
      <c r="E2179" s="442" t="s">
        <v>25</v>
      </c>
      <c r="F2179" s="442">
        <v>32010601</v>
      </c>
      <c r="G2179" s="442">
        <v>32010601</v>
      </c>
      <c r="H2179" s="442">
        <v>70950</v>
      </c>
      <c r="I2179" s="531">
        <v>220000010106</v>
      </c>
      <c r="J2179" s="277">
        <v>5000000</v>
      </c>
      <c r="K2179" s="627"/>
      <c r="L2179" s="394"/>
      <c r="M2179" s="394" t="s">
        <v>5133</v>
      </c>
      <c r="N2179" s="277">
        <v>5000000</v>
      </c>
      <c r="O2179" s="478"/>
    </row>
    <row r="2180" spans="1:16" ht="36" customHeight="1" x14ac:dyDescent="0.35">
      <c r="A2180" s="319" t="s">
        <v>4853</v>
      </c>
      <c r="B2180" s="463" t="s">
        <v>57</v>
      </c>
      <c r="C2180" s="442">
        <v>426</v>
      </c>
      <c r="D2180" s="442">
        <v>2101</v>
      </c>
      <c r="E2180" s="442" t="s">
        <v>25</v>
      </c>
      <c r="F2180" s="442">
        <v>32010601</v>
      </c>
      <c r="G2180" s="442">
        <v>32010601</v>
      </c>
      <c r="H2180" s="442">
        <v>70950</v>
      </c>
      <c r="I2180" s="531">
        <v>220000010106</v>
      </c>
      <c r="J2180" s="277">
        <v>1500000</v>
      </c>
      <c r="K2180" s="627"/>
      <c r="L2180" s="394"/>
      <c r="M2180" s="394" t="s">
        <v>5133</v>
      </c>
      <c r="N2180" s="277">
        <v>1000000</v>
      </c>
      <c r="O2180" s="478"/>
    </row>
    <row r="2181" spans="1:16" ht="31.5" customHeight="1" x14ac:dyDescent="0.35">
      <c r="A2181" s="319" t="s">
        <v>4858</v>
      </c>
      <c r="B2181" s="463" t="s">
        <v>60</v>
      </c>
      <c r="C2181" s="442">
        <v>426</v>
      </c>
      <c r="D2181" s="442">
        <v>2101</v>
      </c>
      <c r="E2181" s="442" t="s">
        <v>25</v>
      </c>
      <c r="F2181" s="442">
        <v>23030103</v>
      </c>
      <c r="G2181" s="442">
        <v>23030103</v>
      </c>
      <c r="H2181" s="442">
        <v>70950</v>
      </c>
      <c r="I2181" s="142" t="s">
        <v>523</v>
      </c>
      <c r="J2181" s="277">
        <v>35000000</v>
      </c>
      <c r="K2181" s="655"/>
      <c r="L2181" s="394"/>
      <c r="M2181" s="394" t="s">
        <v>5133</v>
      </c>
      <c r="N2181" s="277">
        <v>30000000</v>
      </c>
      <c r="O2181" s="478"/>
    </row>
    <row r="2182" spans="1:16" ht="48.75" customHeight="1" x14ac:dyDescent="0.35">
      <c r="A2182" s="245"/>
      <c r="B2182" s="360" t="s">
        <v>1008</v>
      </c>
      <c r="C2182" s="188"/>
      <c r="D2182" s="171"/>
      <c r="E2182" s="273"/>
      <c r="F2182" s="257"/>
      <c r="G2182" s="258"/>
      <c r="H2182" s="171"/>
      <c r="I2182" s="275"/>
      <c r="J2182" s="533">
        <f>SUM(J1771:J2181)-19999999.6</f>
        <v>17442001961.002754</v>
      </c>
      <c r="K2182" s="533">
        <f>SUM(K1771:K2181)</f>
        <v>7442017393</v>
      </c>
      <c r="L2182" s="713"/>
      <c r="M2182" s="713"/>
      <c r="N2182" s="533">
        <f>SUM(N1771:N2181)</f>
        <v>11953017700.880001</v>
      </c>
      <c r="O2182" s="186" t="s">
        <v>1008</v>
      </c>
      <c r="P2182" s="231">
        <v>17442001961</v>
      </c>
    </row>
    <row r="2183" spans="1:16" s="247" customFormat="1" ht="37.5" customHeight="1" x14ac:dyDescent="0.35">
      <c r="A2183" s="286"/>
      <c r="B2183" s="492"/>
      <c r="C2183" s="282"/>
      <c r="D2183" s="283"/>
      <c r="E2183" s="284"/>
      <c r="F2183" s="283"/>
      <c r="G2183" s="284"/>
      <c r="H2183" s="283"/>
      <c r="I2183" s="284"/>
      <c r="J2183" s="285"/>
      <c r="K2183" s="628"/>
      <c r="L2183" s="706"/>
      <c r="M2183" s="706"/>
      <c r="N2183" s="285"/>
      <c r="O2183" s="286"/>
      <c r="P2183" s="246">
        <f>J2182-P2182</f>
        <v>2.75421142578125E-3</v>
      </c>
    </row>
    <row r="2184" spans="1:16" ht="30" customHeight="1" x14ac:dyDescent="0.35">
      <c r="A2184" s="357" t="s">
        <v>1871</v>
      </c>
      <c r="B2184" s="357"/>
      <c r="C2184" s="357"/>
      <c r="D2184" s="357"/>
      <c r="E2184" s="357"/>
      <c r="F2184" s="357"/>
      <c r="G2184" s="357"/>
      <c r="H2184" s="357"/>
      <c r="I2184" s="357"/>
      <c r="J2184" s="357"/>
      <c r="K2184" s="458"/>
      <c r="L2184" s="704"/>
      <c r="M2184" s="704"/>
      <c r="N2184" s="357"/>
      <c r="O2184" s="357"/>
    </row>
    <row r="2185" spans="1:16" ht="79.5" customHeight="1" x14ac:dyDescent="0.35">
      <c r="A2185" s="187" t="s">
        <v>1007</v>
      </c>
      <c r="B2185" s="360" t="s">
        <v>50</v>
      </c>
      <c r="C2185" s="175" t="s">
        <v>898</v>
      </c>
      <c r="D2185" s="188" t="s">
        <v>52</v>
      </c>
      <c r="E2185" s="232" t="s">
        <v>49</v>
      </c>
      <c r="F2185" s="188" t="s">
        <v>1</v>
      </c>
      <c r="G2185" s="187"/>
      <c r="H2185" s="175" t="s">
        <v>51</v>
      </c>
      <c r="I2185" s="187" t="s">
        <v>2</v>
      </c>
      <c r="J2185" s="189" t="s">
        <v>4862</v>
      </c>
      <c r="K2185" s="189" t="s">
        <v>5140</v>
      </c>
      <c r="L2185" s="623" t="s">
        <v>5132</v>
      </c>
      <c r="M2185" s="623" t="s">
        <v>5132</v>
      </c>
      <c r="N2185" s="189" t="s">
        <v>1006</v>
      </c>
      <c r="O2185" s="187" t="s">
        <v>48</v>
      </c>
    </row>
    <row r="2186" spans="1:16" s="235" customFormat="1" ht="44.25" customHeight="1" x14ac:dyDescent="0.35">
      <c r="A2186" s="360"/>
      <c r="B2186" s="360"/>
      <c r="C2186" s="175"/>
      <c r="D2186" s="257"/>
      <c r="E2186" s="273"/>
      <c r="F2186" s="257"/>
      <c r="G2186" s="176"/>
      <c r="H2186" s="171"/>
      <c r="I2186" s="176"/>
      <c r="J2186" s="177"/>
      <c r="K2186" s="394"/>
      <c r="L2186" s="394"/>
      <c r="M2186" s="394" t="s">
        <v>5133</v>
      </c>
      <c r="N2186" s="177"/>
      <c r="O2186" s="178"/>
      <c r="P2186" s="234"/>
    </row>
    <row r="2187" spans="1:16" ht="46.5" x14ac:dyDescent="0.35">
      <c r="A2187" s="272" t="s">
        <v>1886</v>
      </c>
      <c r="B2187" s="348" t="s">
        <v>821</v>
      </c>
      <c r="C2187" s="165" t="s">
        <v>5</v>
      </c>
      <c r="D2187" s="141" t="s">
        <v>1873</v>
      </c>
      <c r="E2187" s="237" t="s">
        <v>1874</v>
      </c>
      <c r="F2187" s="163" t="s">
        <v>54</v>
      </c>
      <c r="G2187" s="169"/>
      <c r="H2187" s="141" t="s">
        <v>47</v>
      </c>
      <c r="I2187" s="142" t="s">
        <v>900</v>
      </c>
      <c r="J2187" s="144">
        <v>26750000</v>
      </c>
      <c r="K2187" s="655">
        <v>5000000</v>
      </c>
      <c r="L2187" s="394"/>
      <c r="M2187" s="394" t="s">
        <v>5133</v>
      </c>
      <c r="N2187" s="149">
        <v>22726000</v>
      </c>
      <c r="O2187" s="347" t="s">
        <v>821</v>
      </c>
      <c r="P2187" s="655">
        <v>42030678.949173436</v>
      </c>
    </row>
    <row r="2188" spans="1:16" ht="46.5" x14ac:dyDescent="0.35">
      <c r="A2188" s="272" t="s">
        <v>1887</v>
      </c>
      <c r="B2188" s="348" t="s">
        <v>211</v>
      </c>
      <c r="C2188" s="165" t="s">
        <v>5</v>
      </c>
      <c r="D2188" s="141" t="s">
        <v>4</v>
      </c>
      <c r="E2188" s="237" t="s">
        <v>820</v>
      </c>
      <c r="F2188" s="163" t="s">
        <v>62</v>
      </c>
      <c r="G2188" s="169"/>
      <c r="H2188" s="141" t="s">
        <v>47</v>
      </c>
      <c r="I2188" s="142" t="s">
        <v>904</v>
      </c>
      <c r="J2188" s="144">
        <v>20350000</v>
      </c>
      <c r="K2188" s="627">
        <v>16000000</v>
      </c>
      <c r="L2188" s="394"/>
      <c r="M2188" s="394" t="s">
        <v>5133</v>
      </c>
      <c r="N2188" s="149">
        <v>20350000</v>
      </c>
      <c r="O2188" s="347" t="s">
        <v>211</v>
      </c>
    </row>
    <row r="2189" spans="1:16" ht="22.5" customHeight="1" x14ac:dyDescent="0.35">
      <c r="A2189" s="272" t="s">
        <v>1888</v>
      </c>
      <c r="B2189" s="348" t="s">
        <v>180</v>
      </c>
      <c r="C2189" s="165" t="s">
        <v>5</v>
      </c>
      <c r="D2189" s="141" t="s">
        <v>4</v>
      </c>
      <c r="E2189" s="237" t="s">
        <v>820</v>
      </c>
      <c r="F2189" s="163" t="s">
        <v>999</v>
      </c>
      <c r="G2189" s="169"/>
      <c r="H2189" s="141" t="s">
        <v>47</v>
      </c>
      <c r="I2189" s="142" t="s">
        <v>902</v>
      </c>
      <c r="J2189" s="144">
        <v>42800000</v>
      </c>
      <c r="K2189" s="627">
        <v>9000000</v>
      </c>
      <c r="L2189" s="394"/>
      <c r="M2189" s="394" t="s">
        <v>5133</v>
      </c>
      <c r="N2189" s="149">
        <v>46824000</v>
      </c>
      <c r="O2189" s="347" t="s">
        <v>180</v>
      </c>
    </row>
    <row r="2190" spans="1:16" ht="24.75" customHeight="1" x14ac:dyDescent="0.35">
      <c r="A2190" s="272" t="s">
        <v>1889</v>
      </c>
      <c r="B2190" s="348" t="s">
        <v>822</v>
      </c>
      <c r="C2190" s="165" t="s">
        <v>5</v>
      </c>
      <c r="D2190" s="141" t="s">
        <v>4</v>
      </c>
      <c r="E2190" s="237" t="s">
        <v>820</v>
      </c>
      <c r="F2190" s="163" t="s">
        <v>147</v>
      </c>
      <c r="G2190" s="169"/>
      <c r="H2190" s="141" t="s">
        <v>47</v>
      </c>
      <c r="I2190" s="142" t="s">
        <v>148</v>
      </c>
      <c r="J2190" s="144">
        <v>6500000</v>
      </c>
      <c r="K2190" s="627">
        <v>2731994</v>
      </c>
      <c r="L2190" s="394"/>
      <c r="M2190" s="394" t="s">
        <v>5133</v>
      </c>
      <c r="N2190" s="149">
        <v>6500000</v>
      </c>
      <c r="O2190" s="347" t="s">
        <v>822</v>
      </c>
      <c r="P2190" s="231">
        <f>K2192-P2187</f>
        <v>-7785580.9491734356</v>
      </c>
    </row>
    <row r="2191" spans="1:16" ht="27.75" customHeight="1" x14ac:dyDescent="0.35">
      <c r="A2191" s="272" t="s">
        <v>1890</v>
      </c>
      <c r="B2191" s="348" t="s">
        <v>823</v>
      </c>
      <c r="C2191" s="165" t="s">
        <v>5</v>
      </c>
      <c r="D2191" s="141" t="s">
        <v>4</v>
      </c>
      <c r="E2191" s="237" t="s">
        <v>820</v>
      </c>
      <c r="F2191" s="163" t="s">
        <v>200</v>
      </c>
      <c r="G2191" s="169"/>
      <c r="H2191" s="141" t="s">
        <v>47</v>
      </c>
      <c r="I2191" s="142" t="s">
        <v>902</v>
      </c>
      <c r="J2191" s="144">
        <v>3600000</v>
      </c>
      <c r="K2191" s="144">
        <v>1513104</v>
      </c>
      <c r="L2191" s="394"/>
      <c r="M2191" s="394" t="s">
        <v>5133</v>
      </c>
      <c r="N2191" s="149">
        <v>3600000</v>
      </c>
      <c r="O2191" s="347" t="s">
        <v>823</v>
      </c>
    </row>
    <row r="2192" spans="1:16" ht="27" customHeight="1" x14ac:dyDescent="0.35">
      <c r="A2192" s="360"/>
      <c r="B2192" s="360" t="str">
        <f>B2182</f>
        <v>Total</v>
      </c>
      <c r="C2192" s="175"/>
      <c r="D2192" s="171"/>
      <c r="E2192" s="176"/>
      <c r="F2192" s="171"/>
      <c r="G2192" s="176"/>
      <c r="H2192" s="171"/>
      <c r="I2192" s="176"/>
      <c r="J2192" s="177">
        <f>SUM(J2187:J2191)</f>
        <v>100000000</v>
      </c>
      <c r="K2192" s="177">
        <f>SUM(K2187:K2191)</f>
        <v>34245098</v>
      </c>
      <c r="L2192" s="189"/>
      <c r="M2192" s="189"/>
      <c r="N2192" s="177">
        <f>SUM(N2187:N2191)</f>
        <v>100000000</v>
      </c>
      <c r="O2192" s="186" t="str">
        <f>O2182</f>
        <v>Total</v>
      </c>
    </row>
    <row r="2193" spans="1:16" ht="33.75" customHeight="1" x14ac:dyDescent="0.35">
      <c r="A2193" s="361"/>
      <c r="B2193" s="361"/>
      <c r="C2193" s="333"/>
      <c r="D2193" s="159"/>
      <c r="E2193" s="334"/>
      <c r="F2193" s="159"/>
      <c r="G2193" s="334"/>
      <c r="H2193" s="159"/>
      <c r="I2193" s="334"/>
      <c r="J2193" s="335"/>
      <c r="K2193" s="458"/>
      <c r="L2193" s="704"/>
      <c r="M2193" s="704"/>
      <c r="N2193" s="335"/>
      <c r="O2193" s="170"/>
    </row>
    <row r="2194" spans="1:16" ht="33.75" customHeight="1" x14ac:dyDescent="0.35">
      <c r="A2194" s="428" t="s">
        <v>1872</v>
      </c>
      <c r="B2194" s="583"/>
      <c r="C2194" s="429"/>
      <c r="D2194" s="430"/>
      <c r="E2194" s="494"/>
      <c r="F2194" s="430"/>
      <c r="G2194" s="494"/>
      <c r="H2194" s="430"/>
      <c r="I2194" s="494"/>
      <c r="J2194" s="495"/>
      <c r="K2194" s="458"/>
      <c r="L2194" s="704"/>
      <c r="M2194" s="704"/>
      <c r="N2194" s="495"/>
      <c r="O2194" s="357"/>
    </row>
    <row r="2195" spans="1:16" ht="87.75" customHeight="1" x14ac:dyDescent="0.35">
      <c r="A2195" s="187" t="s">
        <v>1007</v>
      </c>
      <c r="B2195" s="360" t="s">
        <v>50</v>
      </c>
      <c r="C2195" s="175" t="s">
        <v>898</v>
      </c>
      <c r="D2195" s="188" t="s">
        <v>52</v>
      </c>
      <c r="E2195" s="232" t="s">
        <v>49</v>
      </c>
      <c r="F2195" s="175" t="s">
        <v>1</v>
      </c>
      <c r="G2195" s="187"/>
      <c r="H2195" s="175" t="s">
        <v>51</v>
      </c>
      <c r="I2195" s="187" t="s">
        <v>2</v>
      </c>
      <c r="J2195" s="189" t="s">
        <v>4862</v>
      </c>
      <c r="K2195" s="189" t="s">
        <v>5140</v>
      </c>
      <c r="L2195" s="623" t="s">
        <v>5132</v>
      </c>
      <c r="M2195" s="623" t="s">
        <v>5132</v>
      </c>
      <c r="N2195" s="189" t="s">
        <v>1006</v>
      </c>
      <c r="O2195" s="187" t="s">
        <v>50</v>
      </c>
    </row>
    <row r="2196" spans="1:16" s="235" customFormat="1" ht="36.75" customHeight="1" x14ac:dyDescent="0.35">
      <c r="A2196" s="272" t="s">
        <v>1875</v>
      </c>
      <c r="B2196" s="348" t="s">
        <v>825</v>
      </c>
      <c r="C2196" s="165" t="s">
        <v>5</v>
      </c>
      <c r="D2196" s="141" t="s">
        <v>4</v>
      </c>
      <c r="E2196" s="237" t="s">
        <v>824</v>
      </c>
      <c r="F2196" s="163" t="s">
        <v>826</v>
      </c>
      <c r="G2196" s="169"/>
      <c r="H2196" s="141" t="s">
        <v>47</v>
      </c>
      <c r="I2196" s="142" t="s">
        <v>909</v>
      </c>
      <c r="J2196" s="144">
        <v>1500000000</v>
      </c>
      <c r="K2196" s="394">
        <v>1510604674</v>
      </c>
      <c r="L2196" s="394"/>
      <c r="M2196" s="394" t="s">
        <v>5133</v>
      </c>
      <c r="N2196" s="149">
        <v>2000000000</v>
      </c>
      <c r="O2196" s="347" t="s">
        <v>825</v>
      </c>
      <c r="P2196" s="234"/>
    </row>
    <row r="2197" spans="1:16" ht="45.75" customHeight="1" x14ac:dyDescent="0.35">
      <c r="A2197" s="272" t="s">
        <v>1876</v>
      </c>
      <c r="B2197" s="348" t="s">
        <v>1879</v>
      </c>
      <c r="C2197" s="165" t="s">
        <v>1074</v>
      </c>
      <c r="D2197" s="141" t="s">
        <v>4</v>
      </c>
      <c r="E2197" s="237" t="s">
        <v>824</v>
      </c>
      <c r="F2197" s="145" t="s">
        <v>1880</v>
      </c>
      <c r="G2197" s="169"/>
      <c r="H2197" s="141" t="s">
        <v>1883</v>
      </c>
      <c r="I2197" s="142" t="s">
        <v>909</v>
      </c>
      <c r="J2197" s="144">
        <v>15000000</v>
      </c>
      <c r="K2197" s="627"/>
      <c r="L2197" s="394"/>
      <c r="M2197" s="394" t="s">
        <v>5133</v>
      </c>
      <c r="N2197" s="149"/>
      <c r="O2197" s="347" t="s">
        <v>1879</v>
      </c>
    </row>
    <row r="2198" spans="1:16" ht="42.75" customHeight="1" x14ac:dyDescent="0.35">
      <c r="A2198" s="272" t="s">
        <v>1877</v>
      </c>
      <c r="B2198" s="348" t="s">
        <v>1884</v>
      </c>
      <c r="C2198" s="165" t="s">
        <v>1074</v>
      </c>
      <c r="D2198" s="141" t="s">
        <v>4</v>
      </c>
      <c r="E2198" s="237" t="s">
        <v>824</v>
      </c>
      <c r="F2198" s="145" t="s">
        <v>1882</v>
      </c>
      <c r="G2198" s="169"/>
      <c r="H2198" s="141" t="s">
        <v>1883</v>
      </c>
      <c r="I2198" s="142" t="s">
        <v>909</v>
      </c>
      <c r="J2198" s="144">
        <v>30000000</v>
      </c>
      <c r="K2198" s="627"/>
      <c r="L2198" s="394"/>
      <c r="M2198" s="394" t="s">
        <v>5133</v>
      </c>
      <c r="N2198" s="149"/>
      <c r="O2198" s="347" t="s">
        <v>1884</v>
      </c>
    </row>
    <row r="2199" spans="1:16" ht="27" customHeight="1" x14ac:dyDescent="0.35">
      <c r="A2199" s="272" t="s">
        <v>1878</v>
      </c>
      <c r="B2199" s="348" t="s">
        <v>96</v>
      </c>
      <c r="C2199" s="165" t="s">
        <v>1074</v>
      </c>
      <c r="D2199" s="141" t="s">
        <v>4</v>
      </c>
      <c r="E2199" s="237" t="s">
        <v>824</v>
      </c>
      <c r="F2199" s="145" t="s">
        <v>1881</v>
      </c>
      <c r="G2199" s="169"/>
      <c r="H2199" s="141" t="s">
        <v>1883</v>
      </c>
      <c r="I2199" s="142" t="s">
        <v>909</v>
      </c>
      <c r="J2199" s="144">
        <v>5000000</v>
      </c>
      <c r="K2199" s="627"/>
      <c r="L2199" s="394"/>
      <c r="M2199" s="394" t="s">
        <v>5133</v>
      </c>
      <c r="N2199" s="149"/>
      <c r="O2199" s="347" t="s">
        <v>96</v>
      </c>
    </row>
    <row r="2200" spans="1:16" ht="30.75" customHeight="1" x14ac:dyDescent="0.35">
      <c r="A2200" s="245"/>
      <c r="B2200" s="534" t="str">
        <f>B2192</f>
        <v>Total</v>
      </c>
      <c r="C2200" s="188"/>
      <c r="D2200" s="171"/>
      <c r="E2200" s="273"/>
      <c r="F2200" s="257"/>
      <c r="G2200" s="258"/>
      <c r="H2200" s="171"/>
      <c r="I2200" s="275"/>
      <c r="J2200" s="259">
        <f>SUM(J2196:J2199)</f>
        <v>1550000000</v>
      </c>
      <c r="K2200" s="259">
        <f>SUM(K2196:K2199)</f>
        <v>1510604674</v>
      </c>
      <c r="L2200" s="707"/>
      <c r="M2200" s="707"/>
      <c r="N2200" s="259">
        <f>SUM(N2196)</f>
        <v>2000000000</v>
      </c>
      <c r="O2200" s="439" t="str">
        <f>O2192</f>
        <v>Total</v>
      </c>
    </row>
    <row r="2201" spans="1:16" s="247" customFormat="1" ht="12.75" customHeight="1" x14ac:dyDescent="0.35">
      <c r="A2201" s="286"/>
      <c r="B2201" s="492"/>
      <c r="C2201" s="282"/>
      <c r="D2201" s="283"/>
      <c r="E2201" s="284"/>
      <c r="F2201" s="283"/>
      <c r="G2201" s="284"/>
      <c r="H2201" s="283"/>
      <c r="I2201" s="284"/>
      <c r="J2201" s="285"/>
      <c r="K2201" s="628"/>
      <c r="L2201" s="706"/>
      <c r="M2201" s="706"/>
      <c r="N2201" s="285"/>
      <c r="O2201" s="286"/>
      <c r="P2201" s="246"/>
    </row>
    <row r="2202" spans="1:16" ht="15.75" customHeight="1" x14ac:dyDescent="0.35">
      <c r="A2202" s="286"/>
      <c r="B2202" s="492"/>
      <c r="C2202" s="282"/>
      <c r="D2202" s="283"/>
      <c r="E2202" s="284"/>
      <c r="F2202" s="283"/>
      <c r="G2202" s="284"/>
      <c r="H2202" s="283"/>
      <c r="I2202" s="284"/>
      <c r="J2202" s="285"/>
      <c r="K2202" s="458"/>
      <c r="L2202" s="704"/>
      <c r="M2202" s="704"/>
      <c r="N2202" s="285"/>
      <c r="O2202" s="286"/>
    </row>
    <row r="2203" spans="1:16" ht="48.75" customHeight="1" x14ac:dyDescent="0.35">
      <c r="A2203" s="535" t="s">
        <v>3403</v>
      </c>
      <c r="B2203" s="592"/>
      <c r="C2203" s="429"/>
      <c r="D2203" s="430"/>
      <c r="E2203" s="536"/>
      <c r="F2203" s="430"/>
      <c r="G2203" s="536"/>
      <c r="H2203" s="430"/>
      <c r="I2203" s="536"/>
      <c r="J2203" s="495"/>
      <c r="K2203" s="458"/>
      <c r="L2203" s="704"/>
      <c r="M2203" s="704"/>
      <c r="N2203" s="495"/>
      <c r="O2203" s="440"/>
    </row>
    <row r="2204" spans="1:16" ht="98.25" customHeight="1" x14ac:dyDescent="0.35">
      <c r="A2204" s="187" t="s">
        <v>1007</v>
      </c>
      <c r="B2204" s="360" t="s">
        <v>50</v>
      </c>
      <c r="C2204" s="175" t="s">
        <v>898</v>
      </c>
      <c r="D2204" s="175" t="s">
        <v>52</v>
      </c>
      <c r="E2204" s="187" t="s">
        <v>49</v>
      </c>
      <c r="F2204" s="175" t="s">
        <v>1</v>
      </c>
      <c r="G2204" s="187"/>
      <c r="H2204" s="175" t="s">
        <v>51</v>
      </c>
      <c r="I2204" s="187" t="s">
        <v>2</v>
      </c>
      <c r="J2204" s="189" t="s">
        <v>4862</v>
      </c>
      <c r="K2204" s="189" t="s">
        <v>5140</v>
      </c>
      <c r="L2204" s="623" t="s">
        <v>5132</v>
      </c>
      <c r="M2204" s="623" t="s">
        <v>5132</v>
      </c>
      <c r="N2204" s="189" t="s">
        <v>1006</v>
      </c>
      <c r="O2204" s="178" t="s">
        <v>50</v>
      </c>
    </row>
    <row r="2205" spans="1:16" s="235" customFormat="1" ht="49.5" customHeight="1" x14ac:dyDescent="0.35">
      <c r="A2205" s="272" t="s">
        <v>1337</v>
      </c>
      <c r="B2205" s="348" t="s">
        <v>1427</v>
      </c>
      <c r="C2205" s="441" t="s">
        <v>411</v>
      </c>
      <c r="D2205" s="442" t="s">
        <v>4</v>
      </c>
      <c r="E2205" s="443" t="s">
        <v>917</v>
      </c>
      <c r="F2205" s="444" t="s">
        <v>2980</v>
      </c>
      <c r="G2205" s="443"/>
      <c r="H2205" s="442">
        <v>70980</v>
      </c>
      <c r="I2205" s="443" t="s">
        <v>523</v>
      </c>
      <c r="J2205" s="277">
        <v>25000000</v>
      </c>
      <c r="K2205" s="277">
        <v>100000000</v>
      </c>
      <c r="L2205" s="277">
        <v>100000000</v>
      </c>
      <c r="M2205" s="394" t="s">
        <v>5123</v>
      </c>
      <c r="N2205" s="277">
        <v>372872.08999999985</v>
      </c>
      <c r="O2205" s="347" t="s">
        <v>1427</v>
      </c>
      <c r="P2205" s="234"/>
    </row>
    <row r="2206" spans="1:16" ht="48" customHeight="1" x14ac:dyDescent="0.35">
      <c r="A2206" s="272" t="s">
        <v>1338</v>
      </c>
      <c r="B2206" s="348" t="s">
        <v>1428</v>
      </c>
      <c r="C2206" s="441" t="s">
        <v>615</v>
      </c>
      <c r="D2206" s="442" t="s">
        <v>4</v>
      </c>
      <c r="E2206" s="443" t="s">
        <v>917</v>
      </c>
      <c r="F2206" s="444" t="s">
        <v>2980</v>
      </c>
      <c r="G2206" s="443"/>
      <c r="H2206" s="442">
        <v>70980</v>
      </c>
      <c r="I2206" s="443" t="s">
        <v>523</v>
      </c>
      <c r="J2206" s="277">
        <v>30000000</v>
      </c>
      <c r="K2206" s="394">
        <v>20000000</v>
      </c>
      <c r="L2206" s="394"/>
      <c r="M2206" s="394" t="s">
        <v>5123</v>
      </c>
      <c r="N2206" s="277">
        <v>6349320.2399999984</v>
      </c>
      <c r="O2206" s="347" t="s">
        <v>1428</v>
      </c>
    </row>
    <row r="2207" spans="1:16" ht="54" customHeight="1" x14ac:dyDescent="0.35">
      <c r="A2207" s="272" t="s">
        <v>1339</v>
      </c>
      <c r="B2207" s="348" t="s">
        <v>1429</v>
      </c>
      <c r="C2207" s="441" t="s">
        <v>190</v>
      </c>
      <c r="D2207" s="442" t="s">
        <v>4</v>
      </c>
      <c r="E2207" s="443" t="s">
        <v>917</v>
      </c>
      <c r="F2207" s="444" t="s">
        <v>2980</v>
      </c>
      <c r="G2207" s="443"/>
      <c r="H2207" s="442">
        <v>70980</v>
      </c>
      <c r="I2207" s="443" t="s">
        <v>523</v>
      </c>
      <c r="J2207" s="277">
        <v>30000000</v>
      </c>
      <c r="K2207" s="394">
        <v>20000000</v>
      </c>
      <c r="L2207" s="394"/>
      <c r="M2207" s="394" t="s">
        <v>5123</v>
      </c>
      <c r="N2207" s="277">
        <v>12140617.57</v>
      </c>
      <c r="O2207" s="347" t="s">
        <v>1429</v>
      </c>
    </row>
    <row r="2208" spans="1:16" ht="54" customHeight="1" x14ac:dyDescent="0.35">
      <c r="A2208" s="272" t="s">
        <v>1340</v>
      </c>
      <c r="B2208" s="348" t="s">
        <v>1430</v>
      </c>
      <c r="C2208" s="441" t="s">
        <v>617</v>
      </c>
      <c r="D2208" s="442" t="s">
        <v>4</v>
      </c>
      <c r="E2208" s="443" t="s">
        <v>917</v>
      </c>
      <c r="F2208" s="444" t="s">
        <v>2980</v>
      </c>
      <c r="G2208" s="443"/>
      <c r="H2208" s="442">
        <v>70980</v>
      </c>
      <c r="I2208" s="443" t="s">
        <v>523</v>
      </c>
      <c r="J2208" s="277">
        <v>11000000</v>
      </c>
      <c r="K2208" s="627">
        <v>1000000</v>
      </c>
      <c r="L2208" s="394"/>
      <c r="M2208" s="394" t="s">
        <v>5133</v>
      </c>
      <c r="N2208" s="277">
        <v>5401678.1200000001</v>
      </c>
      <c r="O2208" s="347" t="s">
        <v>1430</v>
      </c>
    </row>
    <row r="2209" spans="1:15" ht="63" customHeight="1" x14ac:dyDescent="0.35">
      <c r="A2209" s="272" t="s">
        <v>1341</v>
      </c>
      <c r="B2209" s="348" t="s">
        <v>1431</v>
      </c>
      <c r="C2209" s="441" t="s">
        <v>424</v>
      </c>
      <c r="D2209" s="442" t="s">
        <v>4</v>
      </c>
      <c r="E2209" s="443" t="s">
        <v>917</v>
      </c>
      <c r="F2209" s="444" t="s">
        <v>137</v>
      </c>
      <c r="G2209" s="443"/>
      <c r="H2209" s="442">
        <v>70980</v>
      </c>
      <c r="I2209" s="443" t="s">
        <v>523</v>
      </c>
      <c r="J2209" s="277">
        <v>10000000</v>
      </c>
      <c r="K2209" s="627">
        <v>23376922</v>
      </c>
      <c r="L2209" s="394"/>
      <c r="M2209" s="394" t="s">
        <v>5133</v>
      </c>
      <c r="N2209" s="277">
        <v>55684.969999998808</v>
      </c>
      <c r="O2209" s="347" t="s">
        <v>1431</v>
      </c>
    </row>
    <row r="2210" spans="1:15" ht="45.75" customHeight="1" x14ac:dyDescent="0.35">
      <c r="A2210" s="272" t="s">
        <v>1342</v>
      </c>
      <c r="B2210" s="348" t="s">
        <v>1432</v>
      </c>
      <c r="C2210" s="441" t="s">
        <v>469</v>
      </c>
      <c r="D2210" s="442" t="s">
        <v>4</v>
      </c>
      <c r="E2210" s="443" t="s">
        <v>917</v>
      </c>
      <c r="F2210" s="444" t="s">
        <v>137</v>
      </c>
      <c r="G2210" s="443"/>
      <c r="H2210" s="442">
        <v>70980</v>
      </c>
      <c r="I2210" s="443" t="s">
        <v>523</v>
      </c>
      <c r="J2210" s="277">
        <v>18000000</v>
      </c>
      <c r="K2210" s="627">
        <v>18000000</v>
      </c>
      <c r="L2210" s="394"/>
      <c r="M2210" s="394" t="s">
        <v>5133</v>
      </c>
      <c r="N2210" s="277">
        <v>13390665</v>
      </c>
      <c r="O2210" s="347" t="s">
        <v>1432</v>
      </c>
    </row>
    <row r="2211" spans="1:15" ht="57" customHeight="1" x14ac:dyDescent="0.35">
      <c r="A2211" s="272" t="s">
        <v>1343</v>
      </c>
      <c r="B2211" s="348" t="s">
        <v>1433</v>
      </c>
      <c r="C2211" s="441" t="s">
        <v>615</v>
      </c>
      <c r="D2211" s="442" t="s">
        <v>4</v>
      </c>
      <c r="E2211" s="443" t="s">
        <v>917</v>
      </c>
      <c r="F2211" s="444" t="s">
        <v>137</v>
      </c>
      <c r="G2211" s="443"/>
      <c r="H2211" s="442">
        <v>70980</v>
      </c>
      <c r="I2211" s="443" t="s">
        <v>523</v>
      </c>
      <c r="J2211" s="277">
        <v>25000000</v>
      </c>
      <c r="K2211" s="627">
        <v>26000000</v>
      </c>
      <c r="L2211" s="394"/>
      <c r="M2211" s="394" t="s">
        <v>5133</v>
      </c>
      <c r="N2211" s="277">
        <v>6033245.7300000004</v>
      </c>
      <c r="O2211" s="347" t="s">
        <v>1433</v>
      </c>
    </row>
    <row r="2212" spans="1:15" ht="58.5" customHeight="1" x14ac:dyDescent="0.35">
      <c r="A2212" s="272" t="s">
        <v>1344</v>
      </c>
      <c r="B2212" s="348" t="s">
        <v>1434</v>
      </c>
      <c r="C2212" s="441" t="s">
        <v>469</v>
      </c>
      <c r="D2212" s="442" t="s">
        <v>4</v>
      </c>
      <c r="E2212" s="443" t="s">
        <v>917</v>
      </c>
      <c r="F2212" s="444" t="s">
        <v>137</v>
      </c>
      <c r="G2212" s="443"/>
      <c r="H2212" s="442">
        <v>70980</v>
      </c>
      <c r="I2212" s="443" t="s">
        <v>523</v>
      </c>
      <c r="J2212" s="277">
        <v>8822924.8599999994</v>
      </c>
      <c r="K2212" s="627"/>
      <c r="L2212" s="394"/>
      <c r="M2212" s="394" t="s">
        <v>5133</v>
      </c>
      <c r="N2212" s="277">
        <v>5763837.7800000012</v>
      </c>
      <c r="O2212" s="347" t="s">
        <v>1434</v>
      </c>
    </row>
    <row r="2213" spans="1:15" ht="49.5" customHeight="1" x14ac:dyDescent="0.35">
      <c r="A2213" s="272" t="s">
        <v>1345</v>
      </c>
      <c r="B2213" s="348" t="s">
        <v>1435</v>
      </c>
      <c r="C2213" s="441" t="s">
        <v>5</v>
      </c>
      <c r="D2213" s="442" t="s">
        <v>4</v>
      </c>
      <c r="E2213" s="443" t="s">
        <v>917</v>
      </c>
      <c r="F2213" s="444" t="s">
        <v>137</v>
      </c>
      <c r="G2213" s="443"/>
      <c r="H2213" s="442">
        <v>70980</v>
      </c>
      <c r="I2213" s="443" t="s">
        <v>523</v>
      </c>
      <c r="J2213" s="277">
        <v>11000000</v>
      </c>
      <c r="K2213" s="627">
        <v>7000000</v>
      </c>
      <c r="L2213" s="394"/>
      <c r="M2213" s="394" t="s">
        <v>5133</v>
      </c>
      <c r="N2213" s="277">
        <v>583914.51</v>
      </c>
      <c r="O2213" s="347" t="s">
        <v>1435</v>
      </c>
    </row>
    <row r="2214" spans="1:15" ht="80.25" customHeight="1" x14ac:dyDescent="0.35">
      <c r="A2214" s="272" t="s">
        <v>1346</v>
      </c>
      <c r="B2214" s="348" t="s">
        <v>1436</v>
      </c>
      <c r="C2214" s="441" t="s">
        <v>5</v>
      </c>
      <c r="D2214" s="442" t="s">
        <v>4</v>
      </c>
      <c r="E2214" s="443" t="s">
        <v>917</v>
      </c>
      <c r="F2214" s="444" t="s">
        <v>137</v>
      </c>
      <c r="G2214" s="443"/>
      <c r="H2214" s="442">
        <v>70980</v>
      </c>
      <c r="I2214" s="443" t="s">
        <v>523</v>
      </c>
      <c r="J2214" s="277">
        <v>16168693</v>
      </c>
      <c r="K2214" s="277">
        <v>16168693</v>
      </c>
      <c r="L2214" s="394"/>
      <c r="M2214" s="394" t="s">
        <v>5133</v>
      </c>
      <c r="N2214" s="277">
        <v>20296179.786000002</v>
      </c>
      <c r="O2214" s="347" t="s">
        <v>1436</v>
      </c>
    </row>
    <row r="2215" spans="1:15" ht="57" customHeight="1" x14ac:dyDescent="0.35">
      <c r="A2215" s="272" t="s">
        <v>1347</v>
      </c>
      <c r="B2215" s="348" t="s">
        <v>1437</v>
      </c>
      <c r="C2215" s="441" t="s">
        <v>615</v>
      </c>
      <c r="D2215" s="442">
        <v>2101</v>
      </c>
      <c r="E2215" s="443" t="s">
        <v>917</v>
      </c>
      <c r="F2215" s="444" t="s">
        <v>137</v>
      </c>
      <c r="G2215" s="443"/>
      <c r="H2215" s="442">
        <v>70980</v>
      </c>
      <c r="I2215" s="443" t="s">
        <v>523</v>
      </c>
      <c r="J2215" s="277">
        <v>43000000</v>
      </c>
      <c r="K2215" s="627">
        <v>21000000</v>
      </c>
      <c r="L2215" s="394"/>
      <c r="M2215" s="394" t="s">
        <v>5133</v>
      </c>
      <c r="N2215" s="277">
        <v>1470218.328</v>
      </c>
      <c r="O2215" s="347" t="s">
        <v>1437</v>
      </c>
    </row>
    <row r="2216" spans="1:15" ht="48" customHeight="1" x14ac:dyDescent="0.35">
      <c r="A2216" s="272" t="s">
        <v>1348</v>
      </c>
      <c r="B2216" s="348" t="s">
        <v>1438</v>
      </c>
      <c r="C2216" s="441" t="s">
        <v>615</v>
      </c>
      <c r="D2216" s="442">
        <v>2101</v>
      </c>
      <c r="E2216" s="443" t="s">
        <v>917</v>
      </c>
      <c r="F2216" s="444" t="s">
        <v>137</v>
      </c>
      <c r="G2216" s="443"/>
      <c r="H2216" s="442">
        <v>70980</v>
      </c>
      <c r="I2216" s="443" t="s">
        <v>523</v>
      </c>
      <c r="J2216" s="277">
        <v>13000000</v>
      </c>
      <c r="K2216" s="627">
        <v>5000000</v>
      </c>
      <c r="L2216" s="394"/>
      <c r="M2216" s="394" t="s">
        <v>5133</v>
      </c>
      <c r="N2216" s="277">
        <v>7500000</v>
      </c>
      <c r="O2216" s="347" t="s">
        <v>1438</v>
      </c>
    </row>
    <row r="2217" spans="1:15" ht="41.25" customHeight="1" x14ac:dyDescent="0.35">
      <c r="A2217" s="272" t="s">
        <v>1349</v>
      </c>
      <c r="B2217" s="348" t="s">
        <v>1439</v>
      </c>
      <c r="C2217" s="441" t="s">
        <v>5</v>
      </c>
      <c r="D2217" s="442">
        <v>2101</v>
      </c>
      <c r="E2217" s="443" t="s">
        <v>917</v>
      </c>
      <c r="F2217" s="444" t="s">
        <v>137</v>
      </c>
      <c r="G2217" s="443"/>
      <c r="H2217" s="442">
        <v>70980</v>
      </c>
      <c r="I2217" s="443" t="s">
        <v>523</v>
      </c>
      <c r="J2217" s="277">
        <v>30000000</v>
      </c>
      <c r="K2217" s="627">
        <v>15000000</v>
      </c>
      <c r="L2217" s="394"/>
      <c r="M2217" s="394" t="s">
        <v>5133</v>
      </c>
      <c r="N2217" s="277">
        <v>29572644</v>
      </c>
      <c r="O2217" s="347" t="s">
        <v>1439</v>
      </c>
    </row>
    <row r="2218" spans="1:15" ht="44.25" customHeight="1" x14ac:dyDescent="0.35">
      <c r="A2218" s="272" t="s">
        <v>1350</v>
      </c>
      <c r="B2218" s="348" t="s">
        <v>1440</v>
      </c>
      <c r="C2218" s="441" t="s">
        <v>5</v>
      </c>
      <c r="D2218" s="442">
        <v>2101</v>
      </c>
      <c r="E2218" s="443" t="s">
        <v>917</v>
      </c>
      <c r="F2218" s="444" t="s">
        <v>2980</v>
      </c>
      <c r="G2218" s="443"/>
      <c r="H2218" s="442">
        <v>70980</v>
      </c>
      <c r="I2218" s="443" t="s">
        <v>523</v>
      </c>
      <c r="J2218" s="277">
        <v>20008382.140000001</v>
      </c>
      <c r="K2218" s="627">
        <v>11008382.140000001</v>
      </c>
      <c r="L2218" s="394"/>
      <c r="M2218" s="394" t="s">
        <v>5133</v>
      </c>
      <c r="N2218" s="277">
        <v>8780515.3599999994</v>
      </c>
      <c r="O2218" s="347" t="s">
        <v>1440</v>
      </c>
    </row>
    <row r="2219" spans="1:15" ht="54.75" customHeight="1" x14ac:dyDescent="0.35">
      <c r="A2219" s="272" t="s">
        <v>1351</v>
      </c>
      <c r="B2219" s="348" t="s">
        <v>1441</v>
      </c>
      <c r="C2219" s="441" t="s">
        <v>617</v>
      </c>
      <c r="D2219" s="442">
        <v>2101</v>
      </c>
      <c r="E2219" s="443" t="s">
        <v>917</v>
      </c>
      <c r="F2219" s="444" t="s">
        <v>137</v>
      </c>
      <c r="G2219" s="443"/>
      <c r="H2219" s="442">
        <v>70980</v>
      </c>
      <c r="I2219" s="443" t="s">
        <v>523</v>
      </c>
      <c r="J2219" s="277">
        <v>30000000</v>
      </c>
      <c r="K2219" s="627">
        <v>30000000</v>
      </c>
      <c r="L2219" s="394"/>
      <c r="M2219" s="394" t="s">
        <v>5133</v>
      </c>
      <c r="N2219" s="277">
        <v>15255254.836000003</v>
      </c>
      <c r="O2219" s="347" t="s">
        <v>1441</v>
      </c>
    </row>
    <row r="2220" spans="1:15" ht="59.25" customHeight="1" x14ac:dyDescent="0.35">
      <c r="A2220" s="272" t="s">
        <v>1352</v>
      </c>
      <c r="B2220" s="348" t="s">
        <v>1442</v>
      </c>
      <c r="C2220" s="441" t="s">
        <v>411</v>
      </c>
      <c r="D2220" s="442">
        <v>2101</v>
      </c>
      <c r="E2220" s="443" t="s">
        <v>917</v>
      </c>
      <c r="F2220" s="444" t="s">
        <v>137</v>
      </c>
      <c r="G2220" s="443"/>
      <c r="H2220" s="442">
        <v>70980</v>
      </c>
      <c r="I2220" s="443" t="s">
        <v>523</v>
      </c>
      <c r="J2220" s="277">
        <v>30000000</v>
      </c>
      <c r="K2220" s="627">
        <v>30000000</v>
      </c>
      <c r="L2220" s="394"/>
      <c r="M2220" s="394" t="s">
        <v>5133</v>
      </c>
      <c r="N2220" s="277">
        <v>2000000</v>
      </c>
      <c r="O2220" s="347" t="s">
        <v>1442</v>
      </c>
    </row>
    <row r="2221" spans="1:15" ht="56.25" customHeight="1" x14ac:dyDescent="0.35">
      <c r="A2221" s="272" t="s">
        <v>1353</v>
      </c>
      <c r="B2221" s="348" t="s">
        <v>1443</v>
      </c>
      <c r="C2221" s="441" t="s">
        <v>5</v>
      </c>
      <c r="D2221" s="442">
        <v>2101</v>
      </c>
      <c r="E2221" s="443" t="s">
        <v>917</v>
      </c>
      <c r="F2221" s="444" t="s">
        <v>137</v>
      </c>
      <c r="G2221" s="443"/>
      <c r="H2221" s="442">
        <v>70980</v>
      </c>
      <c r="I2221" s="443" t="s">
        <v>523</v>
      </c>
      <c r="J2221" s="277">
        <v>18000000</v>
      </c>
      <c r="K2221" s="627">
        <v>18000000</v>
      </c>
      <c r="L2221" s="394"/>
      <c r="M2221" s="394" t="s">
        <v>5133</v>
      </c>
      <c r="N2221" s="277">
        <v>6800000</v>
      </c>
      <c r="O2221" s="347" t="s">
        <v>1443</v>
      </c>
    </row>
    <row r="2222" spans="1:15" ht="73.5" customHeight="1" x14ac:dyDescent="0.35">
      <c r="A2222" s="272" t="s">
        <v>1354</v>
      </c>
      <c r="B2222" s="348" t="s">
        <v>1444</v>
      </c>
      <c r="C2222" s="441" t="s">
        <v>411</v>
      </c>
      <c r="D2222" s="442">
        <v>2101</v>
      </c>
      <c r="E2222" s="443" t="s">
        <v>917</v>
      </c>
      <c r="F2222" s="444" t="s">
        <v>137</v>
      </c>
      <c r="G2222" s="443"/>
      <c r="H2222" s="442">
        <v>70980</v>
      </c>
      <c r="I2222" s="443" t="s">
        <v>523</v>
      </c>
      <c r="J2222" s="277">
        <v>50000000</v>
      </c>
      <c r="K2222" s="627">
        <f>35000000-8000000</f>
        <v>27000000</v>
      </c>
      <c r="L2222" s="394"/>
      <c r="M2222" s="394" t="s">
        <v>5133</v>
      </c>
      <c r="N2222" s="277">
        <v>2000000</v>
      </c>
      <c r="O2222" s="347" t="s">
        <v>1444</v>
      </c>
    </row>
    <row r="2223" spans="1:15" ht="31.5" customHeight="1" x14ac:dyDescent="0.35">
      <c r="A2223" s="272" t="s">
        <v>1355</v>
      </c>
      <c r="B2223" s="348" t="s">
        <v>1445</v>
      </c>
      <c r="C2223" s="441" t="s">
        <v>5</v>
      </c>
      <c r="D2223" s="442">
        <v>2101</v>
      </c>
      <c r="E2223" s="443" t="s">
        <v>917</v>
      </c>
      <c r="F2223" s="444" t="s">
        <v>137</v>
      </c>
      <c r="G2223" s="443"/>
      <c r="H2223" s="442">
        <v>70980</v>
      </c>
      <c r="I2223" s="443" t="s">
        <v>523</v>
      </c>
      <c r="J2223" s="277">
        <v>10000000</v>
      </c>
      <c r="K2223" s="627">
        <v>5000000</v>
      </c>
      <c r="L2223" s="394"/>
      <c r="M2223" s="394" t="s">
        <v>5133</v>
      </c>
      <c r="N2223" s="277">
        <v>21600000</v>
      </c>
      <c r="O2223" s="347" t="s">
        <v>1445</v>
      </c>
    </row>
    <row r="2224" spans="1:15" ht="63.75" customHeight="1" x14ac:dyDescent="0.35">
      <c r="A2224" s="272" t="s">
        <v>1356</v>
      </c>
      <c r="B2224" s="348" t="s">
        <v>1446</v>
      </c>
      <c r="C2224" s="441" t="s">
        <v>469</v>
      </c>
      <c r="D2224" s="442">
        <v>2101</v>
      </c>
      <c r="E2224" s="443" t="s">
        <v>917</v>
      </c>
      <c r="F2224" s="444" t="s">
        <v>2980</v>
      </c>
      <c r="G2224" s="443"/>
      <c r="H2224" s="442">
        <v>70980</v>
      </c>
      <c r="I2224" s="443" t="s">
        <v>523</v>
      </c>
      <c r="J2224" s="277">
        <v>35000000</v>
      </c>
      <c r="K2224" s="627">
        <v>10000000</v>
      </c>
      <c r="L2224" s="394"/>
      <c r="M2224" s="394" t="s">
        <v>5133</v>
      </c>
      <c r="N2224" s="277">
        <v>8780515.3599999994</v>
      </c>
      <c r="O2224" s="347" t="s">
        <v>1446</v>
      </c>
    </row>
    <row r="2225" spans="1:15" ht="54.75" customHeight="1" x14ac:dyDescent="0.35">
      <c r="A2225" s="272" t="s">
        <v>1357</v>
      </c>
      <c r="B2225" s="348" t="s">
        <v>1447</v>
      </c>
      <c r="C2225" s="441" t="s">
        <v>617</v>
      </c>
      <c r="D2225" s="442">
        <v>2101</v>
      </c>
      <c r="E2225" s="443" t="s">
        <v>917</v>
      </c>
      <c r="F2225" s="444" t="s">
        <v>2980</v>
      </c>
      <c r="G2225" s="443"/>
      <c r="H2225" s="442">
        <v>70980</v>
      </c>
      <c r="I2225" s="443" t="s">
        <v>523</v>
      </c>
      <c r="J2225" s="277">
        <v>36000000</v>
      </c>
      <c r="K2225" s="627">
        <v>10000000</v>
      </c>
      <c r="L2225" s="394"/>
      <c r="M2225" s="394" t="s">
        <v>5133</v>
      </c>
      <c r="N2225" s="277">
        <v>8780515.3599999994</v>
      </c>
      <c r="O2225" s="347" t="s">
        <v>1447</v>
      </c>
    </row>
    <row r="2226" spans="1:15" ht="62.25" customHeight="1" x14ac:dyDescent="0.35">
      <c r="A2226" s="272" t="s">
        <v>1358</v>
      </c>
      <c r="B2226" s="348" t="s">
        <v>1448</v>
      </c>
      <c r="C2226" s="441" t="s">
        <v>615</v>
      </c>
      <c r="D2226" s="442">
        <v>2101</v>
      </c>
      <c r="E2226" s="443" t="s">
        <v>917</v>
      </c>
      <c r="F2226" s="444" t="s">
        <v>137</v>
      </c>
      <c r="G2226" s="443"/>
      <c r="H2226" s="442">
        <v>70980</v>
      </c>
      <c r="I2226" s="443" t="s">
        <v>523</v>
      </c>
      <c r="J2226" s="277">
        <v>40000000</v>
      </c>
      <c r="K2226" s="627">
        <v>10000000</v>
      </c>
      <c r="L2226" s="394"/>
      <c r="M2226" s="394" t="s">
        <v>5133</v>
      </c>
      <c r="N2226" s="277">
        <v>15255254.836000003</v>
      </c>
      <c r="O2226" s="347" t="s">
        <v>1448</v>
      </c>
    </row>
    <row r="2227" spans="1:15" ht="61.5" customHeight="1" x14ac:dyDescent="0.35">
      <c r="A2227" s="272" t="s">
        <v>1359</v>
      </c>
      <c r="B2227" s="348" t="s">
        <v>1449</v>
      </c>
      <c r="C2227" s="441" t="s">
        <v>424</v>
      </c>
      <c r="D2227" s="442">
        <v>2101</v>
      </c>
      <c r="E2227" s="443" t="s">
        <v>917</v>
      </c>
      <c r="F2227" s="444" t="s">
        <v>137</v>
      </c>
      <c r="G2227" s="443"/>
      <c r="H2227" s="442">
        <v>70980</v>
      </c>
      <c r="I2227" s="443" t="s">
        <v>523</v>
      </c>
      <c r="J2227" s="277">
        <v>77000000</v>
      </c>
      <c r="K2227" s="627">
        <v>20000000</v>
      </c>
      <c r="L2227" s="394"/>
      <c r="M2227" s="394" t="s">
        <v>5133</v>
      </c>
      <c r="N2227" s="277">
        <v>15255254.836000003</v>
      </c>
      <c r="O2227" s="347" t="s">
        <v>1449</v>
      </c>
    </row>
    <row r="2228" spans="1:15" ht="55.5" customHeight="1" x14ac:dyDescent="0.35">
      <c r="A2228" s="272" t="s">
        <v>1360</v>
      </c>
      <c r="B2228" s="348" t="s">
        <v>1450</v>
      </c>
      <c r="C2228" s="441" t="s">
        <v>190</v>
      </c>
      <c r="D2228" s="442">
        <v>2101</v>
      </c>
      <c r="E2228" s="443" t="s">
        <v>917</v>
      </c>
      <c r="F2228" s="444" t="s">
        <v>137</v>
      </c>
      <c r="G2228" s="443"/>
      <c r="H2228" s="442">
        <v>70930</v>
      </c>
      <c r="I2228" s="443" t="s">
        <v>523</v>
      </c>
      <c r="J2228" s="277">
        <v>77000000</v>
      </c>
      <c r="K2228" s="627">
        <v>20000000</v>
      </c>
      <c r="L2228" s="394"/>
      <c r="M2228" s="394" t="s">
        <v>5133</v>
      </c>
      <c r="N2228" s="277">
        <v>2098769.2960000001</v>
      </c>
      <c r="O2228" s="347" t="s">
        <v>1450</v>
      </c>
    </row>
    <row r="2229" spans="1:15" ht="57" customHeight="1" x14ac:dyDescent="0.35">
      <c r="A2229" s="272" t="s">
        <v>1361</v>
      </c>
      <c r="B2229" s="348" t="s">
        <v>1451</v>
      </c>
      <c r="C2229" s="441" t="s">
        <v>411</v>
      </c>
      <c r="D2229" s="442">
        <v>2101</v>
      </c>
      <c r="E2229" s="443" t="s">
        <v>917</v>
      </c>
      <c r="F2229" s="444" t="s">
        <v>137</v>
      </c>
      <c r="G2229" s="443"/>
      <c r="H2229" s="442">
        <v>70930</v>
      </c>
      <c r="I2229" s="443" t="s">
        <v>523</v>
      </c>
      <c r="J2229" s="277">
        <v>76000000</v>
      </c>
      <c r="K2229" s="627">
        <v>20000000</v>
      </c>
      <c r="L2229" s="394"/>
      <c r="M2229" s="394" t="s">
        <v>5133</v>
      </c>
      <c r="N2229" s="277">
        <v>6467477.120000001</v>
      </c>
      <c r="O2229" s="347" t="s">
        <v>1451</v>
      </c>
    </row>
    <row r="2230" spans="1:15" ht="73.5" customHeight="1" x14ac:dyDescent="0.35">
      <c r="A2230" s="272" t="s">
        <v>1362</v>
      </c>
      <c r="B2230" s="348" t="s">
        <v>1452</v>
      </c>
      <c r="C2230" s="441" t="s">
        <v>5</v>
      </c>
      <c r="D2230" s="442">
        <v>2101</v>
      </c>
      <c r="E2230" s="443" t="s">
        <v>917</v>
      </c>
      <c r="F2230" s="444" t="s">
        <v>137</v>
      </c>
      <c r="G2230" s="443"/>
      <c r="H2230" s="442">
        <v>70930</v>
      </c>
      <c r="I2230" s="443" t="s">
        <v>523</v>
      </c>
      <c r="J2230" s="277">
        <v>10000000</v>
      </c>
      <c r="K2230" s="627">
        <v>10000000</v>
      </c>
      <c r="L2230" s="394"/>
      <c r="M2230" s="394" t="s">
        <v>5133</v>
      </c>
      <c r="N2230" s="277">
        <v>18303709.199999999</v>
      </c>
      <c r="O2230" s="347" t="s">
        <v>1452</v>
      </c>
    </row>
    <row r="2231" spans="1:15" ht="51.75" customHeight="1" x14ac:dyDescent="0.35">
      <c r="A2231" s="272" t="s">
        <v>1363</v>
      </c>
      <c r="B2231" s="348" t="s">
        <v>1453</v>
      </c>
      <c r="C2231" s="441" t="s">
        <v>5</v>
      </c>
      <c r="D2231" s="442">
        <v>2101</v>
      </c>
      <c r="E2231" s="443" t="s">
        <v>917</v>
      </c>
      <c r="F2231" s="444" t="s">
        <v>137</v>
      </c>
      <c r="G2231" s="443"/>
      <c r="H2231" s="442">
        <v>70930</v>
      </c>
      <c r="I2231" s="443" t="s">
        <v>523</v>
      </c>
      <c r="J2231" s="277">
        <v>10000000</v>
      </c>
      <c r="K2231" s="627">
        <v>10000000</v>
      </c>
      <c r="L2231" s="394"/>
      <c r="M2231" s="394" t="s">
        <v>5133</v>
      </c>
      <c r="N2231" s="277">
        <v>1594913.2720000001</v>
      </c>
      <c r="O2231" s="347" t="s">
        <v>1453</v>
      </c>
    </row>
    <row r="2232" spans="1:15" ht="58.5" customHeight="1" x14ac:dyDescent="0.35">
      <c r="A2232" s="272" t="s">
        <v>1364</v>
      </c>
      <c r="B2232" s="348" t="s">
        <v>1454</v>
      </c>
      <c r="C2232" s="441" t="s">
        <v>411</v>
      </c>
      <c r="D2232" s="442">
        <v>2101</v>
      </c>
      <c r="E2232" s="443" t="s">
        <v>917</v>
      </c>
      <c r="F2232" s="444" t="s">
        <v>137</v>
      </c>
      <c r="G2232" s="443"/>
      <c r="H2232" s="442">
        <v>70930</v>
      </c>
      <c r="I2232" s="443" t="s">
        <v>523</v>
      </c>
      <c r="J2232" s="277">
        <v>30000000</v>
      </c>
      <c r="K2232" s="627">
        <v>0</v>
      </c>
      <c r="L2232" s="394"/>
      <c r="M2232" s="394" t="s">
        <v>5133</v>
      </c>
      <c r="N2232" s="277">
        <v>8780515.3599999994</v>
      </c>
      <c r="O2232" s="347" t="s">
        <v>1454</v>
      </c>
    </row>
    <row r="2233" spans="1:15" ht="49.5" customHeight="1" x14ac:dyDescent="0.35">
      <c r="A2233" s="272" t="s">
        <v>1365</v>
      </c>
      <c r="B2233" s="348" t="s">
        <v>1455</v>
      </c>
      <c r="C2233" s="441" t="s">
        <v>5</v>
      </c>
      <c r="D2233" s="442">
        <v>2101</v>
      </c>
      <c r="E2233" s="443" t="s">
        <v>917</v>
      </c>
      <c r="F2233" s="444" t="s">
        <v>2980</v>
      </c>
      <c r="G2233" s="443"/>
      <c r="H2233" s="442">
        <v>70930</v>
      </c>
      <c r="I2233" s="443" t="s">
        <v>523</v>
      </c>
      <c r="J2233" s="277">
        <v>10000000</v>
      </c>
      <c r="K2233" s="627">
        <v>7000000</v>
      </c>
      <c r="L2233" s="394"/>
      <c r="M2233" s="394" t="s">
        <v>5133</v>
      </c>
      <c r="N2233" s="277">
        <v>1557359.9240000001</v>
      </c>
      <c r="O2233" s="347" t="s">
        <v>1455</v>
      </c>
    </row>
    <row r="2234" spans="1:15" ht="77.25" customHeight="1" x14ac:dyDescent="0.35">
      <c r="A2234" s="272" t="s">
        <v>1366</v>
      </c>
      <c r="B2234" s="348" t="s">
        <v>1456</v>
      </c>
      <c r="C2234" s="441" t="s">
        <v>5</v>
      </c>
      <c r="D2234" s="442">
        <v>2101</v>
      </c>
      <c r="E2234" s="443" t="s">
        <v>917</v>
      </c>
      <c r="F2234" s="444" t="s">
        <v>137</v>
      </c>
      <c r="G2234" s="443"/>
      <c r="H2234" s="442">
        <v>70930</v>
      </c>
      <c r="I2234" s="443" t="s">
        <v>523</v>
      </c>
      <c r="J2234" s="277">
        <v>10000000</v>
      </c>
      <c r="K2234" s="627">
        <v>10000000</v>
      </c>
      <c r="L2234" s="394"/>
      <c r="M2234" s="394" t="s">
        <v>5133</v>
      </c>
      <c r="N2234" s="277">
        <v>222725.98800000001</v>
      </c>
      <c r="O2234" s="347" t="s">
        <v>1456</v>
      </c>
    </row>
    <row r="2235" spans="1:15" ht="56.25" customHeight="1" x14ac:dyDescent="0.35">
      <c r="A2235" s="272" t="s">
        <v>5141</v>
      </c>
      <c r="B2235" s="348" t="s">
        <v>1457</v>
      </c>
      <c r="C2235" s="441" t="s">
        <v>5</v>
      </c>
      <c r="D2235" s="442">
        <v>2101</v>
      </c>
      <c r="E2235" s="443" t="s">
        <v>917</v>
      </c>
      <c r="F2235" s="444" t="s">
        <v>137</v>
      </c>
      <c r="G2235" s="443"/>
      <c r="H2235" s="442">
        <v>70930</v>
      </c>
      <c r="I2235" s="443" t="s">
        <v>523</v>
      </c>
      <c r="J2235" s="277">
        <v>5000000000</v>
      </c>
      <c r="K2235" s="627">
        <v>2800000000</v>
      </c>
      <c r="L2235" s="627">
        <v>2800000000</v>
      </c>
      <c r="M2235" s="394" t="s">
        <v>5123</v>
      </c>
      <c r="N2235" s="277">
        <v>36970435.152000003</v>
      </c>
      <c r="O2235" s="347" t="s">
        <v>1457</v>
      </c>
    </row>
    <row r="2236" spans="1:15" ht="51.75" customHeight="1" x14ac:dyDescent="0.35">
      <c r="A2236" s="332"/>
      <c r="B2236" s="360" t="s">
        <v>1008</v>
      </c>
      <c r="C2236" s="165"/>
      <c r="D2236" s="163"/>
      <c r="E2236" s="237"/>
      <c r="F2236" s="163"/>
      <c r="G2236" s="237"/>
      <c r="H2236" s="163"/>
      <c r="I2236" s="237"/>
      <c r="J2236" s="259">
        <f>SUM(J2205:J2235)</f>
        <v>5840000000</v>
      </c>
      <c r="K2236" s="259">
        <f>SUM(K2205:K2235)</f>
        <v>3320553997.1399999</v>
      </c>
      <c r="L2236" s="707"/>
      <c r="M2236" s="707"/>
      <c r="N2236" s="259">
        <f>SUM(N2205:N2235)</f>
        <v>289434094.02400005</v>
      </c>
      <c r="O2236" s="245" t="s">
        <v>1008</v>
      </c>
    </row>
    <row r="2237" spans="1:15" ht="36" customHeight="1" x14ac:dyDescent="0.35">
      <c r="A2237" s="286"/>
      <c r="B2237" s="361"/>
      <c r="C2237" s="282"/>
      <c r="D2237" s="283"/>
      <c r="E2237" s="330"/>
      <c r="F2237" s="283"/>
      <c r="G2237" s="330"/>
      <c r="H2237" s="283"/>
      <c r="I2237" s="330"/>
      <c r="J2237" s="341"/>
      <c r="K2237" s="458"/>
      <c r="L2237" s="704"/>
      <c r="M2237" s="704"/>
      <c r="N2237" s="341"/>
      <c r="O2237" s="342"/>
    </row>
    <row r="2238" spans="1:15" ht="26.25" customHeight="1" x14ac:dyDescent="0.35">
      <c r="A2238" s="428" t="s">
        <v>3404</v>
      </c>
      <c r="B2238" s="492"/>
      <c r="C2238" s="282"/>
      <c r="D2238" s="283"/>
      <c r="E2238" s="330"/>
      <c r="F2238" s="283"/>
      <c r="G2238" s="330"/>
      <c r="H2238" s="283"/>
      <c r="I2238" s="330"/>
      <c r="J2238" s="285"/>
      <c r="K2238" s="458"/>
      <c r="L2238" s="704"/>
      <c r="M2238" s="704"/>
      <c r="N2238" s="285"/>
      <c r="O2238" s="286"/>
    </row>
    <row r="2239" spans="1:15" ht="72.75" customHeight="1" x14ac:dyDescent="0.35">
      <c r="A2239" s="360" t="s">
        <v>1007</v>
      </c>
      <c r="B2239" s="360" t="s">
        <v>50</v>
      </c>
      <c r="C2239" s="175" t="s">
        <v>898</v>
      </c>
      <c r="D2239" s="257" t="s">
        <v>52</v>
      </c>
      <c r="E2239" s="273" t="s">
        <v>49</v>
      </c>
      <c r="F2239" s="257" t="s">
        <v>1</v>
      </c>
      <c r="G2239" s="176"/>
      <c r="H2239" s="171" t="s">
        <v>51</v>
      </c>
      <c r="I2239" s="176" t="s">
        <v>2</v>
      </c>
      <c r="J2239" s="177" t="s">
        <v>4862</v>
      </c>
      <c r="K2239" s="189" t="s">
        <v>5140</v>
      </c>
      <c r="L2239" s="623" t="s">
        <v>5132</v>
      </c>
      <c r="M2239" s="623" t="s">
        <v>5132</v>
      </c>
      <c r="N2239" s="177" t="s">
        <v>1006</v>
      </c>
      <c r="O2239" s="178" t="s">
        <v>50</v>
      </c>
    </row>
    <row r="2240" spans="1:15" ht="47.25" customHeight="1" x14ac:dyDescent="0.35">
      <c r="A2240" s="272" t="s">
        <v>4725</v>
      </c>
      <c r="B2240" s="348" t="s">
        <v>4955</v>
      </c>
      <c r="C2240" s="441" t="s">
        <v>5</v>
      </c>
      <c r="D2240" s="442">
        <v>2101</v>
      </c>
      <c r="E2240" s="443" t="s">
        <v>917</v>
      </c>
      <c r="F2240" s="444" t="s">
        <v>2980</v>
      </c>
      <c r="G2240" s="443"/>
      <c r="H2240" s="442">
        <v>70930</v>
      </c>
      <c r="I2240" s="443" t="s">
        <v>523</v>
      </c>
      <c r="J2240" s="277">
        <f>250000000+400000000</f>
        <v>650000000</v>
      </c>
      <c r="K2240" s="627">
        <v>80199413</v>
      </c>
      <c r="L2240" s="394"/>
      <c r="M2240" s="394" t="s">
        <v>5133</v>
      </c>
      <c r="N2240" s="277">
        <v>4362101.4400000004</v>
      </c>
    </row>
    <row r="2241" spans="1:16" ht="47.25" customHeight="1" x14ac:dyDescent="0.35">
      <c r="A2241" s="272" t="s">
        <v>4953</v>
      </c>
      <c r="B2241" s="348" t="s">
        <v>4956</v>
      </c>
      <c r="C2241" s="441" t="s">
        <v>5</v>
      </c>
      <c r="D2241" s="442">
        <v>2101</v>
      </c>
      <c r="E2241" s="443" t="s">
        <v>917</v>
      </c>
      <c r="F2241" s="444" t="s">
        <v>2980</v>
      </c>
      <c r="G2241" s="443"/>
      <c r="H2241" s="442">
        <v>70930</v>
      </c>
      <c r="I2241" s="443" t="s">
        <v>523</v>
      </c>
      <c r="J2241" s="277">
        <f>250000000+400000000</f>
        <v>650000000</v>
      </c>
      <c r="K2241" s="627">
        <v>226000000</v>
      </c>
      <c r="L2241" s="394"/>
      <c r="M2241" s="394" t="s">
        <v>5133</v>
      </c>
      <c r="N2241" s="277"/>
    </row>
    <row r="2242" spans="1:16" ht="57" customHeight="1" x14ac:dyDescent="0.35">
      <c r="A2242" s="272" t="s">
        <v>4954</v>
      </c>
      <c r="B2242" s="348" t="s">
        <v>4957</v>
      </c>
      <c r="C2242" s="441" t="s">
        <v>617</v>
      </c>
      <c r="D2242" s="442">
        <v>2101</v>
      </c>
      <c r="E2242" s="443" t="s">
        <v>917</v>
      </c>
      <c r="F2242" s="444" t="s">
        <v>2980</v>
      </c>
      <c r="G2242" s="443"/>
      <c r="H2242" s="442">
        <v>70980</v>
      </c>
      <c r="I2242" s="443" t="s">
        <v>523</v>
      </c>
      <c r="J2242" s="277"/>
      <c r="K2242" s="627">
        <v>43000000</v>
      </c>
      <c r="L2242" s="394"/>
      <c r="M2242" s="394" t="s">
        <v>5133</v>
      </c>
      <c r="N2242" s="277"/>
    </row>
    <row r="2243" spans="1:16" ht="37.5" customHeight="1" x14ac:dyDescent="0.35">
      <c r="A2243" s="245"/>
      <c r="B2243" s="360" t="s">
        <v>1008</v>
      </c>
      <c r="C2243" s="188"/>
      <c r="D2243" s="257"/>
      <c r="E2243" s="273"/>
      <c r="F2243" s="257"/>
      <c r="G2243" s="273"/>
      <c r="H2243" s="257"/>
      <c r="I2243" s="273"/>
      <c r="J2243" s="259">
        <f>SUM(J2240)</f>
        <v>650000000</v>
      </c>
      <c r="K2243" s="259">
        <f>SUM(K2240:K2242)</f>
        <v>349199413</v>
      </c>
      <c r="L2243" s="394"/>
      <c r="M2243" s="394"/>
      <c r="N2243" s="259"/>
      <c r="O2243" s="245"/>
    </row>
    <row r="2244" spans="1:16" s="247" customFormat="1" ht="20.25" customHeight="1" x14ac:dyDescent="0.35">
      <c r="A2244" s="286"/>
      <c r="B2244" s="492"/>
      <c r="C2244" s="282"/>
      <c r="D2244" s="283"/>
      <c r="E2244" s="330"/>
      <c r="F2244" s="283"/>
      <c r="G2244" s="330"/>
      <c r="H2244" s="283"/>
      <c r="I2244" s="330"/>
      <c r="J2244" s="285"/>
      <c r="K2244" s="628"/>
      <c r="L2244" s="706"/>
      <c r="M2244" s="706"/>
      <c r="N2244" s="285"/>
      <c r="O2244" s="286"/>
      <c r="P2244" s="246"/>
    </row>
    <row r="2245" spans="1:16" ht="20.25" customHeight="1" x14ac:dyDescent="0.35">
      <c r="A2245" s="401"/>
      <c r="B2245" s="716"/>
      <c r="C2245" s="402"/>
      <c r="D2245" s="403"/>
      <c r="E2245" s="404"/>
      <c r="F2245" s="403"/>
      <c r="G2245" s="404"/>
      <c r="H2245" s="403"/>
      <c r="I2245" s="404"/>
      <c r="J2245" s="405"/>
      <c r="K2245" s="458"/>
      <c r="L2245" s="704"/>
      <c r="M2245" s="704"/>
      <c r="N2245" s="405"/>
      <c r="O2245" s="600"/>
    </row>
    <row r="2246" spans="1:16" ht="32.25" customHeight="1" x14ac:dyDescent="0.35">
      <c r="A2246" s="428" t="s">
        <v>1177</v>
      </c>
      <c r="B2246" s="583"/>
      <c r="C2246" s="429"/>
      <c r="D2246" s="430"/>
      <c r="E2246" s="494"/>
      <c r="F2246" s="430"/>
      <c r="G2246" s="494"/>
      <c r="H2246" s="430"/>
      <c r="I2246" s="494"/>
      <c r="J2246" s="495"/>
      <c r="K2246" s="458"/>
      <c r="L2246" s="704"/>
      <c r="M2246" s="704"/>
      <c r="N2246" s="495"/>
      <c r="O2246" s="357"/>
    </row>
    <row r="2247" spans="1:16" ht="72" customHeight="1" x14ac:dyDescent="0.35">
      <c r="A2247" s="360" t="s">
        <v>1007</v>
      </c>
      <c r="B2247" s="360" t="s">
        <v>50</v>
      </c>
      <c r="C2247" s="175" t="s">
        <v>898</v>
      </c>
      <c r="D2247" s="257" t="s">
        <v>52</v>
      </c>
      <c r="E2247" s="273" t="s">
        <v>49</v>
      </c>
      <c r="F2247" s="257" t="s">
        <v>1</v>
      </c>
      <c r="G2247" s="176"/>
      <c r="H2247" s="171" t="s">
        <v>51</v>
      </c>
      <c r="I2247" s="176" t="s">
        <v>2</v>
      </c>
      <c r="J2247" s="177" t="s">
        <v>4862</v>
      </c>
      <c r="K2247" s="189" t="s">
        <v>5140</v>
      </c>
      <c r="L2247" s="623" t="s">
        <v>5132</v>
      </c>
      <c r="M2247" s="623" t="s">
        <v>5132</v>
      </c>
      <c r="N2247" s="177" t="s">
        <v>1006</v>
      </c>
      <c r="O2247" s="178" t="s">
        <v>50</v>
      </c>
    </row>
    <row r="2248" spans="1:16" ht="45" customHeight="1" x14ac:dyDescent="0.35">
      <c r="A2248" s="272" t="s">
        <v>1954</v>
      </c>
      <c r="B2248" s="348" t="s">
        <v>1979</v>
      </c>
      <c r="C2248" s="441" t="s">
        <v>391</v>
      </c>
      <c r="D2248" s="442">
        <v>2101</v>
      </c>
      <c r="E2248" s="443" t="s">
        <v>24</v>
      </c>
      <c r="F2248" s="444" t="s">
        <v>2978</v>
      </c>
      <c r="G2248" s="443"/>
      <c r="H2248" s="442">
        <v>70980</v>
      </c>
      <c r="I2248" s="445" t="s">
        <v>523</v>
      </c>
      <c r="J2248" s="149">
        <v>416467424</v>
      </c>
      <c r="K2248" s="627">
        <v>560239462.28999996</v>
      </c>
      <c r="L2248" s="394"/>
      <c r="M2248" s="394" t="s">
        <v>5133</v>
      </c>
      <c r="N2248" s="537">
        <v>2223384421.0599999</v>
      </c>
      <c r="O2248" s="347" t="s">
        <v>1979</v>
      </c>
    </row>
    <row r="2249" spans="1:16" ht="43.5" customHeight="1" x14ac:dyDescent="0.35">
      <c r="A2249" s="272" t="s">
        <v>1955</v>
      </c>
      <c r="B2249" s="348" t="s">
        <v>1980</v>
      </c>
      <c r="C2249" s="441" t="s">
        <v>647</v>
      </c>
      <c r="D2249" s="442">
        <v>2101</v>
      </c>
      <c r="E2249" s="443" t="s">
        <v>24</v>
      </c>
      <c r="F2249" s="444" t="s">
        <v>1419</v>
      </c>
      <c r="G2249" s="443"/>
      <c r="H2249" s="442">
        <v>70980</v>
      </c>
      <c r="I2249" s="446" t="s">
        <v>523</v>
      </c>
      <c r="J2249" s="149">
        <f>500000000-100000000</f>
        <v>400000000</v>
      </c>
      <c r="K2249" s="627">
        <v>160000000</v>
      </c>
      <c r="L2249" s="394"/>
      <c r="M2249" s="394" t="s">
        <v>5133</v>
      </c>
      <c r="N2249" s="537">
        <v>309142357.18000001</v>
      </c>
      <c r="O2249" s="347" t="s">
        <v>1980</v>
      </c>
    </row>
    <row r="2250" spans="1:16" ht="65.25" customHeight="1" x14ac:dyDescent="0.35">
      <c r="A2250" s="272" t="s">
        <v>1956</v>
      </c>
      <c r="B2250" s="348" t="s">
        <v>1981</v>
      </c>
      <c r="C2250" s="441">
        <v>216</v>
      </c>
      <c r="D2250" s="442">
        <v>2101</v>
      </c>
      <c r="E2250" s="443" t="s">
        <v>24</v>
      </c>
      <c r="F2250" s="444" t="s">
        <v>1419</v>
      </c>
      <c r="G2250" s="443"/>
      <c r="H2250" s="442">
        <v>70980</v>
      </c>
      <c r="I2250" s="445" t="s">
        <v>900</v>
      </c>
      <c r="J2250" s="149">
        <v>74393597.819999993</v>
      </c>
      <c r="K2250" s="627"/>
      <c r="L2250" s="394"/>
      <c r="M2250" s="394" t="s">
        <v>5133</v>
      </c>
      <c r="N2250" s="537">
        <v>97526385.180000007</v>
      </c>
      <c r="O2250" s="347" t="s">
        <v>1981</v>
      </c>
    </row>
    <row r="2251" spans="1:16" ht="60" customHeight="1" x14ac:dyDescent="0.35">
      <c r="A2251" s="272" t="s">
        <v>1957</v>
      </c>
      <c r="B2251" s="348" t="s">
        <v>1982</v>
      </c>
      <c r="C2251" s="441" t="s">
        <v>191</v>
      </c>
      <c r="D2251" s="442">
        <v>2101</v>
      </c>
      <c r="E2251" s="443" t="s">
        <v>24</v>
      </c>
      <c r="F2251" s="444" t="s">
        <v>1419</v>
      </c>
      <c r="G2251" s="443"/>
      <c r="H2251" s="442">
        <v>70980</v>
      </c>
      <c r="I2251" s="445" t="s">
        <v>523</v>
      </c>
      <c r="J2251" s="149">
        <v>7537691.5099999998</v>
      </c>
      <c r="K2251" s="627">
        <v>7537691.5099999998</v>
      </c>
      <c r="L2251" s="394"/>
      <c r="M2251" s="394" t="s">
        <v>5133</v>
      </c>
      <c r="N2251" s="537">
        <v>25740000</v>
      </c>
      <c r="O2251" s="347" t="s">
        <v>1982</v>
      </c>
    </row>
    <row r="2252" spans="1:16" ht="54.75" customHeight="1" x14ac:dyDescent="0.35">
      <c r="A2252" s="272" t="s">
        <v>1958</v>
      </c>
      <c r="B2252" s="348" t="s">
        <v>1983</v>
      </c>
      <c r="C2252" s="441" t="s">
        <v>388</v>
      </c>
      <c r="D2252" s="442">
        <v>2101</v>
      </c>
      <c r="E2252" s="443" t="s">
        <v>24</v>
      </c>
      <c r="F2252" s="444" t="s">
        <v>2979</v>
      </c>
      <c r="G2252" s="443"/>
      <c r="H2252" s="442">
        <v>70980</v>
      </c>
      <c r="I2252" s="237" t="s">
        <v>900</v>
      </c>
      <c r="J2252" s="149">
        <v>50000000</v>
      </c>
      <c r="K2252" s="627"/>
      <c r="L2252" s="394"/>
      <c r="M2252" s="394" t="s">
        <v>5133</v>
      </c>
      <c r="N2252" s="537">
        <v>21911194.02</v>
      </c>
      <c r="O2252" s="347" t="s">
        <v>1983</v>
      </c>
    </row>
    <row r="2253" spans="1:16" ht="84.75" customHeight="1" x14ac:dyDescent="0.35">
      <c r="A2253" s="272" t="s">
        <v>1959</v>
      </c>
      <c r="B2253" s="348" t="s">
        <v>1984</v>
      </c>
      <c r="C2253" s="441">
        <v>216</v>
      </c>
      <c r="D2253" s="442">
        <v>2101</v>
      </c>
      <c r="E2253" s="443" t="s">
        <v>24</v>
      </c>
      <c r="F2253" s="444" t="s">
        <v>2978</v>
      </c>
      <c r="G2253" s="443"/>
      <c r="H2253" s="442">
        <v>70980</v>
      </c>
      <c r="I2253" s="445" t="s">
        <v>523</v>
      </c>
      <c r="J2253" s="149">
        <v>36883075.159999996</v>
      </c>
      <c r="K2253" s="627">
        <v>4390679.78</v>
      </c>
      <c r="L2253" s="394"/>
      <c r="M2253" s="394" t="s">
        <v>5133</v>
      </c>
      <c r="N2253" s="537">
        <v>37074331.549999997</v>
      </c>
      <c r="O2253" s="347" t="s">
        <v>1984</v>
      </c>
    </row>
    <row r="2254" spans="1:16" ht="60" customHeight="1" x14ac:dyDescent="0.35">
      <c r="A2254" s="272" t="s">
        <v>1960</v>
      </c>
      <c r="B2254" s="348" t="s">
        <v>827</v>
      </c>
      <c r="C2254" s="441">
        <v>216</v>
      </c>
      <c r="D2254" s="442">
        <v>2101</v>
      </c>
      <c r="E2254" s="443" t="s">
        <v>24</v>
      </c>
      <c r="F2254" s="444" t="s">
        <v>2978</v>
      </c>
      <c r="G2254" s="443"/>
      <c r="H2254" s="442">
        <v>70980</v>
      </c>
      <c r="I2254" s="445" t="s">
        <v>523</v>
      </c>
      <c r="J2254" s="149">
        <v>306458841</v>
      </c>
      <c r="K2254" s="627">
        <v>200000000</v>
      </c>
      <c r="L2254" s="394"/>
      <c r="M2254" s="394" t="s">
        <v>5133</v>
      </c>
      <c r="N2254" s="537">
        <v>400959410.98000002</v>
      </c>
      <c r="O2254" s="347" t="s">
        <v>827</v>
      </c>
      <c r="P2254" s="231">
        <v>112240782</v>
      </c>
    </row>
    <row r="2255" spans="1:16" ht="40.5" customHeight="1" x14ac:dyDescent="0.35">
      <c r="A2255" s="272" t="s">
        <v>1961</v>
      </c>
      <c r="B2255" s="348" t="s">
        <v>828</v>
      </c>
      <c r="C2255" s="441" t="s">
        <v>391</v>
      </c>
      <c r="D2255" s="442">
        <v>2101</v>
      </c>
      <c r="E2255" s="443" t="s">
        <v>24</v>
      </c>
      <c r="F2255" s="444" t="s">
        <v>2978</v>
      </c>
      <c r="G2255" s="443"/>
      <c r="H2255" s="442">
        <v>70980</v>
      </c>
      <c r="I2255" s="445" t="s">
        <v>523</v>
      </c>
      <c r="J2255" s="149">
        <v>356025817</v>
      </c>
      <c r="K2255" s="627">
        <v>200000000</v>
      </c>
      <c r="L2255" s="394"/>
      <c r="M2255" s="394" t="s">
        <v>5133</v>
      </c>
      <c r="N2255" s="537">
        <v>287012006.17000002</v>
      </c>
      <c r="O2255" s="347" t="s">
        <v>828</v>
      </c>
      <c r="P2255" s="231">
        <v>132603477</v>
      </c>
    </row>
    <row r="2256" spans="1:16" ht="51.75" customHeight="1" x14ac:dyDescent="0.35">
      <c r="A2256" s="272" t="s">
        <v>1962</v>
      </c>
      <c r="B2256" s="348" t="s">
        <v>1985</v>
      </c>
      <c r="C2256" s="441" t="s">
        <v>391</v>
      </c>
      <c r="D2256" s="442">
        <v>2101</v>
      </c>
      <c r="E2256" s="443" t="s">
        <v>24</v>
      </c>
      <c r="F2256" s="444" t="s">
        <v>2978</v>
      </c>
      <c r="G2256" s="443"/>
      <c r="H2256" s="442">
        <v>70980</v>
      </c>
      <c r="I2256" s="445" t="s">
        <v>523</v>
      </c>
      <c r="J2256" s="149">
        <v>297724048</v>
      </c>
      <c r="K2256" s="627">
        <v>200000000</v>
      </c>
      <c r="L2256" s="394"/>
      <c r="M2256" s="394" t="s">
        <v>5133</v>
      </c>
      <c r="N2256" s="537">
        <v>401494588.88999999</v>
      </c>
      <c r="O2256" s="347" t="s">
        <v>1985</v>
      </c>
      <c r="P2256" s="231">
        <f>P2254+P2255</f>
        <v>244844259</v>
      </c>
    </row>
    <row r="2257" spans="1:195" ht="31.5" customHeight="1" x14ac:dyDescent="0.35">
      <c r="A2257" s="272" t="s">
        <v>1963</v>
      </c>
      <c r="B2257" s="348" t="s">
        <v>1986</v>
      </c>
      <c r="C2257" s="441">
        <v>426</v>
      </c>
      <c r="D2257" s="442">
        <v>2101</v>
      </c>
      <c r="E2257" s="443" t="s">
        <v>24</v>
      </c>
      <c r="F2257" s="444" t="s">
        <v>313</v>
      </c>
      <c r="G2257" s="443"/>
      <c r="H2257" s="442">
        <v>70980</v>
      </c>
      <c r="I2257" s="445" t="s">
        <v>902</v>
      </c>
      <c r="J2257" s="149">
        <v>49031910.539999999</v>
      </c>
      <c r="K2257" s="627">
        <v>841173.93</v>
      </c>
      <c r="L2257" s="394"/>
      <c r="M2257" s="394" t="s">
        <v>5133</v>
      </c>
      <c r="N2257" s="537">
        <v>50000000</v>
      </c>
      <c r="O2257" s="347" t="s">
        <v>1986</v>
      </c>
    </row>
    <row r="2258" spans="1:195" ht="32.25" customHeight="1" x14ac:dyDescent="0.35">
      <c r="A2258" s="272" t="s">
        <v>1964</v>
      </c>
      <c r="B2258" s="348" t="s">
        <v>829</v>
      </c>
      <c r="C2258" s="441">
        <v>426</v>
      </c>
      <c r="D2258" s="442">
        <v>2101</v>
      </c>
      <c r="E2258" s="443" t="s">
        <v>24</v>
      </c>
      <c r="F2258" s="444" t="s">
        <v>2978</v>
      </c>
      <c r="G2258" s="443"/>
      <c r="H2258" s="442">
        <v>70980</v>
      </c>
      <c r="I2258" s="446" t="s">
        <v>523</v>
      </c>
      <c r="J2258" s="149">
        <f>229151501-100000000</f>
        <v>129151501</v>
      </c>
      <c r="K2258" s="627"/>
      <c r="L2258" s="394"/>
      <c r="M2258" s="394" t="s">
        <v>5133</v>
      </c>
      <c r="N2258" s="537">
        <v>75000000</v>
      </c>
      <c r="O2258" s="347" t="s">
        <v>829</v>
      </c>
    </row>
    <row r="2259" spans="1:195" ht="30.75" customHeight="1" x14ac:dyDescent="0.35">
      <c r="A2259" s="272" t="s">
        <v>1965</v>
      </c>
      <c r="B2259" s="348" t="s">
        <v>830</v>
      </c>
      <c r="C2259" s="441" t="s">
        <v>772</v>
      </c>
      <c r="D2259" s="442">
        <v>2101</v>
      </c>
      <c r="E2259" s="443" t="s">
        <v>24</v>
      </c>
      <c r="F2259" s="444" t="s">
        <v>2978</v>
      </c>
      <c r="G2259" s="443"/>
      <c r="H2259" s="442">
        <v>70980</v>
      </c>
      <c r="I2259" s="237" t="s">
        <v>523</v>
      </c>
      <c r="J2259" s="149">
        <v>80000000</v>
      </c>
      <c r="K2259" s="627"/>
      <c r="L2259" s="394"/>
      <c r="M2259" s="394" t="s">
        <v>5133</v>
      </c>
      <c r="N2259" s="537">
        <v>50000000</v>
      </c>
      <c r="O2259" s="347" t="s">
        <v>830</v>
      </c>
    </row>
    <row r="2260" spans="1:195" ht="28.5" customHeight="1" x14ac:dyDescent="0.35">
      <c r="A2260" s="272" t="s">
        <v>1966</v>
      </c>
      <c r="B2260" s="348" t="s">
        <v>831</v>
      </c>
      <c r="C2260" s="441">
        <v>426</v>
      </c>
      <c r="D2260" s="442">
        <v>2101</v>
      </c>
      <c r="E2260" s="443" t="s">
        <v>24</v>
      </c>
      <c r="F2260" s="444" t="s">
        <v>2978</v>
      </c>
      <c r="G2260" s="443"/>
      <c r="H2260" s="442">
        <v>70980</v>
      </c>
      <c r="I2260" s="445" t="s">
        <v>523</v>
      </c>
      <c r="J2260" s="149">
        <v>51828712.759999998</v>
      </c>
      <c r="K2260" s="627"/>
      <c r="L2260" s="394"/>
      <c r="M2260" s="394" t="s">
        <v>5133</v>
      </c>
      <c r="N2260" s="537">
        <v>50000000</v>
      </c>
      <c r="O2260" s="347" t="s">
        <v>831</v>
      </c>
    </row>
    <row r="2261" spans="1:195" s="252" customFormat="1" ht="35.25" customHeight="1" x14ac:dyDescent="0.35">
      <c r="A2261" s="272" t="s">
        <v>1967</v>
      </c>
      <c r="B2261" s="348" t="s">
        <v>832</v>
      </c>
      <c r="C2261" s="441" t="s">
        <v>191</v>
      </c>
      <c r="D2261" s="442">
        <v>2101</v>
      </c>
      <c r="E2261" s="443" t="s">
        <v>24</v>
      </c>
      <c r="F2261" s="444" t="s">
        <v>2978</v>
      </c>
      <c r="G2261" s="443"/>
      <c r="H2261" s="442">
        <v>70980</v>
      </c>
      <c r="I2261" s="445" t="s">
        <v>523</v>
      </c>
      <c r="J2261" s="149">
        <v>354191332.01999998</v>
      </c>
      <c r="K2261" s="627">
        <v>300000000</v>
      </c>
      <c r="L2261" s="394"/>
      <c r="M2261" s="394" t="s">
        <v>5133</v>
      </c>
      <c r="N2261" s="537">
        <v>55000000</v>
      </c>
      <c r="O2261" s="347" t="s">
        <v>832</v>
      </c>
      <c r="P2261" s="447"/>
      <c r="Q2261" s="281"/>
      <c r="R2261" s="281"/>
      <c r="S2261" s="281"/>
      <c r="T2261" s="281"/>
      <c r="U2261" s="281"/>
      <c r="V2261" s="281"/>
      <c r="W2261" s="281"/>
      <c r="X2261" s="281"/>
      <c r="Y2261" s="281"/>
      <c r="Z2261" s="281"/>
      <c r="AA2261" s="281"/>
      <c r="AB2261" s="281"/>
      <c r="AC2261" s="281"/>
      <c r="AD2261" s="281"/>
      <c r="AE2261" s="281"/>
      <c r="AF2261" s="281"/>
      <c r="AG2261" s="281"/>
      <c r="AH2261" s="281"/>
      <c r="AI2261" s="281"/>
      <c r="AJ2261" s="281"/>
      <c r="AK2261" s="281"/>
      <c r="AL2261" s="281"/>
      <c r="AM2261" s="281"/>
      <c r="AN2261" s="281"/>
      <c r="AO2261" s="281"/>
      <c r="AP2261" s="281"/>
      <c r="AQ2261" s="281"/>
      <c r="AR2261" s="281"/>
      <c r="AS2261" s="281"/>
      <c r="AT2261" s="281"/>
      <c r="AU2261" s="281"/>
      <c r="AV2261" s="281"/>
      <c r="AW2261" s="281"/>
      <c r="AX2261" s="281"/>
      <c r="AY2261" s="281"/>
      <c r="AZ2261" s="281"/>
      <c r="BA2261" s="281"/>
      <c r="BB2261" s="281"/>
      <c r="BC2261" s="281"/>
      <c r="BD2261" s="281"/>
      <c r="BE2261" s="281"/>
      <c r="BF2261" s="281"/>
      <c r="BG2261" s="281"/>
      <c r="BH2261" s="281"/>
      <c r="BI2261" s="281"/>
      <c r="BJ2261" s="281"/>
      <c r="BK2261" s="281"/>
      <c r="BL2261" s="281"/>
      <c r="BM2261" s="281"/>
      <c r="BN2261" s="281"/>
      <c r="BO2261" s="281"/>
      <c r="BP2261" s="281"/>
      <c r="BQ2261" s="281"/>
      <c r="BR2261" s="281"/>
      <c r="BS2261" s="281"/>
      <c r="BT2261" s="281"/>
      <c r="BU2261" s="281"/>
      <c r="BV2261" s="281"/>
      <c r="BW2261" s="281"/>
      <c r="BX2261" s="281"/>
      <c r="BY2261" s="281"/>
      <c r="BZ2261" s="281"/>
      <c r="CA2261" s="281"/>
      <c r="CB2261" s="281"/>
      <c r="CC2261" s="281"/>
      <c r="CD2261" s="281"/>
      <c r="CE2261" s="281"/>
      <c r="CF2261" s="281"/>
      <c r="CG2261" s="281"/>
      <c r="CH2261" s="281"/>
      <c r="CI2261" s="281"/>
      <c r="CJ2261" s="281"/>
      <c r="CK2261" s="281"/>
      <c r="CL2261" s="281"/>
      <c r="CM2261" s="281"/>
      <c r="CN2261" s="281"/>
      <c r="CO2261" s="281"/>
      <c r="CP2261" s="281"/>
      <c r="CQ2261" s="281"/>
      <c r="CR2261" s="281"/>
      <c r="CS2261" s="281"/>
      <c r="CT2261" s="281"/>
      <c r="CU2261" s="281"/>
      <c r="CV2261" s="281"/>
      <c r="CW2261" s="281"/>
      <c r="CX2261" s="281"/>
      <c r="CY2261" s="281"/>
      <c r="CZ2261" s="281"/>
      <c r="DA2261" s="281"/>
      <c r="DB2261" s="281"/>
      <c r="DC2261" s="281"/>
      <c r="DD2261" s="281"/>
      <c r="DE2261" s="281"/>
      <c r="DF2261" s="281"/>
      <c r="DG2261" s="281"/>
      <c r="DH2261" s="281"/>
      <c r="DI2261" s="281"/>
      <c r="DJ2261" s="281"/>
      <c r="DK2261" s="281"/>
      <c r="DL2261" s="281"/>
      <c r="DM2261" s="281"/>
      <c r="DN2261" s="281"/>
      <c r="DO2261" s="281"/>
      <c r="DP2261" s="281"/>
      <c r="DQ2261" s="281"/>
      <c r="DR2261" s="281"/>
      <c r="DS2261" s="281"/>
      <c r="DT2261" s="281"/>
      <c r="DU2261" s="281"/>
      <c r="DV2261" s="281"/>
      <c r="DW2261" s="281"/>
      <c r="DX2261" s="281"/>
      <c r="DY2261" s="281"/>
      <c r="DZ2261" s="281"/>
      <c r="EA2261" s="281"/>
      <c r="EB2261" s="281"/>
      <c r="EC2261" s="281"/>
      <c r="ED2261" s="281"/>
      <c r="EE2261" s="281"/>
      <c r="EF2261" s="281"/>
      <c r="EG2261" s="281"/>
      <c r="EH2261" s="281"/>
      <c r="EI2261" s="281"/>
      <c r="EJ2261" s="281"/>
      <c r="EK2261" s="281"/>
      <c r="EL2261" s="281"/>
      <c r="EM2261" s="281"/>
      <c r="EN2261" s="281"/>
      <c r="EO2261" s="281"/>
      <c r="EP2261" s="281"/>
      <c r="EQ2261" s="281"/>
      <c r="ER2261" s="281"/>
      <c r="ES2261" s="281"/>
      <c r="ET2261" s="281"/>
      <c r="EU2261" s="281"/>
      <c r="EV2261" s="281"/>
      <c r="EW2261" s="281"/>
      <c r="EX2261" s="281"/>
      <c r="EY2261" s="281"/>
      <c r="EZ2261" s="281"/>
      <c r="FA2261" s="281"/>
      <c r="FB2261" s="281"/>
      <c r="FC2261" s="281"/>
      <c r="FD2261" s="281"/>
      <c r="FE2261" s="281"/>
      <c r="FF2261" s="281"/>
      <c r="FG2261" s="281"/>
      <c r="FH2261" s="281"/>
      <c r="FI2261" s="281"/>
      <c r="FJ2261" s="281"/>
      <c r="FK2261" s="281"/>
      <c r="FL2261" s="281"/>
      <c r="FM2261" s="281"/>
      <c r="FN2261" s="281"/>
      <c r="FO2261" s="281"/>
      <c r="FP2261" s="281"/>
      <c r="FQ2261" s="281"/>
      <c r="FR2261" s="281"/>
      <c r="FS2261" s="281"/>
      <c r="FT2261" s="281"/>
      <c r="FU2261" s="281"/>
      <c r="FV2261" s="281"/>
      <c r="FW2261" s="281"/>
      <c r="FX2261" s="281"/>
      <c r="FY2261" s="281"/>
      <c r="FZ2261" s="281"/>
      <c r="GA2261" s="281"/>
      <c r="GB2261" s="281"/>
      <c r="GC2261" s="281"/>
      <c r="GD2261" s="281"/>
      <c r="GE2261" s="281"/>
      <c r="GF2261" s="281"/>
      <c r="GG2261" s="281"/>
      <c r="GH2261" s="281"/>
      <c r="GI2261" s="281"/>
      <c r="GJ2261" s="281"/>
      <c r="GK2261" s="281"/>
      <c r="GL2261" s="281"/>
      <c r="GM2261" s="448"/>
    </row>
    <row r="2262" spans="1:195" ht="39" customHeight="1" x14ac:dyDescent="0.35">
      <c r="A2262" s="272" t="s">
        <v>1968</v>
      </c>
      <c r="B2262" s="348" t="s">
        <v>833</v>
      </c>
      <c r="C2262" s="441">
        <v>322</v>
      </c>
      <c r="D2262" s="442">
        <v>2101</v>
      </c>
      <c r="E2262" s="443" t="s">
        <v>24</v>
      </c>
      <c r="F2262" s="444" t="s">
        <v>2978</v>
      </c>
      <c r="G2262" s="443"/>
      <c r="H2262" s="442">
        <v>70980</v>
      </c>
      <c r="I2262" s="445" t="s">
        <v>523</v>
      </c>
      <c r="J2262" s="149">
        <v>11193515</v>
      </c>
      <c r="K2262" s="627">
        <v>7654262.3099999996</v>
      </c>
      <c r="L2262" s="394"/>
      <c r="M2262" s="394" t="s">
        <v>5133</v>
      </c>
      <c r="N2262" s="537">
        <v>50000000</v>
      </c>
      <c r="O2262" s="347" t="s">
        <v>833</v>
      </c>
    </row>
    <row r="2263" spans="1:195" ht="35.25" customHeight="1" x14ac:dyDescent="0.35">
      <c r="A2263" s="272" t="s">
        <v>1969</v>
      </c>
      <c r="B2263" s="348" t="s">
        <v>834</v>
      </c>
      <c r="C2263" s="441" t="s">
        <v>391</v>
      </c>
      <c r="D2263" s="442">
        <v>2101</v>
      </c>
      <c r="E2263" s="443" t="s">
        <v>24</v>
      </c>
      <c r="F2263" s="444" t="s">
        <v>2978</v>
      </c>
      <c r="G2263" s="443"/>
      <c r="H2263" s="442">
        <v>70980</v>
      </c>
      <c r="I2263" s="237" t="s">
        <v>523</v>
      </c>
      <c r="J2263" s="149">
        <v>85000000</v>
      </c>
      <c r="K2263" s="627"/>
      <c r="L2263" s="394"/>
      <c r="M2263" s="394" t="s">
        <v>5133</v>
      </c>
      <c r="N2263" s="537">
        <v>200000000</v>
      </c>
      <c r="O2263" s="347" t="s">
        <v>834</v>
      </c>
    </row>
    <row r="2264" spans="1:195" ht="36.75" customHeight="1" x14ac:dyDescent="0.35">
      <c r="A2264" s="272" t="s">
        <v>1970</v>
      </c>
      <c r="B2264" s="348" t="s">
        <v>835</v>
      </c>
      <c r="C2264" s="441">
        <v>426</v>
      </c>
      <c r="D2264" s="442">
        <v>2101</v>
      </c>
      <c r="E2264" s="443" t="s">
        <v>24</v>
      </c>
      <c r="F2264" s="444" t="s">
        <v>313</v>
      </c>
      <c r="G2264" s="443"/>
      <c r="H2264" s="442">
        <v>70980</v>
      </c>
      <c r="I2264" s="237" t="s">
        <v>787</v>
      </c>
      <c r="J2264" s="149">
        <v>20000000</v>
      </c>
      <c r="K2264" s="627"/>
      <c r="L2264" s="394"/>
      <c r="M2264" s="394" t="s">
        <v>5133</v>
      </c>
      <c r="N2264" s="537">
        <v>20000000</v>
      </c>
      <c r="O2264" s="347" t="s">
        <v>835</v>
      </c>
    </row>
    <row r="2265" spans="1:195" ht="54" customHeight="1" x14ac:dyDescent="0.35">
      <c r="A2265" s="272" t="s">
        <v>1971</v>
      </c>
      <c r="B2265" s="348" t="s">
        <v>4871</v>
      </c>
      <c r="C2265" s="457" t="s">
        <v>3264</v>
      </c>
      <c r="D2265" s="442">
        <v>2101</v>
      </c>
      <c r="E2265" s="443" t="s">
        <v>24</v>
      </c>
      <c r="F2265" s="444" t="s">
        <v>313</v>
      </c>
      <c r="G2265" s="443"/>
      <c r="H2265" s="442">
        <v>70980</v>
      </c>
      <c r="I2265" s="237" t="s">
        <v>787</v>
      </c>
      <c r="J2265" s="149">
        <v>230000000</v>
      </c>
      <c r="K2265" s="627"/>
      <c r="L2265" s="394"/>
      <c r="M2265" s="394" t="s">
        <v>5133</v>
      </c>
      <c r="N2265" s="537"/>
      <c r="O2265" s="347"/>
    </row>
    <row r="2266" spans="1:195" ht="72.75" customHeight="1" x14ac:dyDescent="0.35">
      <c r="A2266" s="272" t="s">
        <v>1972</v>
      </c>
      <c r="B2266" s="348" t="s">
        <v>4872</v>
      </c>
      <c r="C2266" s="457" t="s">
        <v>3264</v>
      </c>
      <c r="D2266" s="442">
        <v>2101</v>
      </c>
      <c r="E2266" s="443" t="s">
        <v>24</v>
      </c>
      <c r="F2266" s="444" t="s">
        <v>313</v>
      </c>
      <c r="G2266" s="443"/>
      <c r="H2266" s="442">
        <v>70980</v>
      </c>
      <c r="I2266" s="237" t="s">
        <v>787</v>
      </c>
      <c r="J2266" s="149">
        <v>230000000</v>
      </c>
      <c r="K2266" s="627"/>
      <c r="L2266" s="394"/>
      <c r="M2266" s="394" t="s">
        <v>5133</v>
      </c>
      <c r="N2266" s="537"/>
      <c r="O2266" s="347"/>
    </row>
    <row r="2267" spans="1:195" ht="27.75" customHeight="1" x14ac:dyDescent="0.35">
      <c r="A2267" s="272" t="s">
        <v>1973</v>
      </c>
      <c r="B2267" s="348" t="s">
        <v>836</v>
      </c>
      <c r="C2267" s="441">
        <v>426</v>
      </c>
      <c r="D2267" s="442">
        <v>2101</v>
      </c>
      <c r="E2267" s="443" t="s">
        <v>24</v>
      </c>
      <c r="F2267" s="444" t="s">
        <v>2978</v>
      </c>
      <c r="G2267" s="443"/>
      <c r="H2267" s="442">
        <v>70980</v>
      </c>
      <c r="I2267" s="445" t="s">
        <v>523</v>
      </c>
      <c r="J2267" s="149">
        <v>46313174.950000003</v>
      </c>
      <c r="K2267" s="627">
        <v>20013282.09</v>
      </c>
      <c r="L2267" s="394"/>
      <c r="M2267" s="394" t="s">
        <v>5133</v>
      </c>
      <c r="N2267" s="537">
        <v>50000000</v>
      </c>
      <c r="O2267" s="347" t="s">
        <v>836</v>
      </c>
    </row>
    <row r="2268" spans="1:195" ht="33" customHeight="1" x14ac:dyDescent="0.35">
      <c r="A2268" s="272" t="s">
        <v>1974</v>
      </c>
      <c r="B2268" s="348" t="s">
        <v>837</v>
      </c>
      <c r="C2268" s="441">
        <v>426</v>
      </c>
      <c r="D2268" s="442">
        <v>2101</v>
      </c>
      <c r="E2268" s="443" t="s">
        <v>24</v>
      </c>
      <c r="F2268" s="444" t="s">
        <v>2978</v>
      </c>
      <c r="G2268" s="443"/>
      <c r="H2268" s="442">
        <v>70980</v>
      </c>
      <c r="I2268" s="237" t="s">
        <v>523</v>
      </c>
      <c r="J2268" s="149">
        <v>20000000</v>
      </c>
      <c r="K2268" s="627"/>
      <c r="L2268" s="394"/>
      <c r="M2268" s="394" t="s">
        <v>5133</v>
      </c>
      <c r="N2268" s="537">
        <v>90000000</v>
      </c>
      <c r="O2268" s="347" t="s">
        <v>837</v>
      </c>
    </row>
    <row r="2269" spans="1:195" ht="30.75" customHeight="1" x14ac:dyDescent="0.35">
      <c r="A2269" s="272" t="s">
        <v>1975</v>
      </c>
      <c r="B2269" s="348" t="s">
        <v>320</v>
      </c>
      <c r="C2269" s="441">
        <v>426</v>
      </c>
      <c r="D2269" s="442">
        <v>2101</v>
      </c>
      <c r="E2269" s="443" t="s">
        <v>24</v>
      </c>
      <c r="F2269" s="444" t="s">
        <v>2978</v>
      </c>
      <c r="G2269" s="443"/>
      <c r="H2269" s="442">
        <v>70133</v>
      </c>
      <c r="I2269" s="237" t="s">
        <v>904</v>
      </c>
      <c r="J2269" s="149">
        <v>10000000</v>
      </c>
      <c r="K2269" s="627"/>
      <c r="L2269" s="394"/>
      <c r="M2269" s="394" t="s">
        <v>5133</v>
      </c>
      <c r="N2269" s="537">
        <v>10000000</v>
      </c>
      <c r="O2269" s="347" t="s">
        <v>320</v>
      </c>
    </row>
    <row r="2270" spans="1:195" ht="31.5" customHeight="1" x14ac:dyDescent="0.35">
      <c r="A2270" s="272" t="s">
        <v>1976</v>
      </c>
      <c r="B2270" s="348" t="s">
        <v>838</v>
      </c>
      <c r="C2270" s="441">
        <v>426</v>
      </c>
      <c r="D2270" s="442">
        <v>2101</v>
      </c>
      <c r="E2270" s="443" t="s">
        <v>24</v>
      </c>
      <c r="F2270" s="444" t="s">
        <v>313</v>
      </c>
      <c r="G2270" s="443"/>
      <c r="H2270" s="442">
        <v>70133</v>
      </c>
      <c r="I2270" s="237" t="s">
        <v>901</v>
      </c>
      <c r="J2270" s="149">
        <v>1000000</v>
      </c>
      <c r="K2270" s="627"/>
      <c r="L2270" s="394"/>
      <c r="M2270" s="394" t="s">
        <v>5133</v>
      </c>
      <c r="N2270" s="537">
        <v>1000000</v>
      </c>
      <c r="O2270" s="347" t="s">
        <v>838</v>
      </c>
    </row>
    <row r="2271" spans="1:195" ht="33" customHeight="1" x14ac:dyDescent="0.35">
      <c r="A2271" s="272" t="s">
        <v>1977</v>
      </c>
      <c r="B2271" s="348" t="s">
        <v>106</v>
      </c>
      <c r="C2271" s="441">
        <v>426</v>
      </c>
      <c r="D2271" s="442">
        <v>2101</v>
      </c>
      <c r="E2271" s="443" t="s">
        <v>24</v>
      </c>
      <c r="F2271" s="444" t="s">
        <v>54</v>
      </c>
      <c r="G2271" s="443"/>
      <c r="H2271" s="442">
        <v>70133</v>
      </c>
      <c r="I2271" s="237" t="s">
        <v>900</v>
      </c>
      <c r="J2271" s="149">
        <v>5000000</v>
      </c>
      <c r="K2271" s="627"/>
      <c r="L2271" s="394"/>
      <c r="M2271" s="394" t="s">
        <v>5133</v>
      </c>
      <c r="N2271" s="537">
        <v>5000000</v>
      </c>
      <c r="O2271" s="347" t="s">
        <v>106</v>
      </c>
    </row>
    <row r="2272" spans="1:195" ht="30.75" customHeight="1" x14ac:dyDescent="0.35">
      <c r="A2272" s="272" t="s">
        <v>1978</v>
      </c>
      <c r="B2272" s="348" t="s">
        <v>839</v>
      </c>
      <c r="C2272" s="441">
        <v>426</v>
      </c>
      <c r="D2272" s="442">
        <v>2101</v>
      </c>
      <c r="E2272" s="443" t="s">
        <v>24</v>
      </c>
      <c r="F2272" s="444" t="s">
        <v>108</v>
      </c>
      <c r="G2272" s="443"/>
      <c r="H2272" s="442">
        <v>70133</v>
      </c>
      <c r="I2272" s="237" t="s">
        <v>900</v>
      </c>
      <c r="J2272" s="149">
        <v>2000000</v>
      </c>
      <c r="K2272" s="627"/>
      <c r="L2272" s="394"/>
      <c r="M2272" s="394" t="s">
        <v>5133</v>
      </c>
      <c r="N2272" s="537">
        <v>2000000</v>
      </c>
      <c r="O2272" s="347" t="s">
        <v>839</v>
      </c>
    </row>
    <row r="2273" spans="1:16" ht="35.25" customHeight="1" x14ac:dyDescent="0.35">
      <c r="A2273" s="272" t="s">
        <v>1993</v>
      </c>
      <c r="B2273" s="348" t="s">
        <v>180</v>
      </c>
      <c r="C2273" s="441">
        <v>426</v>
      </c>
      <c r="D2273" s="442">
        <v>2101</v>
      </c>
      <c r="E2273" s="443" t="s">
        <v>24</v>
      </c>
      <c r="F2273" s="444" t="s">
        <v>1419</v>
      </c>
      <c r="G2273" s="443"/>
      <c r="H2273" s="442">
        <v>70133</v>
      </c>
      <c r="I2273" s="237" t="s">
        <v>523</v>
      </c>
      <c r="J2273" s="149">
        <v>7000000</v>
      </c>
      <c r="K2273" s="627"/>
      <c r="L2273" s="394"/>
      <c r="M2273" s="394" t="s">
        <v>5133</v>
      </c>
      <c r="N2273" s="537">
        <v>7000000</v>
      </c>
      <c r="O2273" s="347" t="s">
        <v>180</v>
      </c>
    </row>
    <row r="2274" spans="1:16" ht="32.25" customHeight="1" x14ac:dyDescent="0.35">
      <c r="A2274" s="272" t="s">
        <v>1994</v>
      </c>
      <c r="B2274" s="348" t="s">
        <v>840</v>
      </c>
      <c r="C2274" s="441">
        <v>426</v>
      </c>
      <c r="D2274" s="442">
        <v>2101</v>
      </c>
      <c r="E2274" s="443" t="s">
        <v>24</v>
      </c>
      <c r="F2274" s="444" t="s">
        <v>2978</v>
      </c>
      <c r="G2274" s="443"/>
      <c r="H2274" s="442">
        <v>70980</v>
      </c>
      <c r="I2274" s="446" t="s">
        <v>523</v>
      </c>
      <c r="J2274" s="149">
        <v>50000000</v>
      </c>
      <c r="K2274" s="627">
        <v>214243358.65000001</v>
      </c>
      <c r="L2274" s="394"/>
      <c r="M2274" s="394" t="s">
        <v>5133</v>
      </c>
      <c r="N2274" s="537">
        <v>55000000</v>
      </c>
      <c r="O2274" s="347" t="s">
        <v>840</v>
      </c>
    </row>
    <row r="2275" spans="1:16" ht="36.75" customHeight="1" x14ac:dyDescent="0.35">
      <c r="A2275" s="272" t="s">
        <v>1995</v>
      </c>
      <c r="B2275" s="348" t="s">
        <v>4609</v>
      </c>
      <c r="C2275" s="441">
        <v>426</v>
      </c>
      <c r="D2275" s="442">
        <v>2101</v>
      </c>
      <c r="E2275" s="443" t="s">
        <v>24</v>
      </c>
      <c r="F2275" s="442" t="str">
        <f>F2254</f>
        <v>00032010105</v>
      </c>
      <c r="G2275" s="443"/>
      <c r="H2275" s="442">
        <v>70980</v>
      </c>
      <c r="I2275" s="237" t="s">
        <v>523</v>
      </c>
      <c r="J2275" s="149">
        <v>500000000</v>
      </c>
      <c r="K2275" s="627">
        <v>285023698.30000001</v>
      </c>
      <c r="L2275" s="394"/>
      <c r="M2275" s="394" t="s">
        <v>5133</v>
      </c>
      <c r="N2275" s="277"/>
      <c r="O2275" s="347" t="s">
        <v>1987</v>
      </c>
    </row>
    <row r="2276" spans="1:16" ht="33" customHeight="1" x14ac:dyDescent="0.35">
      <c r="A2276" s="272" t="s">
        <v>1996</v>
      </c>
      <c r="B2276" s="348" t="s">
        <v>4623</v>
      </c>
      <c r="C2276" s="441">
        <v>426</v>
      </c>
      <c r="D2276" s="442">
        <v>2101</v>
      </c>
      <c r="E2276" s="443" t="s">
        <v>24</v>
      </c>
      <c r="F2276" s="442" t="str">
        <f>F2275</f>
        <v>00032010105</v>
      </c>
      <c r="G2276" s="443"/>
      <c r="H2276" s="442">
        <v>70980</v>
      </c>
      <c r="I2276" s="445" t="s">
        <v>523</v>
      </c>
      <c r="J2276" s="149">
        <v>250000000</v>
      </c>
      <c r="K2276" s="627">
        <v>200000000</v>
      </c>
      <c r="L2276" s="394"/>
      <c r="M2276" s="394" t="s">
        <v>5133</v>
      </c>
      <c r="N2276" s="277"/>
      <c r="O2276" s="347" t="s">
        <v>1988</v>
      </c>
    </row>
    <row r="2277" spans="1:16" ht="54" customHeight="1" x14ac:dyDescent="0.35">
      <c r="A2277" s="272" t="s">
        <v>1997</v>
      </c>
      <c r="B2277" s="348" t="s">
        <v>1989</v>
      </c>
      <c r="C2277" s="441">
        <v>426</v>
      </c>
      <c r="D2277" s="442">
        <v>2101</v>
      </c>
      <c r="E2277" s="443" t="s">
        <v>24</v>
      </c>
      <c r="F2277" s="442" t="str">
        <f>F2253</f>
        <v>00032010105</v>
      </c>
      <c r="G2277" s="443"/>
      <c r="H2277" s="442">
        <v>70980</v>
      </c>
      <c r="I2277" s="445" t="s">
        <v>523</v>
      </c>
      <c r="J2277" s="149">
        <v>50000000</v>
      </c>
      <c r="K2277" s="627"/>
      <c r="L2277" s="394"/>
      <c r="M2277" s="394" t="s">
        <v>5133</v>
      </c>
      <c r="N2277" s="277"/>
      <c r="O2277" s="347" t="s">
        <v>1989</v>
      </c>
    </row>
    <row r="2278" spans="1:16" ht="30.75" customHeight="1" x14ac:dyDescent="0.35">
      <c r="A2278" s="272" t="s">
        <v>4823</v>
      </c>
      <c r="B2278" s="348" t="s">
        <v>5100</v>
      </c>
      <c r="C2278" s="165" t="s">
        <v>5</v>
      </c>
      <c r="D2278" s="163" t="s">
        <v>4</v>
      </c>
      <c r="E2278" s="237" t="s">
        <v>45</v>
      </c>
      <c r="F2278" s="163" t="s">
        <v>995</v>
      </c>
      <c r="G2278" s="164"/>
      <c r="H2278" s="253">
        <v>70630</v>
      </c>
      <c r="I2278" s="237" t="s">
        <v>343</v>
      </c>
      <c r="J2278" s="149">
        <v>100000000</v>
      </c>
      <c r="K2278" s="627">
        <v>31553176</v>
      </c>
      <c r="L2278" s="394"/>
      <c r="M2278" s="394" t="s">
        <v>5133</v>
      </c>
      <c r="N2278" s="277"/>
      <c r="O2278" s="347" t="s">
        <v>1990</v>
      </c>
    </row>
    <row r="2279" spans="1:16" ht="30" customHeight="1" x14ac:dyDescent="0.35">
      <c r="A2279" s="272" t="s">
        <v>1998</v>
      </c>
      <c r="B2279" s="348" t="s">
        <v>1991</v>
      </c>
      <c r="C2279" s="441">
        <v>426</v>
      </c>
      <c r="D2279" s="442">
        <v>2101</v>
      </c>
      <c r="E2279" s="443" t="s">
        <v>24</v>
      </c>
      <c r="F2279" s="442" t="str">
        <f>F2259</f>
        <v>00032010105</v>
      </c>
      <c r="G2279" s="443"/>
      <c r="H2279" s="442">
        <v>70980</v>
      </c>
      <c r="I2279" s="445" t="s">
        <v>523</v>
      </c>
      <c r="J2279" s="149">
        <v>150000000</v>
      </c>
      <c r="K2279" s="627"/>
      <c r="L2279" s="394"/>
      <c r="M2279" s="394" t="s">
        <v>5133</v>
      </c>
      <c r="N2279" s="277"/>
      <c r="O2279" s="347" t="s">
        <v>1991</v>
      </c>
    </row>
    <row r="2280" spans="1:16" ht="39.75" customHeight="1" x14ac:dyDescent="0.35">
      <c r="A2280" s="272" t="s">
        <v>3390</v>
      </c>
      <c r="B2280" s="348" t="s">
        <v>4952</v>
      </c>
      <c r="C2280" s="441">
        <v>426</v>
      </c>
      <c r="D2280" s="442">
        <v>2101</v>
      </c>
      <c r="E2280" s="443" t="s">
        <v>24</v>
      </c>
      <c r="F2280" s="442" t="str">
        <f>F2260</f>
        <v>00032010105</v>
      </c>
      <c r="G2280" s="443"/>
      <c r="H2280" s="442">
        <v>70980</v>
      </c>
      <c r="I2280" s="445" t="s">
        <v>523</v>
      </c>
      <c r="J2280" s="149">
        <f>150117978+350000000-460000000</f>
        <v>40117978</v>
      </c>
      <c r="K2280" s="627">
        <v>100000000</v>
      </c>
      <c r="L2280" s="394"/>
      <c r="M2280" s="394" t="s">
        <v>5133</v>
      </c>
      <c r="N2280" s="166"/>
      <c r="O2280" s="347" t="s">
        <v>1992</v>
      </c>
    </row>
    <row r="2281" spans="1:16" ht="44.25" customHeight="1" x14ac:dyDescent="0.35">
      <c r="A2281" s="272" t="s">
        <v>4586</v>
      </c>
      <c r="B2281" s="348" t="s">
        <v>4587</v>
      </c>
      <c r="C2281" s="457" t="s">
        <v>3264</v>
      </c>
      <c r="D2281" s="442">
        <v>2101</v>
      </c>
      <c r="E2281" s="443" t="s">
        <v>24</v>
      </c>
      <c r="F2281" s="444" t="s">
        <v>313</v>
      </c>
      <c r="G2281" s="443"/>
      <c r="H2281" s="442">
        <v>70980</v>
      </c>
      <c r="I2281" s="237" t="s">
        <v>787</v>
      </c>
      <c r="J2281" s="149">
        <v>300000000</v>
      </c>
      <c r="K2281" s="627"/>
      <c r="L2281" s="394"/>
      <c r="M2281" s="394" t="s">
        <v>5133</v>
      </c>
      <c r="N2281" s="166"/>
      <c r="O2281" s="347"/>
    </row>
    <row r="2282" spans="1:16" ht="53.25" customHeight="1" x14ac:dyDescent="0.35">
      <c r="A2282" s="272" t="s">
        <v>4869</v>
      </c>
      <c r="B2282" s="348" t="s">
        <v>4588</v>
      </c>
      <c r="C2282" s="457" t="s">
        <v>3264</v>
      </c>
      <c r="D2282" s="442">
        <v>2101</v>
      </c>
      <c r="E2282" s="443" t="s">
        <v>24</v>
      </c>
      <c r="F2282" s="444" t="s">
        <v>313</v>
      </c>
      <c r="G2282" s="443"/>
      <c r="H2282" s="442">
        <v>70980</v>
      </c>
      <c r="I2282" s="237" t="s">
        <v>787</v>
      </c>
      <c r="J2282" s="149">
        <v>300000000</v>
      </c>
      <c r="K2282" s="627"/>
      <c r="L2282" s="394"/>
      <c r="M2282" s="394" t="s">
        <v>5133</v>
      </c>
      <c r="N2282" s="166"/>
      <c r="O2282" s="347"/>
    </row>
    <row r="2283" spans="1:16" ht="36.75" customHeight="1" x14ac:dyDescent="0.35">
      <c r="A2283" s="272" t="s">
        <v>4870</v>
      </c>
      <c r="B2283" s="348" t="s">
        <v>3391</v>
      </c>
      <c r="C2283" s="441">
        <v>426</v>
      </c>
      <c r="D2283" s="442">
        <v>2101</v>
      </c>
      <c r="E2283" s="443" t="s">
        <v>24</v>
      </c>
      <c r="F2283" s="444" t="s">
        <v>2978</v>
      </c>
      <c r="G2283" s="443"/>
      <c r="H2283" s="442">
        <v>70980</v>
      </c>
      <c r="I2283" s="237" t="s">
        <v>523</v>
      </c>
      <c r="J2283" s="149">
        <v>2000000000</v>
      </c>
      <c r="L2283" s="394"/>
      <c r="M2283" s="394" t="s">
        <v>5133</v>
      </c>
      <c r="N2283" s="166"/>
      <c r="O2283" s="347"/>
    </row>
    <row r="2284" spans="1:16" x14ac:dyDescent="0.35">
      <c r="A2284" s="272"/>
      <c r="B2284" s="360" t="s">
        <v>1008</v>
      </c>
      <c r="C2284" s="188"/>
      <c r="D2284" s="257"/>
      <c r="E2284" s="273"/>
      <c r="F2284" s="257"/>
      <c r="G2284" s="273"/>
      <c r="H2284" s="257"/>
      <c r="I2284" s="273"/>
      <c r="J2284" s="259">
        <f>SUM(J2248:J2283)</f>
        <v>7017318618.7600002</v>
      </c>
      <c r="K2284" s="259">
        <f>SUM(K2248:K2282)</f>
        <v>2491496784.8600001</v>
      </c>
      <c r="L2284" s="707"/>
      <c r="M2284" s="707"/>
      <c r="N2284" s="259">
        <f>SUM(N2248:N2280)</f>
        <v>4574244695.0299997</v>
      </c>
      <c r="O2284" s="245" t="s">
        <v>1008</v>
      </c>
    </row>
    <row r="2285" spans="1:16" s="247" customFormat="1" ht="42.75" customHeight="1" x14ac:dyDescent="0.35">
      <c r="A2285" s="286"/>
      <c r="B2285" s="492"/>
      <c r="C2285" s="282"/>
      <c r="D2285" s="283"/>
      <c r="E2285" s="330"/>
      <c r="F2285" s="283"/>
      <c r="G2285" s="330"/>
      <c r="H2285" s="283"/>
      <c r="I2285" s="330"/>
      <c r="J2285" s="341"/>
      <c r="K2285" s="628"/>
      <c r="L2285" s="706"/>
      <c r="M2285" s="706"/>
      <c r="N2285" s="285"/>
      <c r="O2285" s="286"/>
      <c r="P2285" s="246"/>
    </row>
    <row r="2286" spans="1:16" ht="44.25" customHeight="1" x14ac:dyDescent="0.35">
      <c r="A2286" s="401" t="s">
        <v>1885</v>
      </c>
      <c r="B2286" s="716"/>
      <c r="C2286" s="402"/>
      <c r="D2286" s="403"/>
      <c r="E2286" s="404"/>
      <c r="F2286" s="403"/>
      <c r="G2286" s="404"/>
      <c r="H2286" s="403"/>
      <c r="I2286" s="404"/>
      <c r="J2286" s="405"/>
      <c r="K2286" s="458"/>
      <c r="L2286" s="704"/>
      <c r="M2286" s="704"/>
      <c r="N2286" s="405"/>
      <c r="O2286" s="600"/>
    </row>
    <row r="2287" spans="1:16" ht="15.75" hidden="1" customHeight="1" x14ac:dyDescent="0.35">
      <c r="A2287" s="428" t="s">
        <v>841</v>
      </c>
      <c r="B2287" s="583"/>
      <c r="C2287" s="429"/>
      <c r="D2287" s="430"/>
      <c r="E2287" s="494"/>
      <c r="F2287" s="430"/>
      <c r="G2287" s="494"/>
      <c r="H2287" s="430"/>
      <c r="I2287" s="494"/>
      <c r="J2287" s="495"/>
      <c r="K2287" s="458"/>
      <c r="L2287" s="704"/>
      <c r="M2287" s="704"/>
      <c r="N2287" s="495"/>
      <c r="O2287" s="357"/>
    </row>
    <row r="2288" spans="1:16" ht="29.25" hidden="1" customHeight="1" x14ac:dyDescent="0.35">
      <c r="A2288" s="187" t="s">
        <v>1007</v>
      </c>
      <c r="B2288" s="360" t="s">
        <v>50</v>
      </c>
      <c r="C2288" s="175" t="s">
        <v>898</v>
      </c>
      <c r="D2288" s="188" t="s">
        <v>52</v>
      </c>
      <c r="E2288" s="232" t="s">
        <v>49</v>
      </c>
      <c r="F2288" s="188" t="s">
        <v>1</v>
      </c>
      <c r="G2288" s="187"/>
      <c r="H2288" s="175" t="s">
        <v>51</v>
      </c>
      <c r="I2288" s="187" t="s">
        <v>2</v>
      </c>
      <c r="J2288" s="189" t="s">
        <v>4862</v>
      </c>
      <c r="K2288" s="458"/>
      <c r="L2288" s="704"/>
      <c r="M2288" s="704"/>
      <c r="N2288" s="189" t="s">
        <v>1006</v>
      </c>
      <c r="O2288" s="187" t="s">
        <v>50</v>
      </c>
    </row>
    <row r="2289" spans="1:16" s="235" customFormat="1" ht="78.75" customHeight="1" x14ac:dyDescent="0.35">
      <c r="A2289" s="360" t="s">
        <v>1007</v>
      </c>
      <c r="B2289" s="360" t="s">
        <v>50</v>
      </c>
      <c r="C2289" s="175" t="s">
        <v>898</v>
      </c>
      <c r="D2289" s="257" t="s">
        <v>52</v>
      </c>
      <c r="E2289" s="273" t="s">
        <v>49</v>
      </c>
      <c r="F2289" s="257" t="s">
        <v>1</v>
      </c>
      <c r="G2289" s="176"/>
      <c r="H2289" s="171" t="s">
        <v>51</v>
      </c>
      <c r="I2289" s="176" t="s">
        <v>2</v>
      </c>
      <c r="J2289" s="177" t="s">
        <v>4862</v>
      </c>
      <c r="K2289" s="189" t="s">
        <v>5140</v>
      </c>
      <c r="L2289" s="623" t="s">
        <v>5132</v>
      </c>
      <c r="M2289" s="623" t="s">
        <v>5132</v>
      </c>
      <c r="N2289" s="177" t="s">
        <v>1006</v>
      </c>
      <c r="O2289" s="178" t="s">
        <v>50</v>
      </c>
      <c r="P2289" s="234"/>
    </row>
    <row r="2290" spans="1:16" ht="31.5" customHeight="1" x14ac:dyDescent="0.35">
      <c r="A2290" s="272" t="s">
        <v>2144</v>
      </c>
      <c r="B2290" s="348" t="s">
        <v>3412</v>
      </c>
      <c r="C2290" s="290" t="s">
        <v>5</v>
      </c>
      <c r="D2290" s="538" t="s">
        <v>4</v>
      </c>
      <c r="E2290" s="463" t="s">
        <v>18</v>
      </c>
      <c r="F2290" s="463" t="s">
        <v>891</v>
      </c>
      <c r="G2290" s="169"/>
      <c r="H2290" s="538">
        <v>70721</v>
      </c>
      <c r="I2290" s="539" t="s">
        <v>855</v>
      </c>
      <c r="J2290" s="540">
        <v>7500000</v>
      </c>
      <c r="K2290" s="627">
        <v>3152287.5</v>
      </c>
      <c r="L2290" s="394"/>
      <c r="M2290" s="394" t="s">
        <v>5133</v>
      </c>
      <c r="N2290" s="320">
        <v>5000000</v>
      </c>
      <c r="O2290" s="449" t="s">
        <v>854</v>
      </c>
    </row>
    <row r="2291" spans="1:16" ht="38.25" customHeight="1" x14ac:dyDescent="0.35">
      <c r="A2291" s="272" t="s">
        <v>4560</v>
      </c>
      <c r="B2291" s="348" t="s">
        <v>854</v>
      </c>
      <c r="C2291" s="290" t="s">
        <v>5</v>
      </c>
      <c r="D2291" s="538" t="s">
        <v>4</v>
      </c>
      <c r="E2291" s="463" t="s">
        <v>18</v>
      </c>
      <c r="F2291" s="463" t="s">
        <v>207</v>
      </c>
      <c r="G2291" s="169"/>
      <c r="H2291" s="538">
        <v>70731</v>
      </c>
      <c r="I2291" s="539" t="s">
        <v>909</v>
      </c>
      <c r="J2291" s="540">
        <v>30000000</v>
      </c>
      <c r="K2291" s="627">
        <v>12609150</v>
      </c>
      <c r="L2291" s="394"/>
      <c r="M2291" s="394" t="s">
        <v>5133</v>
      </c>
      <c r="N2291" s="320">
        <v>4372610</v>
      </c>
      <c r="O2291" s="449" t="s">
        <v>886</v>
      </c>
    </row>
    <row r="2292" spans="1:16" ht="45.75" customHeight="1" x14ac:dyDescent="0.35">
      <c r="A2292" s="272" t="s">
        <v>2145</v>
      </c>
      <c r="B2292" s="348" t="s">
        <v>886</v>
      </c>
      <c r="C2292" s="290" t="s">
        <v>5</v>
      </c>
      <c r="D2292" s="538" t="s">
        <v>4</v>
      </c>
      <c r="E2292" s="463" t="s">
        <v>18</v>
      </c>
      <c r="F2292" s="463" t="s">
        <v>887</v>
      </c>
      <c r="G2292" s="169"/>
      <c r="H2292" s="538">
        <v>70731</v>
      </c>
      <c r="I2292" s="539" t="s">
        <v>353</v>
      </c>
      <c r="J2292" s="540">
        <v>25000000</v>
      </c>
      <c r="K2292" s="627">
        <v>10507625</v>
      </c>
      <c r="L2292" s="394"/>
      <c r="M2292" s="394" t="s">
        <v>5133</v>
      </c>
      <c r="N2292" s="320">
        <v>40000000</v>
      </c>
      <c r="O2292" s="449" t="s">
        <v>842</v>
      </c>
    </row>
    <row r="2293" spans="1:16" ht="61.5" customHeight="1" x14ac:dyDescent="0.35">
      <c r="A2293" s="272" t="s">
        <v>2146</v>
      </c>
      <c r="B2293" s="348" t="s">
        <v>3413</v>
      </c>
      <c r="C2293" s="290" t="s">
        <v>5</v>
      </c>
      <c r="D2293" s="538" t="s">
        <v>4</v>
      </c>
      <c r="E2293" s="463" t="s">
        <v>18</v>
      </c>
      <c r="F2293" s="463" t="s">
        <v>991</v>
      </c>
      <c r="G2293" s="169"/>
      <c r="H2293" s="538">
        <v>70731</v>
      </c>
      <c r="I2293" s="539" t="s">
        <v>353</v>
      </c>
      <c r="J2293" s="540">
        <v>550000000</v>
      </c>
      <c r="K2293" s="627">
        <v>231167750</v>
      </c>
      <c r="L2293" s="394"/>
      <c r="M2293" s="394" t="s">
        <v>5123</v>
      </c>
      <c r="N2293" s="537">
        <v>363117480.51999998</v>
      </c>
      <c r="O2293" s="449" t="s">
        <v>2138</v>
      </c>
    </row>
    <row r="2294" spans="1:16" ht="45.75" customHeight="1" x14ac:dyDescent="0.35">
      <c r="A2294" s="272" t="s">
        <v>2147</v>
      </c>
      <c r="B2294" s="348" t="s">
        <v>2138</v>
      </c>
      <c r="C2294" s="290" t="s">
        <v>5</v>
      </c>
      <c r="D2294" s="538" t="s">
        <v>4</v>
      </c>
      <c r="E2294" s="463" t="s">
        <v>18</v>
      </c>
      <c r="F2294" s="463" t="s">
        <v>991</v>
      </c>
      <c r="G2294" s="169"/>
      <c r="H2294" s="538">
        <v>70740</v>
      </c>
      <c r="I2294" s="539" t="s">
        <v>353</v>
      </c>
      <c r="J2294" s="540">
        <v>1080000000</v>
      </c>
      <c r="K2294" s="627">
        <v>453929400</v>
      </c>
      <c r="L2294" s="394"/>
      <c r="M2294" s="394" t="s">
        <v>5123</v>
      </c>
      <c r="N2294" s="537">
        <v>1735779323.0599999</v>
      </c>
      <c r="O2294" s="449" t="s">
        <v>856</v>
      </c>
    </row>
    <row r="2295" spans="1:16" ht="40.5" customHeight="1" x14ac:dyDescent="0.35">
      <c r="A2295" s="272" t="s">
        <v>2148</v>
      </c>
      <c r="B2295" s="348" t="s">
        <v>856</v>
      </c>
      <c r="C2295" s="290" t="s">
        <v>5</v>
      </c>
      <c r="D2295" s="538" t="s">
        <v>4</v>
      </c>
      <c r="E2295" s="463" t="s">
        <v>18</v>
      </c>
      <c r="F2295" s="463" t="s">
        <v>991</v>
      </c>
      <c r="G2295" s="169"/>
      <c r="H2295" s="538">
        <v>70731</v>
      </c>
      <c r="I2295" s="539" t="s">
        <v>353</v>
      </c>
      <c r="J2295" s="540">
        <v>90000000</v>
      </c>
      <c r="K2295" s="627">
        <v>37827450</v>
      </c>
      <c r="L2295" s="394"/>
      <c r="M2295" s="394" t="s">
        <v>5133</v>
      </c>
      <c r="N2295" s="537">
        <v>7500000</v>
      </c>
      <c r="O2295" s="449" t="s">
        <v>866</v>
      </c>
    </row>
    <row r="2296" spans="1:16" ht="57" customHeight="1" x14ac:dyDescent="0.35">
      <c r="A2296" s="272" t="s">
        <v>2149</v>
      </c>
      <c r="B2296" s="348" t="s">
        <v>866</v>
      </c>
      <c r="C2296" s="290" t="s">
        <v>392</v>
      </c>
      <c r="D2296" s="538" t="s">
        <v>4</v>
      </c>
      <c r="E2296" s="463" t="s">
        <v>18</v>
      </c>
      <c r="F2296" s="463" t="s">
        <v>991</v>
      </c>
      <c r="G2296" s="169"/>
      <c r="H2296" s="538">
        <v>70731</v>
      </c>
      <c r="I2296" s="539" t="s">
        <v>353</v>
      </c>
      <c r="J2296" s="540">
        <v>500000000</v>
      </c>
      <c r="K2296" s="627">
        <v>210152500</v>
      </c>
      <c r="L2296" s="394"/>
      <c r="M2296" s="394" t="s">
        <v>5123</v>
      </c>
      <c r="N2296" s="537">
        <v>287706311</v>
      </c>
      <c r="O2296" s="449" t="s">
        <v>869</v>
      </c>
    </row>
    <row r="2297" spans="1:16" ht="54.75" customHeight="1" x14ac:dyDescent="0.35">
      <c r="A2297" s="272" t="s">
        <v>2150</v>
      </c>
      <c r="B2297" s="348" t="s">
        <v>869</v>
      </c>
      <c r="C2297" s="290" t="s">
        <v>5</v>
      </c>
      <c r="D2297" s="538" t="s">
        <v>4</v>
      </c>
      <c r="E2297" s="463" t="s">
        <v>18</v>
      </c>
      <c r="F2297" s="463" t="s">
        <v>991</v>
      </c>
      <c r="G2297" s="169"/>
      <c r="H2297" s="538">
        <v>70731</v>
      </c>
      <c r="I2297" s="539" t="s">
        <v>878</v>
      </c>
      <c r="J2297" s="540">
        <v>15250000</v>
      </c>
      <c r="K2297" s="627">
        <v>6409651.25</v>
      </c>
      <c r="L2297" s="394"/>
      <c r="M2297" s="394" t="s">
        <v>5133</v>
      </c>
      <c r="N2297" s="537">
        <v>45000000</v>
      </c>
      <c r="O2297" s="449" t="s">
        <v>875</v>
      </c>
    </row>
    <row r="2298" spans="1:16" ht="28.5" customHeight="1" x14ac:dyDescent="0.35">
      <c r="A2298" s="272" t="s">
        <v>2151</v>
      </c>
      <c r="B2298" s="348" t="s">
        <v>875</v>
      </c>
      <c r="C2298" s="290" t="s">
        <v>5</v>
      </c>
      <c r="D2298" s="538" t="s">
        <v>4</v>
      </c>
      <c r="E2298" s="463" t="s">
        <v>18</v>
      </c>
      <c r="F2298" s="463" t="s">
        <v>313</v>
      </c>
      <c r="G2298" s="169"/>
      <c r="H2298" s="538">
        <v>70731</v>
      </c>
      <c r="I2298" s="539" t="s">
        <v>878</v>
      </c>
      <c r="J2298" s="540">
        <v>10000000</v>
      </c>
      <c r="K2298" s="627">
        <v>4203050</v>
      </c>
      <c r="L2298" s="394"/>
      <c r="M2298" s="394" t="s">
        <v>5133</v>
      </c>
      <c r="N2298" s="537">
        <v>10000000</v>
      </c>
      <c r="O2298" s="449" t="s">
        <v>876</v>
      </c>
    </row>
    <row r="2299" spans="1:16" ht="24.75" customHeight="1" x14ac:dyDescent="0.35">
      <c r="A2299" s="272" t="s">
        <v>2152</v>
      </c>
      <c r="B2299" s="348" t="s">
        <v>876</v>
      </c>
      <c r="C2299" s="290" t="s">
        <v>5</v>
      </c>
      <c r="D2299" s="538" t="s">
        <v>4</v>
      </c>
      <c r="E2299" s="463" t="s">
        <v>18</v>
      </c>
      <c r="F2299" s="463" t="s">
        <v>313</v>
      </c>
      <c r="G2299" s="169"/>
      <c r="H2299" s="538">
        <v>70731</v>
      </c>
      <c r="I2299" s="539" t="s">
        <v>878</v>
      </c>
      <c r="J2299" s="540">
        <v>67250000</v>
      </c>
      <c r="K2299" s="627">
        <f>28265511.25+40000000</f>
        <v>68265511.25</v>
      </c>
      <c r="L2299" s="627">
        <f>28265511.25+40000000</f>
        <v>68265511.25</v>
      </c>
      <c r="M2299" s="394" t="s">
        <v>5123</v>
      </c>
      <c r="N2299" s="537">
        <v>35000000</v>
      </c>
      <c r="O2299" s="449" t="s">
        <v>877</v>
      </c>
      <c r="P2299" s="627">
        <v>28265511.25</v>
      </c>
    </row>
    <row r="2300" spans="1:16" ht="32.25" customHeight="1" x14ac:dyDescent="0.35">
      <c r="A2300" s="272" t="s">
        <v>2153</v>
      </c>
      <c r="B2300" s="348" t="s">
        <v>877</v>
      </c>
      <c r="C2300" s="290" t="s">
        <v>5</v>
      </c>
      <c r="D2300" s="538" t="s">
        <v>4</v>
      </c>
      <c r="E2300" s="463" t="s">
        <v>18</v>
      </c>
      <c r="F2300" s="463" t="s">
        <v>313</v>
      </c>
      <c r="G2300" s="169"/>
      <c r="H2300" s="538">
        <v>70731</v>
      </c>
      <c r="I2300" s="539" t="s">
        <v>894</v>
      </c>
      <c r="J2300" s="540">
        <v>2500000</v>
      </c>
      <c r="K2300" s="627">
        <v>1050762.5</v>
      </c>
      <c r="L2300" s="394"/>
      <c r="M2300" s="394" t="s">
        <v>5133</v>
      </c>
      <c r="N2300" s="537">
        <v>2500000</v>
      </c>
      <c r="O2300" s="449" t="s">
        <v>879</v>
      </c>
    </row>
    <row r="2301" spans="1:16" ht="37.5" customHeight="1" x14ac:dyDescent="0.35">
      <c r="A2301" s="272" t="s">
        <v>2154</v>
      </c>
      <c r="B2301" s="348" t="s">
        <v>879</v>
      </c>
      <c r="C2301" s="290" t="s">
        <v>5</v>
      </c>
      <c r="D2301" s="538" t="s">
        <v>4</v>
      </c>
      <c r="E2301" s="463" t="s">
        <v>18</v>
      </c>
      <c r="F2301" s="463" t="s">
        <v>324</v>
      </c>
      <c r="G2301" s="169"/>
      <c r="H2301" s="538">
        <v>70740</v>
      </c>
      <c r="I2301" s="539" t="s">
        <v>894</v>
      </c>
      <c r="J2301" s="540">
        <v>95000000</v>
      </c>
      <c r="K2301" s="627">
        <v>19928975</v>
      </c>
      <c r="L2301" s="394"/>
      <c r="M2301" s="394" t="s">
        <v>5133</v>
      </c>
      <c r="N2301" s="537">
        <v>15000000</v>
      </c>
      <c r="O2301" s="449" t="s">
        <v>843</v>
      </c>
    </row>
    <row r="2302" spans="1:16" ht="54.75" customHeight="1" x14ac:dyDescent="0.35">
      <c r="A2302" s="272" t="s">
        <v>2155</v>
      </c>
      <c r="B2302" s="348" t="s">
        <v>843</v>
      </c>
      <c r="C2302" s="290" t="s">
        <v>5</v>
      </c>
      <c r="D2302" s="538" t="s">
        <v>4</v>
      </c>
      <c r="E2302" s="463" t="s">
        <v>18</v>
      </c>
      <c r="F2302" s="463" t="s">
        <v>845</v>
      </c>
      <c r="G2302" s="169"/>
      <c r="H2302" s="538">
        <v>70740</v>
      </c>
      <c r="I2302" s="539" t="s">
        <v>894</v>
      </c>
      <c r="J2302" s="540">
        <v>95000000</v>
      </c>
      <c r="K2302" s="627">
        <v>58443711.890000001</v>
      </c>
      <c r="L2302" s="394"/>
      <c r="M2302" s="394" t="s">
        <v>5123</v>
      </c>
      <c r="N2302" s="537">
        <v>124525676</v>
      </c>
      <c r="O2302" s="449" t="s">
        <v>846</v>
      </c>
    </row>
    <row r="2303" spans="1:16" ht="30.75" customHeight="1" x14ac:dyDescent="0.35">
      <c r="A2303" s="272" t="s">
        <v>2156</v>
      </c>
      <c r="B2303" s="348" t="s">
        <v>3414</v>
      </c>
      <c r="C2303" s="290" t="s">
        <v>5</v>
      </c>
      <c r="D2303" s="538" t="s">
        <v>4</v>
      </c>
      <c r="E2303" s="463" t="s">
        <v>18</v>
      </c>
      <c r="F2303" s="463" t="s">
        <v>845</v>
      </c>
      <c r="G2303" s="169"/>
      <c r="H2303" s="538">
        <v>70740</v>
      </c>
      <c r="I2303" s="539" t="s">
        <v>894</v>
      </c>
      <c r="J2303" s="540">
        <v>25000000</v>
      </c>
      <c r="K2303" s="627">
        <v>10507625</v>
      </c>
      <c r="L2303" s="394"/>
      <c r="M2303" s="394" t="s">
        <v>5133</v>
      </c>
      <c r="N2303" s="537">
        <v>25000000</v>
      </c>
      <c r="O2303" s="449" t="s">
        <v>847</v>
      </c>
    </row>
    <row r="2304" spans="1:16" ht="25.5" customHeight="1" x14ac:dyDescent="0.35">
      <c r="A2304" s="272" t="s">
        <v>2157</v>
      </c>
      <c r="B2304" s="348" t="s">
        <v>847</v>
      </c>
      <c r="C2304" s="290" t="s">
        <v>5</v>
      </c>
      <c r="D2304" s="538" t="s">
        <v>4</v>
      </c>
      <c r="E2304" s="463" t="s">
        <v>18</v>
      </c>
      <c r="F2304" s="463" t="s">
        <v>845</v>
      </c>
      <c r="G2304" s="169"/>
      <c r="H2304" s="538">
        <v>70731</v>
      </c>
      <c r="I2304" s="539" t="s">
        <v>894</v>
      </c>
      <c r="J2304" s="540">
        <v>5000000</v>
      </c>
      <c r="K2304" s="627">
        <v>2101525</v>
      </c>
      <c r="L2304" s="394"/>
      <c r="M2304" s="394" t="s">
        <v>5133</v>
      </c>
      <c r="N2304" s="537">
        <v>5000000</v>
      </c>
      <c r="O2304" s="449" t="s">
        <v>851</v>
      </c>
    </row>
    <row r="2305" spans="1:15" ht="27.75" customHeight="1" x14ac:dyDescent="0.35">
      <c r="A2305" s="272" t="s">
        <v>2158</v>
      </c>
      <c r="B2305" s="348" t="s">
        <v>3415</v>
      </c>
      <c r="C2305" s="290" t="s">
        <v>5</v>
      </c>
      <c r="D2305" s="538" t="s">
        <v>4</v>
      </c>
      <c r="E2305" s="463" t="s">
        <v>18</v>
      </c>
      <c r="F2305" s="463" t="s">
        <v>845</v>
      </c>
      <c r="G2305" s="169"/>
      <c r="H2305" s="538">
        <v>70722</v>
      </c>
      <c r="I2305" s="539" t="s">
        <v>894</v>
      </c>
      <c r="J2305" s="540">
        <v>7000000</v>
      </c>
      <c r="K2305" s="627">
        <v>2942135</v>
      </c>
      <c r="L2305" s="394"/>
      <c r="M2305" s="394" t="s">
        <v>5133</v>
      </c>
      <c r="N2305" s="149"/>
      <c r="O2305" s="449" t="s">
        <v>857</v>
      </c>
    </row>
    <row r="2306" spans="1:15" ht="39" customHeight="1" x14ac:dyDescent="0.35">
      <c r="A2306" s="272" t="s">
        <v>2159</v>
      </c>
      <c r="B2306" s="348" t="s">
        <v>857</v>
      </c>
      <c r="C2306" s="290" t="s">
        <v>5</v>
      </c>
      <c r="D2306" s="538" t="s">
        <v>4</v>
      </c>
      <c r="E2306" s="463" t="s">
        <v>18</v>
      </c>
      <c r="F2306" s="463" t="s">
        <v>845</v>
      </c>
      <c r="G2306" s="169"/>
      <c r="H2306" s="538">
        <v>70731</v>
      </c>
      <c r="I2306" s="539" t="s">
        <v>894</v>
      </c>
      <c r="J2306" s="540">
        <v>15000000</v>
      </c>
      <c r="K2306" s="627">
        <v>2304575</v>
      </c>
      <c r="L2306" s="394"/>
      <c r="M2306" s="394" t="s">
        <v>5133</v>
      </c>
      <c r="N2306" s="537">
        <v>24000000</v>
      </c>
      <c r="O2306" s="449" t="s">
        <v>844</v>
      </c>
    </row>
    <row r="2307" spans="1:15" ht="36.75" customHeight="1" x14ac:dyDescent="0.35">
      <c r="A2307" s="272" t="s">
        <v>2160</v>
      </c>
      <c r="B2307" s="348" t="s">
        <v>844</v>
      </c>
      <c r="C2307" s="290" t="s">
        <v>5</v>
      </c>
      <c r="D2307" s="538" t="s">
        <v>4</v>
      </c>
      <c r="E2307" s="463" t="s">
        <v>18</v>
      </c>
      <c r="F2307" s="463" t="s">
        <v>845</v>
      </c>
      <c r="G2307" s="169"/>
      <c r="H2307" s="538">
        <v>70731</v>
      </c>
      <c r="I2307" s="539" t="s">
        <v>894</v>
      </c>
      <c r="J2307" s="540">
        <v>12500000</v>
      </c>
      <c r="K2307" s="627">
        <v>5253812</v>
      </c>
      <c r="L2307" s="394"/>
      <c r="M2307" s="394" t="s">
        <v>5133</v>
      </c>
      <c r="N2307" s="537">
        <v>24000000</v>
      </c>
      <c r="O2307" s="449" t="s">
        <v>880</v>
      </c>
    </row>
    <row r="2308" spans="1:15" ht="30.75" customHeight="1" x14ac:dyDescent="0.35">
      <c r="A2308" s="272" t="s">
        <v>2161</v>
      </c>
      <c r="B2308" s="348" t="s">
        <v>880</v>
      </c>
      <c r="C2308" s="290" t="s">
        <v>5</v>
      </c>
      <c r="D2308" s="538" t="s">
        <v>4</v>
      </c>
      <c r="E2308" s="463" t="s">
        <v>18</v>
      </c>
      <c r="F2308" s="463" t="s">
        <v>845</v>
      </c>
      <c r="G2308" s="169"/>
      <c r="H2308" s="538">
        <v>70731</v>
      </c>
      <c r="I2308" s="539" t="s">
        <v>894</v>
      </c>
      <c r="J2308" s="540">
        <v>10000000</v>
      </c>
      <c r="K2308" s="627">
        <f>2203050+7800000</f>
        <v>10003050</v>
      </c>
      <c r="L2308" s="394"/>
      <c r="M2308" s="394" t="s">
        <v>5133</v>
      </c>
      <c r="N2308" s="537">
        <v>10000000</v>
      </c>
      <c r="O2308" s="449" t="s">
        <v>882</v>
      </c>
    </row>
    <row r="2309" spans="1:15" ht="48.75" customHeight="1" x14ac:dyDescent="0.35">
      <c r="A2309" s="272" t="s">
        <v>2162</v>
      </c>
      <c r="B2309" s="348" t="s">
        <v>882</v>
      </c>
      <c r="C2309" s="290" t="s">
        <v>5</v>
      </c>
      <c r="D2309" s="538" t="s">
        <v>4</v>
      </c>
      <c r="E2309" s="463" t="s">
        <v>18</v>
      </c>
      <c r="F2309" s="463" t="s">
        <v>845</v>
      </c>
      <c r="G2309" s="169"/>
      <c r="H2309" s="538">
        <v>70731</v>
      </c>
      <c r="I2309" s="539" t="s">
        <v>894</v>
      </c>
      <c r="J2309" s="540">
        <v>15500000</v>
      </c>
      <c r="K2309" s="627">
        <v>4000000</v>
      </c>
      <c r="L2309" s="394"/>
      <c r="M2309" s="394" t="s">
        <v>5133</v>
      </c>
      <c r="N2309" s="537">
        <v>7500000</v>
      </c>
      <c r="O2309" s="449" t="s">
        <v>884</v>
      </c>
    </row>
    <row r="2310" spans="1:15" ht="34.5" customHeight="1" x14ac:dyDescent="0.35">
      <c r="A2310" s="272" t="s">
        <v>2163</v>
      </c>
      <c r="B2310" s="348" t="s">
        <v>884</v>
      </c>
      <c r="C2310" s="290" t="s">
        <v>5</v>
      </c>
      <c r="D2310" s="538" t="s">
        <v>4</v>
      </c>
      <c r="E2310" s="463" t="s">
        <v>18</v>
      </c>
      <c r="F2310" s="463" t="s">
        <v>845</v>
      </c>
      <c r="G2310" s="169"/>
      <c r="H2310" s="538">
        <v>70731</v>
      </c>
      <c r="I2310" s="539" t="s">
        <v>894</v>
      </c>
      <c r="J2310" s="540">
        <v>25000000</v>
      </c>
      <c r="K2310" s="627">
        <v>20507625</v>
      </c>
      <c r="L2310" s="394"/>
      <c r="M2310" s="394" t="s">
        <v>5133</v>
      </c>
      <c r="N2310" s="149">
        <v>8500000</v>
      </c>
      <c r="O2310" s="449" t="s">
        <v>885</v>
      </c>
    </row>
    <row r="2311" spans="1:15" ht="27" customHeight="1" x14ac:dyDescent="0.35">
      <c r="A2311" s="272" t="s">
        <v>2164</v>
      </c>
      <c r="B2311" s="348" t="s">
        <v>885</v>
      </c>
      <c r="C2311" s="290" t="s">
        <v>5</v>
      </c>
      <c r="D2311" s="538" t="s">
        <v>4</v>
      </c>
      <c r="E2311" s="463" t="s">
        <v>18</v>
      </c>
      <c r="F2311" s="463" t="s">
        <v>845</v>
      </c>
      <c r="G2311" s="169"/>
      <c r="H2311" s="538">
        <v>70731</v>
      </c>
      <c r="I2311" s="539" t="s">
        <v>894</v>
      </c>
      <c r="J2311" s="540">
        <v>72000000</v>
      </c>
      <c r="K2311" s="627">
        <v>30261960</v>
      </c>
      <c r="L2311" s="394"/>
      <c r="M2311" s="394" t="s">
        <v>5133</v>
      </c>
      <c r="N2311" s="537">
        <v>20000000</v>
      </c>
      <c r="O2311" s="449" t="s">
        <v>889</v>
      </c>
    </row>
    <row r="2312" spans="1:15" ht="27" customHeight="1" x14ac:dyDescent="0.35">
      <c r="A2312" s="272" t="s">
        <v>2165</v>
      </c>
      <c r="B2312" s="348" t="s">
        <v>3416</v>
      </c>
      <c r="C2312" s="290" t="s">
        <v>5</v>
      </c>
      <c r="D2312" s="538" t="s">
        <v>4</v>
      </c>
      <c r="E2312" s="463" t="s">
        <v>18</v>
      </c>
      <c r="F2312" s="463" t="s">
        <v>845</v>
      </c>
      <c r="G2312" s="169"/>
      <c r="H2312" s="538">
        <v>70731</v>
      </c>
      <c r="I2312" s="539" t="s">
        <v>894</v>
      </c>
      <c r="J2312" s="540">
        <v>70000000</v>
      </c>
      <c r="K2312" s="627">
        <v>59421350</v>
      </c>
      <c r="L2312" s="394"/>
      <c r="M2312" s="394" t="s">
        <v>5133</v>
      </c>
      <c r="N2312" s="537">
        <v>20000000</v>
      </c>
      <c r="O2312" s="449" t="s">
        <v>890</v>
      </c>
    </row>
    <row r="2313" spans="1:15" ht="33.75" customHeight="1" x14ac:dyDescent="0.35">
      <c r="A2313" s="272" t="s">
        <v>2166</v>
      </c>
      <c r="B2313" s="348" t="s">
        <v>890</v>
      </c>
      <c r="C2313" s="290" t="s">
        <v>5</v>
      </c>
      <c r="D2313" s="538" t="s">
        <v>4</v>
      </c>
      <c r="E2313" s="463" t="s">
        <v>18</v>
      </c>
      <c r="F2313" s="463" t="s">
        <v>845</v>
      </c>
      <c r="G2313" s="169"/>
      <c r="H2313" s="538">
        <v>70731</v>
      </c>
      <c r="I2313" s="539" t="s">
        <v>894</v>
      </c>
      <c r="J2313" s="540">
        <v>5000000</v>
      </c>
      <c r="K2313" s="627">
        <v>2101525</v>
      </c>
      <c r="L2313" s="394"/>
      <c r="M2313" s="394" t="s">
        <v>5133</v>
      </c>
      <c r="N2313" s="537">
        <v>4000000</v>
      </c>
      <c r="O2313" s="449" t="s">
        <v>892</v>
      </c>
    </row>
    <row r="2314" spans="1:15" ht="33.75" customHeight="1" x14ac:dyDescent="0.35">
      <c r="A2314" s="272" t="s">
        <v>2167</v>
      </c>
      <c r="B2314" s="348" t="s">
        <v>892</v>
      </c>
      <c r="C2314" s="290" t="s">
        <v>5</v>
      </c>
      <c r="D2314" s="538" t="s">
        <v>4</v>
      </c>
      <c r="E2314" s="463" t="s">
        <v>18</v>
      </c>
      <c r="F2314" s="463" t="s">
        <v>845</v>
      </c>
      <c r="G2314" s="169"/>
      <c r="H2314" s="538">
        <v>70731</v>
      </c>
      <c r="I2314" s="539" t="s">
        <v>894</v>
      </c>
      <c r="J2314" s="540">
        <v>5000000</v>
      </c>
      <c r="K2314" s="627">
        <v>2101525</v>
      </c>
      <c r="L2314" s="394"/>
      <c r="M2314" s="394" t="s">
        <v>5133</v>
      </c>
      <c r="N2314" s="537">
        <v>3000000</v>
      </c>
      <c r="O2314" s="449" t="s">
        <v>893</v>
      </c>
    </row>
    <row r="2315" spans="1:15" ht="33.75" customHeight="1" x14ac:dyDescent="0.35">
      <c r="A2315" s="272" t="s">
        <v>2168</v>
      </c>
      <c r="B2315" s="348" t="s">
        <v>893</v>
      </c>
      <c r="C2315" s="290" t="s">
        <v>5</v>
      </c>
      <c r="D2315" s="538" t="s">
        <v>4</v>
      </c>
      <c r="E2315" s="463" t="s">
        <v>18</v>
      </c>
      <c r="F2315" s="463" t="s">
        <v>845</v>
      </c>
      <c r="G2315" s="169"/>
      <c r="H2315" s="538">
        <v>70740</v>
      </c>
      <c r="I2315" s="539" t="s">
        <v>850</v>
      </c>
      <c r="J2315" s="540">
        <v>5000000</v>
      </c>
      <c r="K2315" s="627">
        <v>2101525</v>
      </c>
      <c r="L2315" s="394"/>
      <c r="M2315" s="394" t="s">
        <v>5133</v>
      </c>
      <c r="N2315" s="537">
        <v>2000000</v>
      </c>
      <c r="O2315" s="449" t="s">
        <v>849</v>
      </c>
    </row>
    <row r="2316" spans="1:15" ht="36.75" customHeight="1" x14ac:dyDescent="0.35">
      <c r="A2316" s="272" t="s">
        <v>2169</v>
      </c>
      <c r="B2316" s="348" t="s">
        <v>849</v>
      </c>
      <c r="C2316" s="290" t="s">
        <v>5</v>
      </c>
      <c r="D2316" s="538" t="s">
        <v>4</v>
      </c>
      <c r="E2316" s="463" t="s">
        <v>18</v>
      </c>
      <c r="F2316" s="463" t="s">
        <v>522</v>
      </c>
      <c r="G2316" s="167"/>
      <c r="H2316" s="538">
        <v>70731</v>
      </c>
      <c r="I2316" s="539" t="s">
        <v>353</v>
      </c>
      <c r="J2316" s="540">
        <v>60000000</v>
      </c>
      <c r="K2316" s="627">
        <f>25218300+35000000</f>
        <v>60218300</v>
      </c>
      <c r="L2316" s="394"/>
      <c r="M2316" s="394" t="s">
        <v>5133</v>
      </c>
      <c r="N2316" s="537">
        <v>37500000</v>
      </c>
      <c r="O2316" s="449" t="s">
        <v>858</v>
      </c>
    </row>
    <row r="2317" spans="1:15" ht="54" customHeight="1" x14ac:dyDescent="0.35">
      <c r="A2317" s="272" t="s">
        <v>2170</v>
      </c>
      <c r="B2317" s="348" t="s">
        <v>858</v>
      </c>
      <c r="C2317" s="290" t="s">
        <v>309</v>
      </c>
      <c r="D2317" s="538" t="s">
        <v>4</v>
      </c>
      <c r="E2317" s="463" t="s">
        <v>18</v>
      </c>
      <c r="F2317" s="463" t="s">
        <v>158</v>
      </c>
      <c r="G2317" s="167"/>
      <c r="H2317" s="538">
        <v>70731</v>
      </c>
      <c r="I2317" s="539" t="s">
        <v>353</v>
      </c>
      <c r="J2317" s="540">
        <v>270372499.19999999</v>
      </c>
      <c r="K2317" s="627">
        <v>113638913.28</v>
      </c>
      <c r="L2317" s="394"/>
      <c r="M2317" s="394" t="s">
        <v>5133</v>
      </c>
      <c r="N2317" s="537">
        <v>370372499.19999999</v>
      </c>
      <c r="O2317" s="449" t="s">
        <v>859</v>
      </c>
    </row>
    <row r="2318" spans="1:15" ht="55.5" customHeight="1" x14ac:dyDescent="0.35">
      <c r="A2318" s="272" t="s">
        <v>2171</v>
      </c>
      <c r="B2318" s="348" t="s">
        <v>3417</v>
      </c>
      <c r="C2318" s="290" t="s">
        <v>5</v>
      </c>
      <c r="D2318" s="538" t="s">
        <v>4</v>
      </c>
      <c r="E2318" s="463" t="s">
        <v>18</v>
      </c>
      <c r="F2318" s="463" t="s">
        <v>158</v>
      </c>
      <c r="G2318" s="167"/>
      <c r="H2318" s="538">
        <v>70740</v>
      </c>
      <c r="I2318" s="539" t="s">
        <v>353</v>
      </c>
      <c r="J2318" s="540">
        <v>60000000</v>
      </c>
      <c r="K2318" s="627">
        <v>25218300</v>
      </c>
      <c r="L2318" s="394"/>
      <c r="M2318" s="394" t="s">
        <v>5133</v>
      </c>
      <c r="N2318" s="149"/>
      <c r="O2318" s="449" t="s">
        <v>860</v>
      </c>
    </row>
    <row r="2319" spans="1:15" ht="64.5" customHeight="1" x14ac:dyDescent="0.35">
      <c r="A2319" s="272" t="s">
        <v>2172</v>
      </c>
      <c r="B2319" s="348" t="s">
        <v>859</v>
      </c>
      <c r="C2319" s="290" t="s">
        <v>190</v>
      </c>
      <c r="D2319" s="538" t="s">
        <v>4</v>
      </c>
      <c r="E2319" s="463" t="s">
        <v>18</v>
      </c>
      <c r="F2319" s="463" t="s">
        <v>158</v>
      </c>
      <c r="G2319" s="167"/>
      <c r="H2319" s="538">
        <v>70731</v>
      </c>
      <c r="I2319" s="539" t="s">
        <v>353</v>
      </c>
      <c r="J2319" s="540">
        <v>5000000</v>
      </c>
      <c r="K2319" s="627">
        <v>2101525</v>
      </c>
      <c r="L2319" s="394"/>
      <c r="M2319" s="394" t="s">
        <v>5133</v>
      </c>
      <c r="N2319" s="537">
        <v>5000000</v>
      </c>
      <c r="O2319" s="449" t="s">
        <v>861</v>
      </c>
    </row>
    <row r="2320" spans="1:15" ht="57" customHeight="1" x14ac:dyDescent="0.35">
      <c r="A2320" s="272" t="s">
        <v>2173</v>
      </c>
      <c r="B2320" s="348" t="s">
        <v>3418</v>
      </c>
      <c r="C2320" s="290" t="s">
        <v>390</v>
      </c>
      <c r="D2320" s="538" t="s">
        <v>4</v>
      </c>
      <c r="E2320" s="463" t="s">
        <v>18</v>
      </c>
      <c r="F2320" s="463" t="s">
        <v>158</v>
      </c>
      <c r="G2320" s="167"/>
      <c r="H2320" s="538">
        <v>70731</v>
      </c>
      <c r="I2320" s="539" t="s">
        <v>353</v>
      </c>
      <c r="J2320" s="540">
        <v>212473849</v>
      </c>
      <c r="K2320" s="627">
        <v>89303821.099999994</v>
      </c>
      <c r="L2320" s="394"/>
      <c r="M2320" s="394" t="s">
        <v>5133</v>
      </c>
      <c r="N2320" s="537">
        <v>232087500</v>
      </c>
      <c r="O2320" s="449" t="s">
        <v>862</v>
      </c>
    </row>
    <row r="2321" spans="1:15" ht="53.25" customHeight="1" x14ac:dyDescent="0.35">
      <c r="A2321" s="272" t="s">
        <v>2174</v>
      </c>
      <c r="B2321" s="348" t="s">
        <v>862</v>
      </c>
      <c r="C2321" s="290" t="s">
        <v>390</v>
      </c>
      <c r="D2321" s="538" t="s">
        <v>4</v>
      </c>
      <c r="E2321" s="463" t="s">
        <v>18</v>
      </c>
      <c r="F2321" s="463" t="s">
        <v>158</v>
      </c>
      <c r="G2321" s="167"/>
      <c r="H2321" s="538">
        <v>70731</v>
      </c>
      <c r="I2321" s="539" t="s">
        <v>353</v>
      </c>
      <c r="J2321" s="540">
        <v>1201800000</v>
      </c>
      <c r="K2321" s="627">
        <f>505122549+145000000</f>
        <v>650122549</v>
      </c>
      <c r="L2321" s="394"/>
      <c r="M2321" s="394" t="s">
        <v>5123</v>
      </c>
      <c r="N2321" s="537">
        <v>801800000</v>
      </c>
      <c r="O2321" s="449" t="s">
        <v>863</v>
      </c>
    </row>
    <row r="2322" spans="1:15" ht="54" customHeight="1" x14ac:dyDescent="0.35">
      <c r="A2322" s="272" t="s">
        <v>2175</v>
      </c>
      <c r="B2322" s="348" t="s">
        <v>863</v>
      </c>
      <c r="C2322" s="290" t="s">
        <v>390</v>
      </c>
      <c r="D2322" s="538" t="s">
        <v>4</v>
      </c>
      <c r="E2322" s="463" t="s">
        <v>18</v>
      </c>
      <c r="F2322" s="463" t="s">
        <v>158</v>
      </c>
      <c r="G2322" s="167"/>
      <c r="H2322" s="538">
        <v>70731</v>
      </c>
      <c r="I2322" s="539" t="s">
        <v>353</v>
      </c>
      <c r="J2322" s="540">
        <v>5000000</v>
      </c>
      <c r="K2322" s="627">
        <v>12101525</v>
      </c>
      <c r="L2322" s="394"/>
      <c r="M2322" s="394" t="s">
        <v>5133</v>
      </c>
      <c r="N2322" s="537">
        <v>5000000</v>
      </c>
      <c r="O2322" s="449" t="s">
        <v>864</v>
      </c>
    </row>
    <row r="2323" spans="1:15" ht="30.75" customHeight="1" x14ac:dyDescent="0.35">
      <c r="A2323" s="272" t="s">
        <v>2176</v>
      </c>
      <c r="B2323" s="348" t="s">
        <v>864</v>
      </c>
      <c r="C2323" s="290" t="s">
        <v>5</v>
      </c>
      <c r="D2323" s="538" t="s">
        <v>4</v>
      </c>
      <c r="E2323" s="463" t="s">
        <v>18</v>
      </c>
      <c r="F2323" s="463" t="s">
        <v>158</v>
      </c>
      <c r="G2323" s="167"/>
      <c r="H2323" s="538">
        <v>70111</v>
      </c>
      <c r="I2323" s="539" t="s">
        <v>353</v>
      </c>
      <c r="J2323" s="540">
        <v>50000000</v>
      </c>
      <c r="K2323" s="627">
        <v>21015250</v>
      </c>
      <c r="L2323" s="394"/>
      <c r="M2323" s="394" t="s">
        <v>5133</v>
      </c>
      <c r="N2323" s="537">
        <v>50000000</v>
      </c>
      <c r="O2323" s="449" t="s">
        <v>868</v>
      </c>
    </row>
    <row r="2324" spans="1:15" ht="30.75" customHeight="1" x14ac:dyDescent="0.35">
      <c r="A2324" s="272" t="s">
        <v>2177</v>
      </c>
      <c r="B2324" s="348" t="s">
        <v>868</v>
      </c>
      <c r="C2324" s="290" t="s">
        <v>309</v>
      </c>
      <c r="D2324" s="538" t="s">
        <v>4</v>
      </c>
      <c r="E2324" s="463" t="s">
        <v>18</v>
      </c>
      <c r="F2324" s="463" t="s">
        <v>158</v>
      </c>
      <c r="G2324" s="167"/>
      <c r="H2324" s="538">
        <v>70731</v>
      </c>
      <c r="I2324" s="539" t="s">
        <v>353</v>
      </c>
      <c r="J2324" s="540">
        <v>115000000</v>
      </c>
      <c r="K2324" s="627">
        <v>48335075</v>
      </c>
      <c r="L2324" s="394"/>
      <c r="M2324" s="394" t="s">
        <v>5133</v>
      </c>
      <c r="N2324" s="537">
        <v>15000000</v>
      </c>
      <c r="O2324" s="449" t="s">
        <v>2139</v>
      </c>
    </row>
    <row r="2325" spans="1:15" ht="30.75" customHeight="1" x14ac:dyDescent="0.35">
      <c r="A2325" s="272" t="s">
        <v>2178</v>
      </c>
      <c r="B2325" s="348" t="s">
        <v>3419</v>
      </c>
      <c r="C2325" s="290" t="s">
        <v>871</v>
      </c>
      <c r="D2325" s="538" t="s">
        <v>4</v>
      </c>
      <c r="E2325" s="463" t="s">
        <v>18</v>
      </c>
      <c r="F2325" s="463" t="s">
        <v>158</v>
      </c>
      <c r="G2325" s="167"/>
      <c r="H2325" s="538">
        <v>70111</v>
      </c>
      <c r="I2325" s="539" t="s">
        <v>353</v>
      </c>
      <c r="J2325" s="540">
        <v>200000000</v>
      </c>
      <c r="K2325" s="627">
        <v>84061000</v>
      </c>
      <c r="L2325" s="394"/>
      <c r="M2325" s="394" t="s">
        <v>5133</v>
      </c>
      <c r="N2325" s="149"/>
      <c r="O2325" s="449" t="s">
        <v>870</v>
      </c>
    </row>
    <row r="2326" spans="1:15" ht="66" customHeight="1" x14ac:dyDescent="0.35">
      <c r="A2326" s="272" t="s">
        <v>2179</v>
      </c>
      <c r="B2326" s="348" t="s">
        <v>3420</v>
      </c>
      <c r="C2326" s="290" t="s">
        <v>873</v>
      </c>
      <c r="D2326" s="538" t="s">
        <v>4</v>
      </c>
      <c r="E2326" s="463" t="s">
        <v>18</v>
      </c>
      <c r="F2326" s="463" t="s">
        <v>158</v>
      </c>
      <c r="G2326" s="167"/>
      <c r="H2326" s="538">
        <v>70731</v>
      </c>
      <c r="I2326" s="539" t="s">
        <v>353</v>
      </c>
      <c r="J2326" s="540">
        <v>15000000</v>
      </c>
      <c r="K2326" s="627">
        <v>6304575</v>
      </c>
      <c r="L2326" s="394"/>
      <c r="M2326" s="394" t="s">
        <v>5133</v>
      </c>
      <c r="N2326" s="149"/>
      <c r="O2326" s="449" t="s">
        <v>872</v>
      </c>
    </row>
    <row r="2327" spans="1:15" ht="30.75" customHeight="1" x14ac:dyDescent="0.35">
      <c r="A2327" s="272" t="s">
        <v>2180</v>
      </c>
      <c r="B2327" s="348" t="s">
        <v>872</v>
      </c>
      <c r="C2327" s="290" t="s">
        <v>5</v>
      </c>
      <c r="D2327" s="538" t="s">
        <v>4</v>
      </c>
      <c r="E2327" s="463" t="s">
        <v>18</v>
      </c>
      <c r="F2327" s="463" t="s">
        <v>158</v>
      </c>
      <c r="G2327" s="167"/>
      <c r="H2327" s="538">
        <v>70731</v>
      </c>
      <c r="I2327" s="539" t="s">
        <v>353</v>
      </c>
      <c r="J2327" s="540">
        <v>580000000</v>
      </c>
      <c r="K2327" s="627">
        <v>243776900</v>
      </c>
      <c r="L2327" s="394"/>
      <c r="M2327" s="394" t="s">
        <v>5123</v>
      </c>
      <c r="N2327" s="537">
        <v>635386348.60000002</v>
      </c>
      <c r="O2327" s="449" t="s">
        <v>874</v>
      </c>
    </row>
    <row r="2328" spans="1:15" ht="30.75" customHeight="1" x14ac:dyDescent="0.35">
      <c r="A2328" s="272" t="s">
        <v>2181</v>
      </c>
      <c r="B2328" s="348" t="s">
        <v>3421</v>
      </c>
      <c r="C2328" s="290" t="s">
        <v>5</v>
      </c>
      <c r="D2328" s="538" t="s">
        <v>4</v>
      </c>
      <c r="E2328" s="463" t="s">
        <v>18</v>
      </c>
      <c r="F2328" s="463" t="s">
        <v>158</v>
      </c>
      <c r="G2328" s="167"/>
      <c r="H2328" s="538">
        <v>70731</v>
      </c>
      <c r="I2328" s="539" t="s">
        <v>353</v>
      </c>
      <c r="J2328" s="540">
        <v>180000000</v>
      </c>
      <c r="K2328" s="627">
        <f>75654900+50000000</f>
        <v>125654900</v>
      </c>
      <c r="L2328" s="627">
        <f>75654900+50000000</f>
        <v>125654900</v>
      </c>
      <c r="M2328" s="394" t="s">
        <v>5123</v>
      </c>
      <c r="N2328" s="537">
        <v>45000000</v>
      </c>
      <c r="O2328" s="449" t="s">
        <v>888</v>
      </c>
    </row>
    <row r="2329" spans="1:15" ht="30.75" customHeight="1" x14ac:dyDescent="0.35">
      <c r="A2329" s="272" t="s">
        <v>2182</v>
      </c>
      <c r="B2329" s="348" t="s">
        <v>3422</v>
      </c>
      <c r="C2329" s="290" t="s">
        <v>896</v>
      </c>
      <c r="D2329" s="538" t="s">
        <v>4</v>
      </c>
      <c r="E2329" s="463" t="s">
        <v>18</v>
      </c>
      <c r="F2329" s="463" t="s">
        <v>158</v>
      </c>
      <c r="G2329" s="167"/>
      <c r="H2329" s="538">
        <v>70731</v>
      </c>
      <c r="I2329" s="539" t="s">
        <v>353</v>
      </c>
      <c r="J2329" s="540">
        <v>50000000</v>
      </c>
      <c r="K2329" s="627">
        <v>21015250</v>
      </c>
      <c r="L2329" s="394"/>
      <c r="M2329" s="394" t="s">
        <v>5133</v>
      </c>
      <c r="N2329" s="537">
        <v>50000000</v>
      </c>
      <c r="O2329" s="449" t="s">
        <v>895</v>
      </c>
    </row>
    <row r="2330" spans="1:15" ht="30.75" customHeight="1" x14ac:dyDescent="0.35">
      <c r="A2330" s="272" t="s">
        <v>2183</v>
      </c>
      <c r="B2330" s="348" t="s">
        <v>3423</v>
      </c>
      <c r="C2330" s="290" t="s">
        <v>810</v>
      </c>
      <c r="D2330" s="538" t="s">
        <v>4</v>
      </c>
      <c r="E2330" s="463" t="s">
        <v>18</v>
      </c>
      <c r="F2330" s="463"/>
      <c r="G2330" s="167"/>
      <c r="H2330" s="538">
        <v>70731</v>
      </c>
      <c r="I2330" s="539" t="s">
        <v>353</v>
      </c>
      <c r="J2330" s="540">
        <v>150000000</v>
      </c>
      <c r="K2330" s="627">
        <v>63045750</v>
      </c>
      <c r="L2330" s="394"/>
      <c r="M2330" s="394" t="s">
        <v>5133</v>
      </c>
      <c r="N2330" s="149"/>
      <c r="O2330" s="449" t="s">
        <v>897</v>
      </c>
    </row>
    <row r="2331" spans="1:15" ht="32.25" customHeight="1" x14ac:dyDescent="0.35">
      <c r="A2331" s="272" t="s">
        <v>2184</v>
      </c>
      <c r="B2331" s="348" t="s">
        <v>895</v>
      </c>
      <c r="C2331" s="290" t="s">
        <v>5</v>
      </c>
      <c r="D2331" s="538" t="s">
        <v>4</v>
      </c>
      <c r="E2331" s="463" t="s">
        <v>18</v>
      </c>
      <c r="F2331" s="463" t="s">
        <v>158</v>
      </c>
      <c r="G2331" s="167"/>
      <c r="H2331" s="538">
        <v>70740</v>
      </c>
      <c r="I2331" s="539" t="s">
        <v>848</v>
      </c>
      <c r="J2331" s="540">
        <v>30000000</v>
      </c>
      <c r="K2331" s="627">
        <v>12609150</v>
      </c>
      <c r="L2331" s="394"/>
      <c r="M2331" s="394" t="s">
        <v>5133</v>
      </c>
      <c r="N2331" s="537">
        <v>30000000</v>
      </c>
      <c r="O2331" s="449" t="s">
        <v>881</v>
      </c>
    </row>
    <row r="2332" spans="1:15" ht="31.5" customHeight="1" x14ac:dyDescent="0.35">
      <c r="A2332" s="272" t="s">
        <v>2185</v>
      </c>
      <c r="B2332" s="348" t="s">
        <v>897</v>
      </c>
      <c r="C2332" s="290" t="s">
        <v>5</v>
      </c>
      <c r="D2332" s="538" t="s">
        <v>4</v>
      </c>
      <c r="E2332" s="463" t="s">
        <v>18</v>
      </c>
      <c r="F2332" s="463" t="s">
        <v>158</v>
      </c>
      <c r="G2332" s="169"/>
      <c r="H2332" s="538">
        <v>70731</v>
      </c>
      <c r="I2332" s="539" t="s">
        <v>67</v>
      </c>
      <c r="J2332" s="540">
        <f>10000000+18000000</f>
        <v>28000000</v>
      </c>
      <c r="K2332" s="627">
        <v>11768540</v>
      </c>
      <c r="L2332" s="394"/>
      <c r="M2332" s="394" t="s">
        <v>5133</v>
      </c>
      <c r="N2332" s="537">
        <v>20000000</v>
      </c>
      <c r="O2332" s="449" t="s">
        <v>867</v>
      </c>
    </row>
    <row r="2333" spans="1:15" ht="31.5" customHeight="1" x14ac:dyDescent="0.35">
      <c r="A2333" s="272" t="s">
        <v>2186</v>
      </c>
      <c r="B2333" s="348" t="s">
        <v>3424</v>
      </c>
      <c r="C2333" s="290" t="s">
        <v>5</v>
      </c>
      <c r="D2333" s="538" t="s">
        <v>4</v>
      </c>
      <c r="E2333" s="463" t="s">
        <v>18</v>
      </c>
      <c r="F2333" s="463" t="s">
        <v>158</v>
      </c>
      <c r="G2333" s="169"/>
      <c r="H2333" s="538">
        <v>70740</v>
      </c>
      <c r="I2333" s="539" t="s">
        <v>67</v>
      </c>
      <c r="J2333" s="540">
        <v>800000000</v>
      </c>
      <c r="K2333" s="627">
        <v>336244000</v>
      </c>
      <c r="L2333" s="394"/>
      <c r="M2333" s="394" t="s">
        <v>5133</v>
      </c>
      <c r="N2333" s="149"/>
      <c r="O2333" s="449" t="s">
        <v>852</v>
      </c>
    </row>
    <row r="2334" spans="1:15" ht="30.75" customHeight="1" x14ac:dyDescent="0.35">
      <c r="A2334" s="272" t="s">
        <v>2187</v>
      </c>
      <c r="B2334" s="348" t="s">
        <v>3425</v>
      </c>
      <c r="C2334" s="290" t="s">
        <v>390</v>
      </c>
      <c r="D2334" s="538" t="s">
        <v>4</v>
      </c>
      <c r="E2334" s="463" t="s">
        <v>18</v>
      </c>
      <c r="F2334" s="463" t="s">
        <v>158</v>
      </c>
      <c r="G2334" s="169"/>
      <c r="H2334" s="538">
        <v>70731</v>
      </c>
      <c r="I2334" s="539" t="s">
        <v>67</v>
      </c>
      <c r="J2334" s="540">
        <v>1300000000</v>
      </c>
      <c r="K2334" s="627">
        <v>546396500</v>
      </c>
      <c r="L2334" s="394"/>
      <c r="M2334" s="394" t="s">
        <v>5133</v>
      </c>
      <c r="N2334" s="149"/>
      <c r="O2334" s="449" t="s">
        <v>865</v>
      </c>
    </row>
    <row r="2335" spans="1:15" ht="33.75" customHeight="1" x14ac:dyDescent="0.35">
      <c r="A2335" s="272" t="s">
        <v>2188</v>
      </c>
      <c r="B2335" s="348" t="s">
        <v>881</v>
      </c>
      <c r="C2335" s="290" t="s">
        <v>5</v>
      </c>
      <c r="D2335" s="538" t="s">
        <v>4</v>
      </c>
      <c r="E2335" s="463" t="s">
        <v>18</v>
      </c>
      <c r="F2335" s="463" t="s">
        <v>352</v>
      </c>
      <c r="G2335" s="167"/>
      <c r="H2335" s="538">
        <v>70731</v>
      </c>
      <c r="I2335" s="539" t="s">
        <v>353</v>
      </c>
      <c r="J2335" s="540">
        <v>7500000</v>
      </c>
      <c r="K2335" s="627">
        <v>13152287</v>
      </c>
      <c r="L2335" s="394"/>
      <c r="M2335" s="394" t="s">
        <v>5133</v>
      </c>
      <c r="N2335" s="537">
        <v>7500000</v>
      </c>
      <c r="O2335" s="449"/>
    </row>
    <row r="2336" spans="1:15" ht="51.75" customHeight="1" x14ac:dyDescent="0.35">
      <c r="A2336" s="272" t="s">
        <v>2189</v>
      </c>
      <c r="B2336" s="348" t="s">
        <v>3426</v>
      </c>
      <c r="C2336" s="290" t="s">
        <v>5</v>
      </c>
      <c r="D2336" s="538" t="s">
        <v>4</v>
      </c>
      <c r="E2336" s="463" t="s">
        <v>18</v>
      </c>
      <c r="F2336" s="463" t="s">
        <v>105</v>
      </c>
      <c r="G2336" s="167"/>
      <c r="H2336" s="538">
        <v>70731</v>
      </c>
      <c r="I2336" s="539" t="s">
        <v>353</v>
      </c>
      <c r="J2336" s="540">
        <v>250000000</v>
      </c>
      <c r="K2336" s="627">
        <v>105076250</v>
      </c>
      <c r="L2336" s="394"/>
      <c r="M2336" s="394" t="s">
        <v>5133</v>
      </c>
      <c r="N2336" s="537"/>
      <c r="O2336" s="449"/>
    </row>
    <row r="2337" spans="1:16" ht="62.25" customHeight="1" x14ac:dyDescent="0.35">
      <c r="A2337" s="272" t="s">
        <v>2190</v>
      </c>
      <c r="B2337" s="348" t="s">
        <v>852</v>
      </c>
      <c r="C2337" s="290" t="s">
        <v>5</v>
      </c>
      <c r="D2337" s="538" t="s">
        <v>4</v>
      </c>
      <c r="E2337" s="463" t="s">
        <v>18</v>
      </c>
      <c r="F2337" s="463" t="s">
        <v>853</v>
      </c>
      <c r="G2337" s="169"/>
      <c r="H2337" s="538">
        <v>70731</v>
      </c>
      <c r="I2337" s="539" t="s">
        <v>67</v>
      </c>
      <c r="J2337" s="540">
        <v>600000000</v>
      </c>
      <c r="K2337" s="627">
        <f>252183000+1100000000-500000000</f>
        <v>852183000</v>
      </c>
      <c r="L2337" s="394"/>
      <c r="M2337" s="394" t="s">
        <v>5133</v>
      </c>
      <c r="N2337" s="537">
        <v>642560591.70000005</v>
      </c>
      <c r="O2337" s="449" t="s">
        <v>883</v>
      </c>
    </row>
    <row r="2338" spans="1:16" ht="30.75" customHeight="1" x14ac:dyDescent="0.35">
      <c r="A2338" s="272" t="s">
        <v>2191</v>
      </c>
      <c r="B2338" s="348" t="s">
        <v>865</v>
      </c>
      <c r="C2338" s="290" t="s">
        <v>5</v>
      </c>
      <c r="D2338" s="538" t="s">
        <v>4</v>
      </c>
      <c r="E2338" s="463" t="s">
        <v>18</v>
      </c>
      <c r="F2338" s="463" t="s">
        <v>853</v>
      </c>
      <c r="G2338" s="169"/>
      <c r="H2338" s="538">
        <v>70731</v>
      </c>
      <c r="I2338" s="539" t="s">
        <v>67</v>
      </c>
      <c r="J2338" s="540">
        <v>130000000</v>
      </c>
      <c r="K2338" s="627">
        <v>54639650</v>
      </c>
      <c r="L2338" s="394"/>
      <c r="M2338" s="394" t="s">
        <v>5133</v>
      </c>
      <c r="N2338" s="537">
        <v>50000000</v>
      </c>
      <c r="O2338" s="449" t="s">
        <v>2140</v>
      </c>
    </row>
    <row r="2339" spans="1:16" ht="36.75" customHeight="1" x14ac:dyDescent="0.35">
      <c r="A2339" s="272" t="s">
        <v>2192</v>
      </c>
      <c r="B2339" s="348" t="s">
        <v>883</v>
      </c>
      <c r="C2339" s="290" t="s">
        <v>5</v>
      </c>
      <c r="D2339" s="538" t="s">
        <v>4</v>
      </c>
      <c r="E2339" s="463" t="s">
        <v>18</v>
      </c>
      <c r="F2339" s="463">
        <v>32010501</v>
      </c>
      <c r="G2339" s="169"/>
      <c r="H2339" s="538">
        <v>70731</v>
      </c>
      <c r="I2339" s="539" t="s">
        <v>67</v>
      </c>
      <c r="J2339" s="540">
        <v>82418982</v>
      </c>
      <c r="K2339" s="627">
        <v>34641110.229999997</v>
      </c>
      <c r="L2339" s="394"/>
      <c r="M2339" s="394" t="s">
        <v>5133</v>
      </c>
      <c r="N2339" s="537">
        <v>15000000</v>
      </c>
      <c r="O2339" s="449" t="s">
        <v>2141</v>
      </c>
    </row>
    <row r="2340" spans="1:16" x14ac:dyDescent="0.35">
      <c r="A2340" s="272" t="s">
        <v>2193</v>
      </c>
      <c r="B2340" s="348" t="s">
        <v>851</v>
      </c>
      <c r="C2340" s="290"/>
      <c r="D2340" s="538"/>
      <c r="E2340" s="463"/>
      <c r="F2340" s="463"/>
      <c r="G2340" s="169"/>
      <c r="H2340" s="538"/>
      <c r="I2340" s="539"/>
      <c r="J2340" s="540">
        <v>1200000000</v>
      </c>
      <c r="K2340" s="627">
        <f>504366000+300000000</f>
        <v>804366000</v>
      </c>
      <c r="L2340" s="627">
        <f>504366000+300000000</f>
        <v>804366000</v>
      </c>
      <c r="M2340" s="394" t="s">
        <v>5123</v>
      </c>
      <c r="N2340" s="537"/>
      <c r="O2340" s="449"/>
    </row>
    <row r="2341" spans="1:16" x14ac:dyDescent="0.35">
      <c r="A2341" s="272" t="s">
        <v>2194</v>
      </c>
      <c r="B2341" s="694" t="s">
        <v>5085</v>
      </c>
      <c r="C2341" s="290"/>
      <c r="D2341" s="538"/>
      <c r="E2341" s="463"/>
      <c r="F2341" s="463"/>
      <c r="G2341" s="169"/>
      <c r="H2341" s="538"/>
      <c r="I2341" s="539"/>
      <c r="J2341" s="540"/>
      <c r="K2341" s="627">
        <v>2000000000</v>
      </c>
      <c r="L2341" s="627">
        <v>2000000000</v>
      </c>
      <c r="M2341" s="394" t="s">
        <v>5123</v>
      </c>
      <c r="N2341" s="537"/>
      <c r="O2341" s="449"/>
    </row>
    <row r="2342" spans="1:16" x14ac:dyDescent="0.35">
      <c r="A2342" s="272" t="s">
        <v>3427</v>
      </c>
      <c r="B2342" s="694" t="s">
        <v>5137</v>
      </c>
      <c r="C2342" s="290"/>
      <c r="D2342" s="538"/>
      <c r="E2342" s="463"/>
      <c r="F2342" s="463"/>
      <c r="G2342" s="169"/>
      <c r="H2342" s="538"/>
      <c r="I2342" s="539"/>
      <c r="J2342" s="540"/>
      <c r="K2342" s="627">
        <v>300000000</v>
      </c>
      <c r="L2342" s="627">
        <v>300000000</v>
      </c>
      <c r="M2342" s="394" t="s">
        <v>5123</v>
      </c>
      <c r="N2342" s="537"/>
      <c r="O2342" s="449"/>
    </row>
    <row r="2343" spans="1:16" x14ac:dyDescent="0.35">
      <c r="A2343" s="694" t="s">
        <v>3428</v>
      </c>
      <c r="B2343" s="694" t="s">
        <v>5138</v>
      </c>
      <c r="C2343" s="694"/>
      <c r="D2343" s="694"/>
      <c r="E2343" s="694"/>
      <c r="F2343" s="694"/>
      <c r="G2343" s="694"/>
      <c r="H2343" s="694"/>
      <c r="I2343" s="694"/>
      <c r="J2343" s="694"/>
      <c r="K2343" s="627">
        <v>200000000</v>
      </c>
      <c r="L2343" s="627">
        <v>200000000</v>
      </c>
      <c r="M2343" s="394" t="s">
        <v>5123</v>
      </c>
      <c r="N2343" s="537"/>
      <c r="O2343" s="449"/>
    </row>
    <row r="2344" spans="1:16" ht="33" customHeight="1" x14ac:dyDescent="0.35">
      <c r="A2344" s="272" t="s">
        <v>4561</v>
      </c>
      <c r="B2344" s="348" t="s">
        <v>5139</v>
      </c>
      <c r="C2344" s="290" t="s">
        <v>5</v>
      </c>
      <c r="D2344" s="538" t="s">
        <v>4</v>
      </c>
      <c r="E2344" s="463" t="s">
        <v>18</v>
      </c>
      <c r="F2344" s="463">
        <v>32010501</v>
      </c>
      <c r="G2344" s="169"/>
      <c r="H2344" s="538">
        <v>70731</v>
      </c>
      <c r="I2344" s="539" t="s">
        <v>67</v>
      </c>
      <c r="J2344" s="540">
        <v>3000000</v>
      </c>
      <c r="K2344" s="627">
        <v>1260915</v>
      </c>
      <c r="L2344" s="394"/>
      <c r="M2344" s="394" t="s">
        <v>5133</v>
      </c>
      <c r="N2344" s="149"/>
      <c r="O2344" s="449" t="s">
        <v>2142</v>
      </c>
    </row>
    <row r="2345" spans="1:16" ht="30.75" customHeight="1" x14ac:dyDescent="0.35">
      <c r="A2345" s="272" t="s">
        <v>4801</v>
      </c>
      <c r="B2345" s="348" t="s">
        <v>821</v>
      </c>
      <c r="C2345" s="290" t="s">
        <v>5</v>
      </c>
      <c r="D2345" s="538" t="s">
        <v>4</v>
      </c>
      <c r="E2345" s="463" t="s">
        <v>18</v>
      </c>
      <c r="F2345" s="463">
        <v>32010601</v>
      </c>
      <c r="G2345" s="169"/>
      <c r="H2345" s="538">
        <v>70731</v>
      </c>
      <c r="I2345" s="539" t="s">
        <v>67</v>
      </c>
      <c r="J2345" s="540">
        <v>4000000</v>
      </c>
      <c r="K2345" s="627">
        <v>1681220</v>
      </c>
      <c r="L2345" s="394"/>
      <c r="M2345" s="394" t="s">
        <v>5133</v>
      </c>
      <c r="N2345" s="149"/>
      <c r="O2345" s="449" t="s">
        <v>2143</v>
      </c>
    </row>
    <row r="2346" spans="1:16" ht="34.5" customHeight="1" x14ac:dyDescent="0.35">
      <c r="A2346" s="272" t="s">
        <v>5082</v>
      </c>
      <c r="B2346" s="348" t="s">
        <v>217</v>
      </c>
      <c r="C2346" s="290" t="s">
        <v>5</v>
      </c>
      <c r="D2346" s="538" t="s">
        <v>4</v>
      </c>
      <c r="E2346" s="463" t="s">
        <v>18</v>
      </c>
      <c r="F2346" s="463">
        <v>32010601</v>
      </c>
      <c r="G2346" s="169"/>
      <c r="H2346" s="538">
        <v>70731</v>
      </c>
      <c r="I2346" s="539" t="s">
        <v>67</v>
      </c>
      <c r="J2346" s="540">
        <v>2000000</v>
      </c>
      <c r="K2346" s="627">
        <v>840610</v>
      </c>
      <c r="L2346" s="394"/>
      <c r="M2346" s="394" t="s">
        <v>5133</v>
      </c>
      <c r="N2346" s="149"/>
      <c r="O2346" s="449" t="s">
        <v>645</v>
      </c>
    </row>
    <row r="2347" spans="1:16" ht="37.5" customHeight="1" x14ac:dyDescent="0.35">
      <c r="A2347" s="272" t="s">
        <v>5135</v>
      </c>
      <c r="B2347" s="348" t="s">
        <v>180</v>
      </c>
      <c r="C2347" s="290" t="s">
        <v>5</v>
      </c>
      <c r="D2347" s="538" t="s">
        <v>4</v>
      </c>
      <c r="E2347" s="463" t="s">
        <v>18</v>
      </c>
      <c r="F2347" s="463">
        <v>31050418</v>
      </c>
      <c r="G2347" s="169"/>
      <c r="H2347" s="538">
        <v>70731</v>
      </c>
      <c r="I2347" s="539" t="s">
        <v>67</v>
      </c>
      <c r="J2347" s="540">
        <v>3000000</v>
      </c>
      <c r="K2347" s="627">
        <v>1260915</v>
      </c>
      <c r="L2347" s="394"/>
      <c r="M2347" s="394" t="s">
        <v>5133</v>
      </c>
      <c r="N2347" s="149"/>
      <c r="O2347" s="449"/>
    </row>
    <row r="2348" spans="1:16" ht="32.25" customHeight="1" x14ac:dyDescent="0.35">
      <c r="A2348" s="272" t="s">
        <v>5136</v>
      </c>
      <c r="B2348" s="348" t="s">
        <v>55</v>
      </c>
      <c r="C2348" s="290" t="s">
        <v>5</v>
      </c>
      <c r="D2348" s="538" t="s">
        <v>4</v>
      </c>
      <c r="E2348" s="463" t="s">
        <v>18</v>
      </c>
      <c r="F2348" s="463">
        <v>22020309</v>
      </c>
      <c r="G2348" s="169"/>
      <c r="H2348" s="538">
        <v>70731</v>
      </c>
      <c r="I2348" s="539" t="s">
        <v>67</v>
      </c>
      <c r="J2348" s="540">
        <v>1000000</v>
      </c>
      <c r="K2348" s="627">
        <v>420305</v>
      </c>
      <c r="L2348" s="394"/>
      <c r="M2348" s="394" t="s">
        <v>5133</v>
      </c>
      <c r="N2348" s="149"/>
      <c r="O2348" s="449"/>
    </row>
    <row r="2349" spans="1:16" ht="36" customHeight="1" x14ac:dyDescent="0.35">
      <c r="A2349" s="245"/>
      <c r="B2349" s="360" t="s">
        <v>1008</v>
      </c>
      <c r="C2349" s="188"/>
      <c r="D2349" s="257"/>
      <c r="E2349" s="273"/>
      <c r="F2349" s="257"/>
      <c r="G2349" s="273"/>
      <c r="H2349" s="257"/>
      <c r="I2349" s="273"/>
      <c r="J2349" s="259">
        <f>SUM(J2289:J2348)</f>
        <v>10435065330.200001</v>
      </c>
      <c r="K2349" s="259">
        <f>SUM(K2289:K2348)</f>
        <v>8113710142</v>
      </c>
      <c r="L2349" s="707"/>
      <c r="M2349" s="707"/>
      <c r="N2349" s="259">
        <f>SUM(N2289:N2346)</f>
        <v>5840708340.0799999</v>
      </c>
      <c r="O2349" s="245" t="s">
        <v>1008</v>
      </c>
    </row>
    <row r="2350" spans="1:16" ht="23.25" customHeight="1" x14ac:dyDescent="0.35">
      <c r="A2350" s="342"/>
      <c r="B2350" s="361"/>
      <c r="C2350" s="338"/>
      <c r="D2350" s="339"/>
      <c r="E2350" s="340"/>
      <c r="F2350" s="339"/>
      <c r="G2350" s="340"/>
      <c r="H2350" s="339"/>
      <c r="I2350" s="340"/>
      <c r="J2350" s="341"/>
      <c r="K2350" s="341"/>
      <c r="L2350" s="709"/>
      <c r="M2350" s="709"/>
      <c r="N2350" s="341"/>
      <c r="O2350" s="342"/>
    </row>
    <row r="2351" spans="1:16" s="247" customFormat="1" ht="43.5" customHeight="1" x14ac:dyDescent="0.3">
      <c r="A2351" s="342" t="s">
        <v>4562</v>
      </c>
      <c r="B2351" s="361"/>
      <c r="C2351" s="338"/>
      <c r="D2351" s="339"/>
      <c r="E2351" s="340"/>
      <c r="F2351" s="527"/>
      <c r="G2351" s="340"/>
      <c r="H2351" s="339"/>
      <c r="I2351" s="340"/>
      <c r="J2351" s="341"/>
      <c r="K2351" s="628"/>
      <c r="L2351" s="706"/>
      <c r="M2351" s="706"/>
      <c r="N2351" s="341"/>
      <c r="O2351" s="342"/>
      <c r="P2351" s="246"/>
    </row>
    <row r="2352" spans="1:16" s="247" customFormat="1" ht="59.25" customHeight="1" x14ac:dyDescent="0.3">
      <c r="A2352" s="360" t="s">
        <v>1007</v>
      </c>
      <c r="B2352" s="360" t="s">
        <v>50</v>
      </c>
      <c r="C2352" s="175" t="s">
        <v>898</v>
      </c>
      <c r="D2352" s="257" t="s">
        <v>52</v>
      </c>
      <c r="E2352" s="273" t="s">
        <v>49</v>
      </c>
      <c r="F2352" s="257" t="s">
        <v>1</v>
      </c>
      <c r="G2352" s="176"/>
      <c r="H2352" s="171" t="s">
        <v>51</v>
      </c>
      <c r="I2352" s="176" t="s">
        <v>2</v>
      </c>
      <c r="J2352" s="177" t="s">
        <v>4862</v>
      </c>
      <c r="K2352" s="189" t="s">
        <v>5140</v>
      </c>
      <c r="L2352" s="189"/>
      <c r="M2352" s="189"/>
      <c r="N2352" s="177" t="s">
        <v>1006</v>
      </c>
      <c r="O2352" s="178" t="s">
        <v>50</v>
      </c>
      <c r="P2352" s="246"/>
    </row>
    <row r="2353" spans="1:16" s="247" customFormat="1" ht="28.5" customHeight="1" x14ac:dyDescent="0.35">
      <c r="A2353" s="272" t="s">
        <v>3429</v>
      </c>
      <c r="B2353" s="538" t="s">
        <v>860</v>
      </c>
      <c r="C2353" s="290" t="s">
        <v>309</v>
      </c>
      <c r="D2353" s="538" t="s">
        <v>4</v>
      </c>
      <c r="E2353" s="463" t="s">
        <v>18</v>
      </c>
      <c r="F2353" s="463" t="s">
        <v>158</v>
      </c>
      <c r="G2353" s="167"/>
      <c r="H2353" s="538">
        <v>70731</v>
      </c>
      <c r="I2353" s="539" t="s">
        <v>353</v>
      </c>
      <c r="J2353" s="540">
        <v>500000000</v>
      </c>
      <c r="K2353" s="655">
        <v>174427318</v>
      </c>
      <c r="L2353" s="703"/>
      <c r="M2353" s="703"/>
      <c r="N2353" s="149">
        <f>500000000</f>
        <v>500000000</v>
      </c>
      <c r="O2353" s="245"/>
      <c r="P2353" s="246"/>
    </row>
    <row r="2354" spans="1:16" s="247" customFormat="1" ht="28.5" customHeight="1" x14ac:dyDescent="0.3">
      <c r="A2354" s="245"/>
      <c r="B2354" s="360" t="s">
        <v>1008</v>
      </c>
      <c r="C2354" s="245"/>
      <c r="D2354" s="245"/>
      <c r="E2354" s="245"/>
      <c r="F2354" s="245"/>
      <c r="G2354" s="245"/>
      <c r="H2354" s="245"/>
      <c r="I2354" s="245"/>
      <c r="J2354" s="374">
        <f>SUM(J2353)</f>
        <v>500000000</v>
      </c>
      <c r="K2354" s="374">
        <f>SUM(K2353)</f>
        <v>174427318</v>
      </c>
      <c r="L2354" s="707"/>
      <c r="M2354" s="707"/>
      <c r="N2354" s="259">
        <f>N2353</f>
        <v>500000000</v>
      </c>
      <c r="O2354" s="245"/>
      <c r="P2354" s="246">
        <f>J2349+J2354</f>
        <v>10935065330.200001</v>
      </c>
    </row>
    <row r="2355" spans="1:16" s="247" customFormat="1" ht="36.75" customHeight="1" x14ac:dyDescent="0.3">
      <c r="A2355" s="342"/>
      <c r="B2355" s="361"/>
      <c r="C2355" s="338"/>
      <c r="D2355" s="339"/>
      <c r="E2355" s="340"/>
      <c r="F2355" s="339"/>
      <c r="G2355" s="340"/>
      <c r="H2355" s="339"/>
      <c r="I2355" s="340"/>
      <c r="J2355" s="341"/>
      <c r="K2355" s="628"/>
      <c r="L2355" s="706"/>
      <c r="M2355" s="706"/>
      <c r="N2355" s="341"/>
      <c r="O2355" s="342"/>
      <c r="P2355" s="246"/>
    </row>
    <row r="2356" spans="1:16" s="247" customFormat="1" ht="9.75" customHeight="1" x14ac:dyDescent="0.35">
      <c r="A2356" s="286"/>
      <c r="B2356" s="492"/>
      <c r="C2356" s="282"/>
      <c r="D2356" s="283"/>
      <c r="E2356" s="330"/>
      <c r="F2356" s="283"/>
      <c r="G2356" s="330"/>
      <c r="H2356" s="283"/>
      <c r="I2356" s="330"/>
      <c r="J2356" s="285"/>
      <c r="K2356" s="628"/>
      <c r="L2356" s="706"/>
      <c r="M2356" s="706"/>
      <c r="N2356" s="285"/>
      <c r="O2356" s="286"/>
      <c r="P2356" s="246"/>
    </row>
    <row r="2357" spans="1:16" ht="23.25" hidden="1" customHeight="1" x14ac:dyDescent="0.35">
      <c r="A2357" s="401" t="s">
        <v>1173</v>
      </c>
      <c r="B2357" s="716"/>
      <c r="C2357" s="402"/>
      <c r="D2357" s="403"/>
      <c r="E2357" s="404"/>
      <c r="F2357" s="403"/>
      <c r="G2357" s="404"/>
      <c r="H2357" s="403"/>
      <c r="I2357" s="404"/>
      <c r="J2357" s="405"/>
      <c r="K2357" s="458"/>
      <c r="L2357" s="704"/>
      <c r="M2357" s="704"/>
      <c r="N2357" s="405"/>
      <c r="O2357" s="600"/>
    </row>
    <row r="2358" spans="1:16" x14ac:dyDescent="0.35">
      <c r="A2358" s="428" t="s">
        <v>4563</v>
      </c>
      <c r="B2358" s="428"/>
      <c r="C2358" s="428"/>
      <c r="D2358" s="428"/>
      <c r="E2358" s="428"/>
      <c r="F2358" s="428"/>
      <c r="G2358" s="428"/>
      <c r="H2358" s="428"/>
      <c r="I2358" s="404"/>
      <c r="J2358" s="405"/>
      <c r="K2358" s="458"/>
      <c r="L2358" s="704"/>
      <c r="M2358" s="704"/>
      <c r="N2358" s="405"/>
      <c r="O2358" s="600"/>
    </row>
    <row r="2359" spans="1:16" ht="84.75" customHeight="1" x14ac:dyDescent="0.35">
      <c r="A2359" s="360" t="s">
        <v>1007</v>
      </c>
      <c r="B2359" s="360" t="s">
        <v>50</v>
      </c>
      <c r="C2359" s="175" t="s">
        <v>898</v>
      </c>
      <c r="D2359" s="257" t="s">
        <v>52</v>
      </c>
      <c r="E2359" s="273" t="s">
        <v>49</v>
      </c>
      <c r="F2359" s="257" t="s">
        <v>1</v>
      </c>
      <c r="G2359" s="176"/>
      <c r="H2359" s="171" t="s">
        <v>51</v>
      </c>
      <c r="I2359" s="176" t="s">
        <v>2</v>
      </c>
      <c r="J2359" s="177" t="s">
        <v>4862</v>
      </c>
      <c r="K2359" s="189" t="s">
        <v>5140</v>
      </c>
      <c r="L2359" s="623" t="s">
        <v>5132</v>
      </c>
      <c r="M2359" s="623" t="s">
        <v>5132</v>
      </c>
      <c r="N2359" s="177" t="s">
        <v>1006</v>
      </c>
      <c r="O2359" s="178" t="s">
        <v>50</v>
      </c>
    </row>
    <row r="2360" spans="1:16" ht="27.75" customHeight="1" x14ac:dyDescent="0.35">
      <c r="A2360" s="450" t="s">
        <v>4564</v>
      </c>
      <c r="B2360" s="348" t="s">
        <v>3089</v>
      </c>
      <c r="C2360" s="290" t="s">
        <v>469</v>
      </c>
      <c r="D2360" s="141" t="s">
        <v>4</v>
      </c>
      <c r="E2360" s="452" t="s">
        <v>29</v>
      </c>
      <c r="F2360" s="452" t="s">
        <v>983</v>
      </c>
      <c r="G2360" s="237"/>
      <c r="H2360" s="541" t="s">
        <v>3090</v>
      </c>
      <c r="I2360" s="142" t="s">
        <v>976</v>
      </c>
      <c r="J2360" s="488">
        <v>25000000</v>
      </c>
      <c r="K2360" s="627">
        <v>0</v>
      </c>
      <c r="L2360" s="394"/>
      <c r="M2360" s="394" t="s">
        <v>5133</v>
      </c>
      <c r="N2360" s="166">
        <v>1000000</v>
      </c>
      <c r="O2360" s="449" t="s">
        <v>3089</v>
      </c>
    </row>
    <row r="2361" spans="1:16" ht="32.25" customHeight="1" x14ac:dyDescent="0.35">
      <c r="A2361" s="450" t="s">
        <v>4565</v>
      </c>
      <c r="B2361" s="348" t="s">
        <v>956</v>
      </c>
      <c r="C2361" s="290" t="s">
        <v>309</v>
      </c>
      <c r="D2361" s="141" t="s">
        <v>4</v>
      </c>
      <c r="E2361" s="452" t="s">
        <v>29</v>
      </c>
      <c r="F2361" s="452" t="s">
        <v>983</v>
      </c>
      <c r="G2361" s="237"/>
      <c r="H2361" s="541" t="s">
        <v>3091</v>
      </c>
      <c r="I2361" s="142" t="s">
        <v>919</v>
      </c>
      <c r="J2361" s="488">
        <v>5000000</v>
      </c>
      <c r="K2361" s="627"/>
      <c r="L2361" s="394"/>
      <c r="M2361" s="394" t="s">
        <v>5133</v>
      </c>
      <c r="N2361" s="166">
        <v>70000000</v>
      </c>
      <c r="O2361" s="449" t="s">
        <v>956</v>
      </c>
    </row>
    <row r="2362" spans="1:16" ht="30" customHeight="1" x14ac:dyDescent="0.35">
      <c r="A2362" s="450" t="s">
        <v>4566</v>
      </c>
      <c r="B2362" s="348" t="s">
        <v>957</v>
      </c>
      <c r="C2362" s="290" t="s">
        <v>625</v>
      </c>
      <c r="D2362" s="141" t="s">
        <v>4</v>
      </c>
      <c r="E2362" s="452" t="s">
        <v>29</v>
      </c>
      <c r="F2362" s="452" t="s">
        <v>983</v>
      </c>
      <c r="G2362" s="237"/>
      <c r="H2362" s="541" t="s">
        <v>3092</v>
      </c>
      <c r="I2362" s="142" t="s">
        <v>918</v>
      </c>
      <c r="J2362" s="488">
        <v>70000000</v>
      </c>
      <c r="K2362" s="627"/>
      <c r="L2362" s="394"/>
      <c r="M2362" s="394" t="s">
        <v>5133</v>
      </c>
      <c r="N2362" s="166">
        <v>5000000</v>
      </c>
      <c r="O2362" s="449" t="s">
        <v>957</v>
      </c>
    </row>
    <row r="2363" spans="1:16" ht="33" customHeight="1" x14ac:dyDescent="0.35">
      <c r="A2363" s="450" t="s">
        <v>4567</v>
      </c>
      <c r="B2363" s="348" t="s">
        <v>958</v>
      </c>
      <c r="C2363" s="290" t="s">
        <v>309</v>
      </c>
      <c r="D2363" s="141" t="s">
        <v>4</v>
      </c>
      <c r="E2363" s="452" t="s">
        <v>29</v>
      </c>
      <c r="F2363" s="452" t="s">
        <v>983</v>
      </c>
      <c r="G2363" s="237"/>
      <c r="H2363" s="452" t="s">
        <v>3093</v>
      </c>
      <c r="I2363" s="142" t="s">
        <v>918</v>
      </c>
      <c r="J2363" s="488">
        <v>3000000</v>
      </c>
      <c r="K2363" s="627"/>
      <c r="L2363" s="394"/>
      <c r="M2363" s="394" t="s">
        <v>5133</v>
      </c>
      <c r="N2363" s="166">
        <v>3000000</v>
      </c>
      <c r="O2363" s="449" t="s">
        <v>958</v>
      </c>
    </row>
    <row r="2364" spans="1:16" ht="50.25" customHeight="1" x14ac:dyDescent="0.35">
      <c r="A2364" s="450" t="s">
        <v>4568</v>
      </c>
      <c r="B2364" s="348" t="s">
        <v>959</v>
      </c>
      <c r="C2364" s="290" t="s">
        <v>5</v>
      </c>
      <c r="D2364" s="141" t="s">
        <v>4</v>
      </c>
      <c r="E2364" s="452" t="s">
        <v>29</v>
      </c>
      <c r="F2364" s="452" t="s">
        <v>983</v>
      </c>
      <c r="G2364" s="237"/>
      <c r="H2364" s="452" t="s">
        <v>3094</v>
      </c>
      <c r="I2364" s="142" t="s">
        <v>918</v>
      </c>
      <c r="J2364" s="488">
        <v>10000000</v>
      </c>
      <c r="K2364" s="627"/>
      <c r="L2364" s="394"/>
      <c r="M2364" s="394" t="s">
        <v>5133</v>
      </c>
      <c r="N2364" s="166">
        <v>2000000</v>
      </c>
      <c r="O2364" s="449" t="s">
        <v>959</v>
      </c>
    </row>
    <row r="2365" spans="1:16" ht="33" customHeight="1" x14ac:dyDescent="0.35">
      <c r="A2365" s="450" t="s">
        <v>4569</v>
      </c>
      <c r="B2365" s="348" t="s">
        <v>960</v>
      </c>
      <c r="C2365" s="290" t="s">
        <v>309</v>
      </c>
      <c r="D2365" s="141" t="s">
        <v>4</v>
      </c>
      <c r="E2365" s="452" t="s">
        <v>29</v>
      </c>
      <c r="F2365" s="452" t="s">
        <v>983</v>
      </c>
      <c r="G2365" s="237"/>
      <c r="H2365" s="452" t="s">
        <v>3091</v>
      </c>
      <c r="I2365" s="142" t="s">
        <v>918</v>
      </c>
      <c r="J2365" s="488">
        <v>6000000</v>
      </c>
      <c r="K2365" s="627"/>
      <c r="L2365" s="394"/>
      <c r="M2365" s="394" t="s">
        <v>5133</v>
      </c>
      <c r="N2365" s="166">
        <v>2000000</v>
      </c>
      <c r="O2365" s="449" t="s">
        <v>960</v>
      </c>
    </row>
    <row r="2366" spans="1:16" ht="30.75" customHeight="1" x14ac:dyDescent="0.35">
      <c r="A2366" s="450" t="s">
        <v>4570</v>
      </c>
      <c r="B2366" s="348" t="s">
        <v>961</v>
      </c>
      <c r="C2366" s="290" t="s">
        <v>309</v>
      </c>
      <c r="D2366" s="141" t="s">
        <v>4</v>
      </c>
      <c r="E2366" s="452" t="s">
        <v>29</v>
      </c>
      <c r="F2366" s="452" t="s">
        <v>983</v>
      </c>
      <c r="G2366" s="237"/>
      <c r="H2366" s="452" t="s">
        <v>3095</v>
      </c>
      <c r="I2366" s="142" t="s">
        <v>918</v>
      </c>
      <c r="J2366" s="488">
        <v>20000000</v>
      </c>
      <c r="K2366" s="627">
        <v>20000000</v>
      </c>
      <c r="L2366" s="394"/>
      <c r="M2366" s="394" t="s">
        <v>5133</v>
      </c>
      <c r="N2366" s="166">
        <v>5000000</v>
      </c>
      <c r="O2366" s="449" t="s">
        <v>961</v>
      </c>
    </row>
    <row r="2367" spans="1:16" ht="28.5" customHeight="1" x14ac:dyDescent="0.35">
      <c r="A2367" s="450" t="s">
        <v>4571</v>
      </c>
      <c r="B2367" s="348" t="s">
        <v>962</v>
      </c>
      <c r="C2367" s="290" t="s">
        <v>309</v>
      </c>
      <c r="D2367" s="141" t="s">
        <v>4</v>
      </c>
      <c r="E2367" s="452" t="s">
        <v>29</v>
      </c>
      <c r="F2367" s="452" t="s">
        <v>983</v>
      </c>
      <c r="G2367" s="237"/>
      <c r="H2367" s="452" t="s">
        <v>1883</v>
      </c>
      <c r="I2367" s="142" t="s">
        <v>974</v>
      </c>
      <c r="J2367" s="488">
        <v>95000000</v>
      </c>
      <c r="K2367" s="627">
        <v>30000000</v>
      </c>
      <c r="L2367" s="394"/>
      <c r="M2367" s="394" t="s">
        <v>5133</v>
      </c>
      <c r="N2367" s="166">
        <v>5000000</v>
      </c>
      <c r="O2367" s="449" t="s">
        <v>962</v>
      </c>
    </row>
    <row r="2368" spans="1:16" ht="29.25" customHeight="1" x14ac:dyDescent="0.35">
      <c r="A2368" s="450" t="s">
        <v>4572</v>
      </c>
      <c r="B2368" s="348" t="s">
        <v>963</v>
      </c>
      <c r="C2368" s="290" t="s">
        <v>5</v>
      </c>
      <c r="D2368" s="141" t="s">
        <v>4</v>
      </c>
      <c r="E2368" s="452" t="s">
        <v>29</v>
      </c>
      <c r="F2368" s="452" t="s">
        <v>983</v>
      </c>
      <c r="G2368" s="237"/>
      <c r="H2368" s="452" t="s">
        <v>3093</v>
      </c>
      <c r="I2368" s="142" t="s">
        <v>974</v>
      </c>
      <c r="J2368" s="488">
        <v>36000000</v>
      </c>
      <c r="K2368" s="627">
        <v>25000000</v>
      </c>
      <c r="L2368" s="394"/>
      <c r="M2368" s="394" t="s">
        <v>5133</v>
      </c>
      <c r="N2368" s="166">
        <v>20000000</v>
      </c>
      <c r="O2368" s="449" t="s">
        <v>963</v>
      </c>
    </row>
    <row r="2369" spans="1:16" ht="51.75" customHeight="1" x14ac:dyDescent="0.35">
      <c r="A2369" s="450" t="s">
        <v>4573</v>
      </c>
      <c r="B2369" s="348" t="s">
        <v>964</v>
      </c>
      <c r="C2369" s="290" t="s">
        <v>469</v>
      </c>
      <c r="D2369" s="141" t="s">
        <v>4</v>
      </c>
      <c r="E2369" s="452" t="s">
        <v>29</v>
      </c>
      <c r="F2369" s="452" t="s">
        <v>983</v>
      </c>
      <c r="G2369" s="237"/>
      <c r="H2369" s="452" t="s">
        <v>3093</v>
      </c>
      <c r="I2369" s="142" t="s">
        <v>977</v>
      </c>
      <c r="J2369" s="488">
        <v>6000000</v>
      </c>
      <c r="K2369" s="627"/>
      <c r="L2369" s="394"/>
      <c r="M2369" s="394" t="s">
        <v>5133</v>
      </c>
      <c r="N2369" s="166">
        <v>1000000</v>
      </c>
      <c r="O2369" s="449" t="s">
        <v>964</v>
      </c>
    </row>
    <row r="2370" spans="1:16" ht="35.25" customHeight="1" x14ac:dyDescent="0.35">
      <c r="A2370" s="450" t="s">
        <v>4574</v>
      </c>
      <c r="B2370" s="348" t="s">
        <v>965</v>
      </c>
      <c r="C2370" s="290" t="s">
        <v>623</v>
      </c>
      <c r="D2370" s="141" t="s">
        <v>4</v>
      </c>
      <c r="E2370" s="452" t="s">
        <v>29</v>
      </c>
      <c r="F2370" s="452" t="s">
        <v>983</v>
      </c>
      <c r="G2370" s="237"/>
      <c r="H2370" s="452" t="s">
        <v>3093</v>
      </c>
      <c r="I2370" s="142" t="s">
        <v>903</v>
      </c>
      <c r="J2370" s="488">
        <v>5000000</v>
      </c>
      <c r="K2370" s="627"/>
      <c r="L2370" s="394"/>
      <c r="M2370" s="394" t="s">
        <v>5133</v>
      </c>
      <c r="N2370" s="166">
        <v>884321</v>
      </c>
      <c r="O2370" s="449" t="s">
        <v>965</v>
      </c>
    </row>
    <row r="2371" spans="1:16" ht="37.5" customHeight="1" x14ac:dyDescent="0.35">
      <c r="A2371" s="450" t="s">
        <v>4575</v>
      </c>
      <c r="B2371" s="348" t="s">
        <v>966</v>
      </c>
      <c r="C2371" s="290" t="s">
        <v>331</v>
      </c>
      <c r="D2371" s="141" t="s">
        <v>4</v>
      </c>
      <c r="E2371" s="452" t="s">
        <v>29</v>
      </c>
      <c r="F2371" s="452" t="s">
        <v>983</v>
      </c>
      <c r="G2371" s="237"/>
      <c r="H2371" s="452" t="s">
        <v>3093</v>
      </c>
      <c r="I2371" s="142" t="s">
        <v>903</v>
      </c>
      <c r="J2371" s="488">
        <v>5000000</v>
      </c>
      <c r="K2371" s="627"/>
      <c r="L2371" s="394"/>
      <c r="M2371" s="394" t="s">
        <v>5133</v>
      </c>
      <c r="N2371" s="166">
        <v>5000000</v>
      </c>
      <c r="O2371" s="449" t="s">
        <v>966</v>
      </c>
    </row>
    <row r="2372" spans="1:16" ht="35.25" customHeight="1" x14ac:dyDescent="0.35">
      <c r="A2372" s="450" t="s">
        <v>4576</v>
      </c>
      <c r="B2372" s="348" t="s">
        <v>967</v>
      </c>
      <c r="C2372" s="290" t="s">
        <v>486</v>
      </c>
      <c r="D2372" s="141" t="s">
        <v>4</v>
      </c>
      <c r="E2372" s="452" t="s">
        <v>29</v>
      </c>
      <c r="F2372" s="452" t="s">
        <v>983</v>
      </c>
      <c r="G2372" s="237"/>
      <c r="H2372" s="452" t="s">
        <v>3093</v>
      </c>
      <c r="I2372" s="142" t="s">
        <v>915</v>
      </c>
      <c r="J2372" s="488">
        <v>10000000</v>
      </c>
      <c r="K2372" s="627">
        <v>13000000</v>
      </c>
      <c r="L2372" s="394"/>
      <c r="M2372" s="394" t="s">
        <v>5133</v>
      </c>
      <c r="N2372" s="166">
        <v>2000000</v>
      </c>
      <c r="O2372" s="449" t="s">
        <v>967</v>
      </c>
    </row>
    <row r="2373" spans="1:16" ht="54.75" customHeight="1" x14ac:dyDescent="0.35">
      <c r="A2373" s="450" t="s">
        <v>4577</v>
      </c>
      <c r="B2373" s="348" t="s">
        <v>968</v>
      </c>
      <c r="C2373" s="290" t="s">
        <v>625</v>
      </c>
      <c r="D2373" s="141" t="s">
        <v>4</v>
      </c>
      <c r="E2373" s="452" t="s">
        <v>29</v>
      </c>
      <c r="F2373" s="452" t="s">
        <v>983</v>
      </c>
      <c r="G2373" s="237"/>
      <c r="H2373" s="452" t="s">
        <v>3096</v>
      </c>
      <c r="I2373" s="142" t="s">
        <v>919</v>
      </c>
      <c r="J2373" s="488">
        <v>5000000</v>
      </c>
      <c r="K2373" s="627"/>
      <c r="L2373" s="394"/>
      <c r="M2373" s="394" t="s">
        <v>5133</v>
      </c>
      <c r="N2373" s="166">
        <v>80000000</v>
      </c>
      <c r="O2373" s="449" t="s">
        <v>968</v>
      </c>
    </row>
    <row r="2374" spans="1:16" ht="35.25" customHeight="1" x14ac:dyDescent="0.35">
      <c r="A2374" s="450" t="s">
        <v>4578</v>
      </c>
      <c r="B2374" s="348" t="s">
        <v>5083</v>
      </c>
      <c r="C2374" s="290" t="s">
        <v>623</v>
      </c>
      <c r="D2374" s="141" t="s">
        <v>4</v>
      </c>
      <c r="E2374" s="452" t="s">
        <v>29</v>
      </c>
      <c r="F2374" s="380" t="s">
        <v>3097</v>
      </c>
      <c r="G2374" s="237"/>
      <c r="H2374" s="452" t="s">
        <v>186</v>
      </c>
      <c r="I2374" s="142" t="s">
        <v>919</v>
      </c>
      <c r="J2374" s="488">
        <v>500000</v>
      </c>
      <c r="K2374" s="627">
        <v>0</v>
      </c>
      <c r="L2374" s="394"/>
      <c r="M2374" s="394" t="s">
        <v>5133</v>
      </c>
      <c r="N2374" s="166">
        <v>10000000</v>
      </c>
      <c r="O2374" s="449" t="s">
        <v>969</v>
      </c>
    </row>
    <row r="2375" spans="1:16" ht="30.75" customHeight="1" x14ac:dyDescent="0.35">
      <c r="A2375" s="450" t="s">
        <v>4579</v>
      </c>
      <c r="B2375" s="348" t="s">
        <v>3401</v>
      </c>
      <c r="C2375" s="290" t="s">
        <v>623</v>
      </c>
      <c r="D2375" s="141" t="s">
        <v>4</v>
      </c>
      <c r="E2375" s="452" t="s">
        <v>29</v>
      </c>
      <c r="F2375" s="380" t="s">
        <v>3097</v>
      </c>
      <c r="G2375" s="237"/>
      <c r="H2375" s="452" t="s">
        <v>186</v>
      </c>
      <c r="I2375" s="142" t="s">
        <v>919</v>
      </c>
      <c r="J2375" s="488">
        <v>300000000</v>
      </c>
      <c r="K2375" s="627">
        <v>300000000</v>
      </c>
      <c r="L2375" s="627">
        <v>300000000</v>
      </c>
      <c r="M2375" s="394" t="s">
        <v>5123</v>
      </c>
      <c r="N2375" s="166"/>
      <c r="O2375" s="449"/>
    </row>
    <row r="2376" spans="1:16" ht="30" customHeight="1" x14ac:dyDescent="0.35">
      <c r="A2376" s="450" t="s">
        <v>4580</v>
      </c>
      <c r="B2376" s="348" t="s">
        <v>970</v>
      </c>
      <c r="C2376" s="290" t="s">
        <v>5</v>
      </c>
      <c r="D2376" s="141" t="s">
        <v>4</v>
      </c>
      <c r="E2376" s="452" t="s">
        <v>29</v>
      </c>
      <c r="F2376" s="185" t="s">
        <v>54</v>
      </c>
      <c r="G2376" s="237"/>
      <c r="H2376" s="452" t="s">
        <v>186</v>
      </c>
      <c r="I2376" s="142" t="s">
        <v>903</v>
      </c>
      <c r="J2376" s="488">
        <v>10000000</v>
      </c>
      <c r="K2376" s="627">
        <v>10000000</v>
      </c>
      <c r="L2376" s="394"/>
      <c r="M2376" s="394" t="s">
        <v>5133</v>
      </c>
      <c r="N2376" s="166">
        <v>80000000</v>
      </c>
      <c r="O2376" s="449" t="s">
        <v>970</v>
      </c>
    </row>
    <row r="2377" spans="1:16" ht="25.5" customHeight="1" x14ac:dyDescent="0.35">
      <c r="A2377" s="450" t="s">
        <v>4581</v>
      </c>
      <c r="B2377" s="348" t="s">
        <v>971</v>
      </c>
      <c r="C2377" s="290" t="s">
        <v>5</v>
      </c>
      <c r="D2377" s="141" t="s">
        <v>4</v>
      </c>
      <c r="E2377" s="452" t="s">
        <v>29</v>
      </c>
      <c r="F2377" s="380" t="s">
        <v>56</v>
      </c>
      <c r="G2377" s="237"/>
      <c r="H2377" s="452" t="s">
        <v>186</v>
      </c>
      <c r="I2377" s="142" t="s">
        <v>903</v>
      </c>
      <c r="J2377" s="488">
        <v>1000000</v>
      </c>
      <c r="K2377" s="627"/>
      <c r="L2377" s="394"/>
      <c r="M2377" s="394" t="s">
        <v>5133</v>
      </c>
      <c r="N2377" s="166">
        <v>15000000</v>
      </c>
      <c r="O2377" s="449" t="s">
        <v>971</v>
      </c>
    </row>
    <row r="2378" spans="1:16" ht="27.75" customHeight="1" x14ac:dyDescent="0.35">
      <c r="A2378" s="450" t="s">
        <v>4582</v>
      </c>
      <c r="B2378" s="348" t="s">
        <v>57</v>
      </c>
      <c r="C2378" s="290" t="s">
        <v>5</v>
      </c>
      <c r="D2378" s="141" t="s">
        <v>4</v>
      </c>
      <c r="E2378" s="452" t="s">
        <v>29</v>
      </c>
      <c r="F2378" s="380" t="s">
        <v>3098</v>
      </c>
      <c r="G2378" s="237"/>
      <c r="H2378" s="452" t="s">
        <v>186</v>
      </c>
      <c r="I2378" s="142" t="s">
        <v>903</v>
      </c>
      <c r="J2378" s="488">
        <v>500000</v>
      </c>
      <c r="K2378" s="627"/>
      <c r="L2378" s="394"/>
      <c r="M2378" s="394" t="s">
        <v>5133</v>
      </c>
      <c r="N2378" s="166">
        <v>20000000</v>
      </c>
      <c r="O2378" s="449" t="s">
        <v>57</v>
      </c>
    </row>
    <row r="2379" spans="1:16" ht="27" customHeight="1" x14ac:dyDescent="0.35">
      <c r="A2379" s="450" t="s">
        <v>4583</v>
      </c>
      <c r="B2379" s="348" t="s">
        <v>972</v>
      </c>
      <c r="C2379" s="290" t="s">
        <v>5</v>
      </c>
      <c r="D2379" s="141" t="s">
        <v>4</v>
      </c>
      <c r="E2379" s="452" t="s">
        <v>29</v>
      </c>
      <c r="F2379" s="380" t="s">
        <v>3088</v>
      </c>
      <c r="G2379" s="237"/>
      <c r="H2379" s="452" t="s">
        <v>186</v>
      </c>
      <c r="I2379" s="142" t="s">
        <v>916</v>
      </c>
      <c r="J2379" s="488">
        <v>5000000</v>
      </c>
      <c r="K2379" s="627">
        <v>5000000</v>
      </c>
      <c r="L2379" s="394"/>
      <c r="M2379" s="394" t="s">
        <v>5133</v>
      </c>
      <c r="N2379" s="166">
        <v>5000000</v>
      </c>
      <c r="O2379" s="449" t="s">
        <v>972</v>
      </c>
    </row>
    <row r="2380" spans="1:16" ht="29.25" customHeight="1" x14ac:dyDescent="0.35">
      <c r="A2380" s="450" t="s">
        <v>4584</v>
      </c>
      <c r="B2380" s="348" t="s">
        <v>60</v>
      </c>
      <c r="C2380" s="290" t="s">
        <v>5</v>
      </c>
      <c r="D2380" s="141" t="s">
        <v>4</v>
      </c>
      <c r="E2380" s="452" t="s">
        <v>29</v>
      </c>
      <c r="F2380" s="380" t="s">
        <v>3099</v>
      </c>
      <c r="G2380" s="237"/>
      <c r="H2380" s="452" t="s">
        <v>186</v>
      </c>
      <c r="I2380" s="142" t="s">
        <v>900</v>
      </c>
      <c r="J2380" s="488">
        <v>12000000</v>
      </c>
      <c r="K2380" s="627">
        <v>12000000</v>
      </c>
      <c r="L2380" s="394"/>
      <c r="M2380" s="394" t="s">
        <v>5133</v>
      </c>
      <c r="N2380" s="166">
        <v>5000000</v>
      </c>
      <c r="O2380" s="449" t="s">
        <v>60</v>
      </c>
    </row>
    <row r="2381" spans="1:16" ht="33.75" customHeight="1" x14ac:dyDescent="0.35">
      <c r="A2381" s="450" t="s">
        <v>4585</v>
      </c>
      <c r="B2381" s="348" t="s">
        <v>4666</v>
      </c>
      <c r="C2381" s="290" t="s">
        <v>615</v>
      </c>
      <c r="D2381" s="141" t="s">
        <v>4</v>
      </c>
      <c r="E2381" s="452" t="s">
        <v>29</v>
      </c>
      <c r="F2381" s="381" t="s">
        <v>983</v>
      </c>
      <c r="G2381" s="237"/>
      <c r="H2381" s="452" t="s">
        <v>186</v>
      </c>
      <c r="I2381" s="142" t="s">
        <v>975</v>
      </c>
      <c r="J2381" s="488">
        <v>112000000</v>
      </c>
      <c r="K2381" s="627">
        <v>85000000</v>
      </c>
      <c r="L2381" s="394"/>
      <c r="M2381" s="394" t="s">
        <v>5123</v>
      </c>
      <c r="N2381" s="166">
        <v>8000000</v>
      </c>
      <c r="O2381" s="449" t="s">
        <v>973</v>
      </c>
    </row>
    <row r="2382" spans="1:16" ht="30" customHeight="1" x14ac:dyDescent="0.35">
      <c r="A2382" s="332"/>
      <c r="B2382" s="542" t="s">
        <v>1008</v>
      </c>
      <c r="C2382" s="165"/>
      <c r="D2382" s="141"/>
      <c r="E2382" s="237"/>
      <c r="F2382" s="163"/>
      <c r="G2382" s="237"/>
      <c r="H2382" s="141"/>
      <c r="I2382" s="142"/>
      <c r="J2382" s="543">
        <f>SUM(J2360:J2381)</f>
        <v>742000000</v>
      </c>
      <c r="K2382" s="543">
        <f>SUM(K2360:K2381)</f>
        <v>500000000</v>
      </c>
      <c r="L2382" s="714">
        <f>SUM(L1625:L2381)</f>
        <v>9917303804.25</v>
      </c>
      <c r="M2382" s="714"/>
      <c r="N2382" s="166">
        <f>SUM(N2360:N2381)</f>
        <v>344884321</v>
      </c>
      <c r="O2382" s="254" t="s">
        <v>1008</v>
      </c>
    </row>
    <row r="2383" spans="1:16" s="247" customFormat="1" ht="31.5" customHeight="1" x14ac:dyDescent="0.3">
      <c r="A2383" s="245"/>
      <c r="B2383" s="178" t="s">
        <v>4726</v>
      </c>
      <c r="C2383" s="188"/>
      <c r="D2383" s="171"/>
      <c r="E2383" s="273"/>
      <c r="F2383" s="257"/>
      <c r="G2383" s="273"/>
      <c r="H2383" s="171"/>
      <c r="I2383" s="275"/>
      <c r="J2383" s="543">
        <f>J2382+J2354+J2349+J2284+J2243+J2236+J2200+J2192+J2182+J1767+J1706+J1677+J1663+J1649</f>
        <v>49035658515.962753</v>
      </c>
      <c r="K2383" s="543">
        <f>K2382+K2354+K2349+K2284+K2243+K2236+K2200+K2192+K2182+K1767+K1706+K1677+K1663+K1649</f>
        <v>26740955380</v>
      </c>
      <c r="L2383" s="543">
        <f>L2382+L2354+L2349+L2284+L2243+L2236+L2200+L2192+L2182+L1767+L1706+L1677+L1663+L1649</f>
        <v>9917303804.25</v>
      </c>
      <c r="M2383" s="714"/>
      <c r="N2383" s="543">
        <f>N2382+N2349+N2284+N2236+N2200+N2192+N2182+N1767+N1706+N1677+N1663+N1649</f>
        <v>31130934392.014</v>
      </c>
      <c r="O2383" s="453"/>
      <c r="P2383" s="246"/>
    </row>
    <row r="2384" spans="1:16" x14ac:dyDescent="0.35">
      <c r="B2384" s="580"/>
      <c r="K2384" s="458"/>
      <c r="L2384" s="704"/>
      <c r="M2384" s="704"/>
      <c r="O2384" s="271"/>
    </row>
    <row r="2385" spans="2:15" x14ac:dyDescent="0.35">
      <c r="B2385" s="580"/>
      <c r="K2385" s="458"/>
      <c r="L2385" s="704"/>
      <c r="M2385" s="704"/>
      <c r="O2385" s="271"/>
    </row>
    <row r="2386" spans="2:15" x14ac:dyDescent="0.35">
      <c r="B2386" s="580"/>
      <c r="K2386" s="458"/>
      <c r="L2386" s="704"/>
      <c r="M2386" s="704"/>
      <c r="O2386" s="271"/>
    </row>
    <row r="2387" spans="2:15" x14ac:dyDescent="0.35">
      <c r="B2387" s="580"/>
      <c r="K2387" s="458"/>
      <c r="L2387" s="704"/>
      <c r="M2387" s="704"/>
      <c r="O2387" s="271"/>
    </row>
    <row r="2388" spans="2:15" x14ac:dyDescent="0.35">
      <c r="B2388" s="580"/>
      <c r="K2388" s="458"/>
      <c r="L2388" s="704"/>
      <c r="M2388" s="704"/>
      <c r="O2388" s="271"/>
    </row>
    <row r="2389" spans="2:15" x14ac:dyDescent="0.35">
      <c r="B2389" s="580"/>
      <c r="K2389" s="458"/>
      <c r="L2389" s="704"/>
      <c r="M2389" s="704"/>
      <c r="O2389" s="271"/>
    </row>
    <row r="2390" spans="2:15" x14ac:dyDescent="0.35">
      <c r="B2390" s="580"/>
      <c r="K2390" s="458"/>
      <c r="L2390" s="704"/>
      <c r="M2390" s="704"/>
      <c r="O2390" s="271"/>
    </row>
    <row r="2391" spans="2:15" x14ac:dyDescent="0.35">
      <c r="B2391" s="580"/>
      <c r="K2391" s="458"/>
      <c r="L2391" s="704"/>
      <c r="M2391" s="704"/>
      <c r="O2391" s="271"/>
    </row>
    <row r="2392" spans="2:15" x14ac:dyDescent="0.35">
      <c r="B2392" s="580"/>
      <c r="K2392" s="458"/>
      <c r="L2392" s="704"/>
      <c r="M2392" s="704"/>
      <c r="O2392" s="271"/>
    </row>
    <row r="2393" spans="2:15" x14ac:dyDescent="0.35">
      <c r="B2393" s="580"/>
      <c r="K2393" s="458"/>
      <c r="L2393" s="704"/>
      <c r="M2393" s="704"/>
      <c r="O2393" s="271"/>
    </row>
    <row r="2394" spans="2:15" x14ac:dyDescent="0.35">
      <c r="B2394" s="580"/>
      <c r="K2394" s="458"/>
      <c r="L2394" s="704"/>
      <c r="M2394" s="704"/>
      <c r="O2394" s="271"/>
    </row>
    <row r="2395" spans="2:15" x14ac:dyDescent="0.35">
      <c r="B2395" s="580"/>
      <c r="K2395" s="458"/>
      <c r="L2395" s="704"/>
      <c r="M2395" s="704"/>
      <c r="O2395" s="271"/>
    </row>
    <row r="2396" spans="2:15" x14ac:dyDescent="0.35">
      <c r="B2396" s="580"/>
      <c r="K2396" s="458"/>
      <c r="L2396" s="704"/>
      <c r="M2396" s="704"/>
      <c r="O2396" s="271"/>
    </row>
    <row r="2397" spans="2:15" x14ac:dyDescent="0.35">
      <c r="B2397" s="580"/>
      <c r="K2397" s="458"/>
      <c r="L2397" s="704"/>
      <c r="M2397" s="704"/>
      <c r="O2397" s="271"/>
    </row>
    <row r="2398" spans="2:15" x14ac:dyDescent="0.35">
      <c r="B2398" s="580"/>
      <c r="K2398" s="458"/>
      <c r="L2398" s="704"/>
      <c r="M2398" s="704"/>
      <c r="O2398" s="271"/>
    </row>
    <row r="2399" spans="2:15" x14ac:dyDescent="0.35">
      <c r="B2399" s="580"/>
      <c r="K2399" s="458"/>
      <c r="L2399" s="704"/>
      <c r="M2399" s="704"/>
      <c r="O2399" s="271"/>
    </row>
    <row r="2400" spans="2:15" x14ac:dyDescent="0.35">
      <c r="B2400" s="580"/>
      <c r="K2400" s="458"/>
      <c r="L2400" s="704"/>
      <c r="M2400" s="704"/>
      <c r="O2400" s="271"/>
    </row>
    <row r="2401" spans="2:15" x14ac:dyDescent="0.35">
      <c r="B2401" s="580"/>
      <c r="K2401" s="458"/>
      <c r="L2401" s="704"/>
      <c r="M2401" s="704"/>
      <c r="O2401" s="271"/>
    </row>
    <row r="2402" spans="2:15" x14ac:dyDescent="0.35">
      <c r="B2402" s="580"/>
      <c r="K2402" s="458"/>
      <c r="L2402" s="704"/>
      <c r="M2402" s="704"/>
      <c r="O2402" s="271"/>
    </row>
    <row r="2403" spans="2:15" x14ac:dyDescent="0.35">
      <c r="B2403" s="580"/>
      <c r="K2403" s="458"/>
      <c r="L2403" s="704"/>
      <c r="M2403" s="704"/>
      <c r="O2403" s="271"/>
    </row>
    <row r="2404" spans="2:15" x14ac:dyDescent="0.35">
      <c r="B2404" s="580"/>
      <c r="K2404" s="458"/>
      <c r="L2404" s="704"/>
      <c r="M2404" s="704"/>
      <c r="O2404" s="271"/>
    </row>
    <row r="2405" spans="2:15" x14ac:dyDescent="0.35">
      <c r="B2405" s="580"/>
      <c r="K2405" s="458"/>
      <c r="L2405" s="704"/>
      <c r="M2405" s="704"/>
      <c r="O2405" s="271"/>
    </row>
    <row r="2406" spans="2:15" x14ac:dyDescent="0.35">
      <c r="B2406" s="580"/>
      <c r="K2406" s="458"/>
      <c r="L2406" s="704"/>
      <c r="M2406" s="704"/>
      <c r="O2406" s="271"/>
    </row>
    <row r="2407" spans="2:15" x14ac:dyDescent="0.35">
      <c r="B2407" s="580"/>
      <c r="K2407" s="458"/>
      <c r="L2407" s="704"/>
      <c r="M2407" s="704"/>
      <c r="O2407" s="271"/>
    </row>
    <row r="2408" spans="2:15" x14ac:dyDescent="0.35">
      <c r="B2408" s="580"/>
      <c r="K2408" s="458"/>
      <c r="L2408" s="704"/>
      <c r="M2408" s="704"/>
      <c r="O2408" s="271"/>
    </row>
    <row r="2409" spans="2:15" x14ac:dyDescent="0.35">
      <c r="B2409" s="580"/>
      <c r="K2409" s="458"/>
      <c r="L2409" s="704"/>
      <c r="M2409" s="704"/>
      <c r="O2409" s="271"/>
    </row>
    <row r="2410" spans="2:15" x14ac:dyDescent="0.35">
      <c r="B2410" s="580"/>
      <c r="K2410" s="458"/>
      <c r="L2410" s="704"/>
      <c r="M2410" s="704"/>
      <c r="O2410" s="271"/>
    </row>
    <row r="2411" spans="2:15" x14ac:dyDescent="0.35">
      <c r="B2411" s="580"/>
      <c r="K2411" s="458"/>
      <c r="L2411" s="704"/>
      <c r="M2411" s="704"/>
      <c r="O2411" s="271"/>
    </row>
    <row r="2412" spans="2:15" x14ac:dyDescent="0.35">
      <c r="B2412" s="580"/>
      <c r="K2412" s="458"/>
      <c r="L2412" s="704"/>
      <c r="M2412" s="704"/>
      <c r="O2412" s="271"/>
    </row>
    <row r="2413" spans="2:15" x14ac:dyDescent="0.35">
      <c r="B2413" s="580"/>
      <c r="K2413" s="458"/>
      <c r="L2413" s="704"/>
      <c r="M2413" s="704"/>
      <c r="O2413" s="271"/>
    </row>
    <row r="2414" spans="2:15" x14ac:dyDescent="0.35">
      <c r="B2414" s="580"/>
      <c r="K2414" s="458"/>
      <c r="L2414" s="704"/>
      <c r="M2414" s="704"/>
      <c r="O2414" s="271"/>
    </row>
    <row r="2415" spans="2:15" x14ac:dyDescent="0.35">
      <c r="B2415" s="580"/>
      <c r="K2415" s="458"/>
      <c r="L2415" s="704"/>
      <c r="M2415" s="704"/>
      <c r="O2415" s="271"/>
    </row>
    <row r="2416" spans="2:15" x14ac:dyDescent="0.35">
      <c r="B2416" s="580"/>
      <c r="K2416" s="458"/>
      <c r="L2416" s="704"/>
      <c r="M2416" s="704"/>
      <c r="O2416" s="271"/>
    </row>
    <row r="2417" spans="2:15" x14ac:dyDescent="0.35">
      <c r="B2417" s="580"/>
      <c r="K2417" s="458"/>
      <c r="L2417" s="704"/>
      <c r="M2417" s="704"/>
      <c r="O2417" s="271"/>
    </row>
    <row r="2418" spans="2:15" x14ac:dyDescent="0.35">
      <c r="B2418" s="580"/>
      <c r="K2418" s="458"/>
      <c r="L2418" s="704"/>
      <c r="M2418" s="704"/>
      <c r="O2418" s="271"/>
    </row>
    <row r="2419" spans="2:15" x14ac:dyDescent="0.35">
      <c r="B2419" s="580"/>
      <c r="K2419" s="458"/>
      <c r="L2419" s="704"/>
      <c r="M2419" s="704"/>
      <c r="O2419" s="271"/>
    </row>
    <row r="2420" spans="2:15" x14ac:dyDescent="0.35">
      <c r="B2420" s="580"/>
      <c r="K2420" s="458"/>
      <c r="L2420" s="704"/>
      <c r="M2420" s="704"/>
      <c r="O2420" s="271"/>
    </row>
    <row r="2421" spans="2:15" x14ac:dyDescent="0.35">
      <c r="B2421" s="580"/>
      <c r="K2421" s="458"/>
      <c r="L2421" s="704"/>
      <c r="M2421" s="704"/>
      <c r="O2421" s="271"/>
    </row>
    <row r="2422" spans="2:15" x14ac:dyDescent="0.35">
      <c r="B2422" s="580"/>
      <c r="K2422" s="458"/>
      <c r="L2422" s="704"/>
      <c r="M2422" s="704"/>
      <c r="O2422" s="271"/>
    </row>
    <row r="2423" spans="2:15" x14ac:dyDescent="0.35">
      <c r="B2423" s="580"/>
      <c r="K2423" s="458"/>
      <c r="L2423" s="704"/>
      <c r="M2423" s="704"/>
      <c r="O2423" s="271"/>
    </row>
    <row r="2424" spans="2:15" x14ac:dyDescent="0.35">
      <c r="B2424" s="580"/>
      <c r="K2424" s="458"/>
      <c r="L2424" s="704"/>
      <c r="M2424" s="704"/>
      <c r="O2424" s="271"/>
    </row>
    <row r="2425" spans="2:15" x14ac:dyDescent="0.35">
      <c r="B2425" s="580"/>
      <c r="K2425" s="458"/>
      <c r="L2425" s="704"/>
      <c r="M2425" s="704"/>
      <c r="O2425" s="271"/>
    </row>
    <row r="2426" spans="2:15" x14ac:dyDescent="0.35">
      <c r="B2426" s="580"/>
      <c r="K2426" s="458"/>
      <c r="L2426" s="704"/>
      <c r="M2426" s="704"/>
      <c r="O2426" s="271"/>
    </row>
    <row r="2427" spans="2:15" x14ac:dyDescent="0.35">
      <c r="B2427" s="580"/>
      <c r="K2427" s="458"/>
      <c r="L2427" s="704"/>
      <c r="M2427" s="704"/>
      <c r="O2427" s="271"/>
    </row>
    <row r="2428" spans="2:15" x14ac:dyDescent="0.35">
      <c r="B2428" s="580"/>
      <c r="K2428" s="458"/>
      <c r="L2428" s="704"/>
      <c r="M2428" s="704"/>
      <c r="O2428" s="271"/>
    </row>
    <row r="2429" spans="2:15" x14ac:dyDescent="0.35">
      <c r="B2429" s="580"/>
      <c r="K2429" s="458"/>
      <c r="L2429" s="704"/>
      <c r="M2429" s="704"/>
      <c r="O2429" s="271"/>
    </row>
    <row r="2430" spans="2:15" x14ac:dyDescent="0.35">
      <c r="B2430" s="580"/>
      <c r="K2430" s="458"/>
      <c r="L2430" s="704"/>
      <c r="M2430" s="704"/>
      <c r="O2430" s="271"/>
    </row>
    <row r="2431" spans="2:15" x14ac:dyDescent="0.35">
      <c r="B2431" s="580"/>
      <c r="K2431" s="458"/>
      <c r="L2431" s="704"/>
      <c r="M2431" s="704"/>
      <c r="O2431" s="271"/>
    </row>
    <row r="2432" spans="2:15" x14ac:dyDescent="0.35">
      <c r="B2432" s="580"/>
      <c r="K2432" s="458"/>
      <c r="L2432" s="704"/>
      <c r="M2432" s="704"/>
      <c r="O2432" s="271"/>
    </row>
    <row r="2433" spans="2:15" x14ac:dyDescent="0.35">
      <c r="B2433" s="580"/>
      <c r="K2433" s="458"/>
      <c r="L2433" s="704"/>
      <c r="M2433" s="704"/>
      <c r="O2433" s="271"/>
    </row>
    <row r="2434" spans="2:15" x14ac:dyDescent="0.35">
      <c r="B2434" s="580"/>
      <c r="K2434" s="458"/>
      <c r="L2434" s="704"/>
      <c r="M2434" s="704"/>
      <c r="O2434" s="271"/>
    </row>
    <row r="2435" spans="2:15" x14ac:dyDescent="0.35">
      <c r="B2435" s="580"/>
      <c r="K2435" s="458"/>
      <c r="L2435" s="704"/>
      <c r="M2435" s="704"/>
      <c r="O2435" s="271"/>
    </row>
    <row r="2436" spans="2:15" x14ac:dyDescent="0.35">
      <c r="B2436" s="580"/>
      <c r="K2436" s="458"/>
      <c r="L2436" s="704"/>
      <c r="M2436" s="704"/>
      <c r="O2436" s="271"/>
    </row>
    <row r="2437" spans="2:15" x14ac:dyDescent="0.35">
      <c r="B2437" s="580"/>
      <c r="K2437" s="458"/>
      <c r="L2437" s="704"/>
      <c r="M2437" s="704"/>
      <c r="O2437" s="271"/>
    </row>
    <row r="2438" spans="2:15" x14ac:dyDescent="0.35">
      <c r="B2438" s="580"/>
      <c r="K2438" s="458"/>
      <c r="L2438" s="704"/>
      <c r="M2438" s="704"/>
      <c r="O2438" s="271"/>
    </row>
    <row r="2439" spans="2:15" x14ac:dyDescent="0.35">
      <c r="B2439" s="580"/>
      <c r="K2439" s="458"/>
      <c r="L2439" s="704"/>
      <c r="M2439" s="704"/>
      <c r="O2439" s="271"/>
    </row>
    <row r="2440" spans="2:15" x14ac:dyDescent="0.35">
      <c r="B2440" s="580"/>
      <c r="K2440" s="458"/>
      <c r="L2440" s="704"/>
      <c r="M2440" s="704"/>
      <c r="O2440" s="271"/>
    </row>
    <row r="2441" spans="2:15" x14ac:dyDescent="0.35">
      <c r="B2441" s="580"/>
      <c r="K2441" s="458"/>
      <c r="L2441" s="704"/>
      <c r="M2441" s="704"/>
      <c r="O2441" s="271"/>
    </row>
    <row r="2442" spans="2:15" x14ac:dyDescent="0.35">
      <c r="B2442" s="580"/>
      <c r="K2442" s="458"/>
      <c r="L2442" s="704"/>
      <c r="M2442" s="704"/>
      <c r="O2442" s="271"/>
    </row>
    <row r="2443" spans="2:15" x14ac:dyDescent="0.35">
      <c r="B2443" s="580"/>
      <c r="K2443" s="458"/>
      <c r="L2443" s="704"/>
      <c r="M2443" s="704"/>
      <c r="O2443" s="271"/>
    </row>
    <row r="2444" spans="2:15" x14ac:dyDescent="0.35">
      <c r="B2444" s="580"/>
      <c r="K2444" s="458"/>
      <c r="L2444" s="704"/>
      <c r="M2444" s="704"/>
      <c r="O2444" s="271"/>
    </row>
    <row r="2445" spans="2:15" x14ac:dyDescent="0.35">
      <c r="B2445" s="580"/>
      <c r="K2445" s="458"/>
      <c r="L2445" s="704"/>
      <c r="M2445" s="704"/>
      <c r="O2445" s="271"/>
    </row>
    <row r="2446" spans="2:15" x14ac:dyDescent="0.35">
      <c r="B2446" s="580"/>
      <c r="K2446" s="458"/>
      <c r="L2446" s="704"/>
      <c r="M2446" s="704"/>
      <c r="O2446" s="271"/>
    </row>
    <row r="2447" spans="2:15" x14ac:dyDescent="0.35">
      <c r="B2447" s="580"/>
      <c r="K2447" s="458"/>
      <c r="L2447" s="704"/>
      <c r="M2447" s="704"/>
      <c r="O2447" s="271"/>
    </row>
    <row r="2448" spans="2:15" x14ac:dyDescent="0.35">
      <c r="B2448" s="580"/>
      <c r="K2448" s="458"/>
      <c r="L2448" s="704"/>
      <c r="M2448" s="704"/>
      <c r="O2448" s="271"/>
    </row>
    <row r="2449" spans="2:15" x14ac:dyDescent="0.35">
      <c r="B2449" s="580"/>
      <c r="K2449" s="458"/>
      <c r="L2449" s="704"/>
      <c r="M2449" s="704"/>
      <c r="O2449" s="271"/>
    </row>
    <row r="2450" spans="2:15" x14ac:dyDescent="0.35">
      <c r="B2450" s="580"/>
      <c r="K2450" s="458"/>
      <c r="L2450" s="704"/>
      <c r="M2450" s="704"/>
      <c r="O2450" s="271"/>
    </row>
    <row r="2451" spans="2:15" x14ac:dyDescent="0.35">
      <c r="B2451" s="580"/>
      <c r="K2451" s="458"/>
      <c r="L2451" s="704"/>
      <c r="M2451" s="704"/>
      <c r="O2451" s="271"/>
    </row>
    <row r="2452" spans="2:15" x14ac:dyDescent="0.35">
      <c r="B2452" s="580"/>
      <c r="K2452" s="458"/>
      <c r="L2452" s="704"/>
      <c r="M2452" s="704"/>
      <c r="O2452" s="271"/>
    </row>
    <row r="2453" spans="2:15" x14ac:dyDescent="0.35">
      <c r="B2453" s="580"/>
      <c r="K2453" s="458"/>
      <c r="L2453" s="704"/>
      <c r="M2453" s="704"/>
      <c r="O2453" s="271"/>
    </row>
    <row r="2454" spans="2:15" x14ac:dyDescent="0.35">
      <c r="B2454" s="580"/>
      <c r="K2454" s="458"/>
      <c r="L2454" s="704"/>
      <c r="M2454" s="704"/>
      <c r="O2454" s="271"/>
    </row>
    <row r="2455" spans="2:15" x14ac:dyDescent="0.35">
      <c r="B2455" s="580"/>
      <c r="K2455" s="458"/>
      <c r="L2455" s="704"/>
      <c r="M2455" s="704"/>
      <c r="O2455" s="271"/>
    </row>
    <row r="2456" spans="2:15" x14ac:dyDescent="0.35">
      <c r="B2456" s="580"/>
      <c r="K2456" s="458"/>
      <c r="L2456" s="704"/>
      <c r="M2456" s="704"/>
      <c r="O2456" s="271"/>
    </row>
    <row r="2457" spans="2:15" x14ac:dyDescent="0.35">
      <c r="B2457" s="580"/>
      <c r="K2457" s="458"/>
      <c r="L2457" s="704"/>
      <c r="M2457" s="704"/>
      <c r="O2457" s="271"/>
    </row>
    <row r="2458" spans="2:15" x14ac:dyDescent="0.35">
      <c r="B2458" s="580"/>
      <c r="K2458" s="458"/>
      <c r="L2458" s="704"/>
      <c r="M2458" s="704"/>
      <c r="O2458" s="271"/>
    </row>
    <row r="2459" spans="2:15" x14ac:dyDescent="0.35">
      <c r="B2459" s="580"/>
      <c r="K2459" s="458"/>
      <c r="L2459" s="704"/>
      <c r="M2459" s="704"/>
      <c r="O2459" s="271"/>
    </row>
    <row r="2460" spans="2:15" x14ac:dyDescent="0.35">
      <c r="B2460" s="580"/>
      <c r="K2460" s="458"/>
      <c r="L2460" s="704"/>
      <c r="M2460" s="704"/>
      <c r="O2460" s="271"/>
    </row>
    <row r="2461" spans="2:15" x14ac:dyDescent="0.35">
      <c r="B2461" s="580"/>
      <c r="K2461" s="458"/>
      <c r="L2461" s="704"/>
      <c r="M2461" s="704"/>
      <c r="O2461" s="271"/>
    </row>
    <row r="2462" spans="2:15" x14ac:dyDescent="0.35">
      <c r="B2462" s="580"/>
      <c r="K2462" s="458"/>
      <c r="L2462" s="704"/>
      <c r="M2462" s="704"/>
      <c r="O2462" s="271"/>
    </row>
    <row r="2463" spans="2:15" x14ac:dyDescent="0.35">
      <c r="B2463" s="580"/>
      <c r="K2463" s="458"/>
      <c r="L2463" s="704"/>
      <c r="M2463" s="704"/>
      <c r="O2463" s="271"/>
    </row>
    <row r="2464" spans="2:15" x14ac:dyDescent="0.35">
      <c r="B2464" s="580"/>
      <c r="K2464" s="458"/>
      <c r="L2464" s="704"/>
      <c r="M2464" s="704"/>
      <c r="O2464" s="271"/>
    </row>
    <row r="2465" spans="2:15" x14ac:dyDescent="0.35">
      <c r="B2465" s="580"/>
      <c r="K2465" s="458"/>
      <c r="L2465" s="704"/>
      <c r="M2465" s="704"/>
      <c r="O2465" s="271"/>
    </row>
    <row r="2466" spans="2:15" x14ac:dyDescent="0.35">
      <c r="B2466" s="580"/>
      <c r="K2466" s="458"/>
      <c r="L2466" s="704"/>
      <c r="M2466" s="704"/>
      <c r="O2466" s="271"/>
    </row>
    <row r="2467" spans="2:15" x14ac:dyDescent="0.35">
      <c r="B2467" s="580"/>
      <c r="K2467" s="458"/>
      <c r="L2467" s="704"/>
      <c r="M2467" s="704"/>
      <c r="O2467" s="271"/>
    </row>
    <row r="2468" spans="2:15" x14ac:dyDescent="0.35">
      <c r="B2468" s="580"/>
      <c r="K2468" s="458"/>
      <c r="L2468" s="704"/>
      <c r="M2468" s="704"/>
      <c r="O2468" s="271"/>
    </row>
    <row r="2469" spans="2:15" x14ac:dyDescent="0.35">
      <c r="B2469" s="580"/>
      <c r="K2469" s="458"/>
      <c r="L2469" s="704"/>
      <c r="M2469" s="704"/>
      <c r="O2469" s="271"/>
    </row>
    <row r="2470" spans="2:15" x14ac:dyDescent="0.35">
      <c r="B2470" s="580"/>
      <c r="K2470" s="458"/>
      <c r="L2470" s="704"/>
      <c r="M2470" s="704"/>
      <c r="O2470" s="271"/>
    </row>
    <row r="2471" spans="2:15" x14ac:dyDescent="0.35">
      <c r="B2471" s="580"/>
      <c r="K2471" s="458"/>
      <c r="L2471" s="704"/>
      <c r="M2471" s="704"/>
      <c r="O2471" s="271"/>
    </row>
    <row r="2472" spans="2:15" x14ac:dyDescent="0.35">
      <c r="B2472" s="580"/>
      <c r="K2472" s="458"/>
      <c r="L2472" s="704"/>
      <c r="M2472" s="704"/>
      <c r="O2472" s="271"/>
    </row>
    <row r="2473" spans="2:15" x14ac:dyDescent="0.35">
      <c r="B2473" s="580"/>
      <c r="K2473" s="458"/>
      <c r="L2473" s="704"/>
      <c r="M2473" s="704"/>
      <c r="O2473" s="271"/>
    </row>
    <row r="2474" spans="2:15" x14ac:dyDescent="0.35">
      <c r="B2474" s="580"/>
      <c r="K2474" s="458"/>
      <c r="L2474" s="704"/>
      <c r="M2474" s="704"/>
      <c r="O2474" s="271"/>
    </row>
    <row r="2475" spans="2:15" x14ac:dyDescent="0.35">
      <c r="B2475" s="580"/>
      <c r="K2475" s="458"/>
      <c r="L2475" s="704"/>
      <c r="M2475" s="704"/>
      <c r="O2475" s="271"/>
    </row>
    <row r="2476" spans="2:15" x14ac:dyDescent="0.35">
      <c r="B2476" s="580"/>
      <c r="K2476" s="458"/>
      <c r="L2476" s="704"/>
      <c r="M2476" s="704"/>
      <c r="O2476" s="271"/>
    </row>
    <row r="2477" spans="2:15" x14ac:dyDescent="0.35">
      <c r="B2477" s="580"/>
      <c r="K2477" s="458"/>
      <c r="L2477" s="704"/>
      <c r="M2477" s="704"/>
      <c r="O2477" s="271"/>
    </row>
    <row r="2478" spans="2:15" x14ac:dyDescent="0.35">
      <c r="B2478" s="580"/>
      <c r="K2478" s="458"/>
      <c r="L2478" s="704"/>
      <c r="M2478" s="704"/>
      <c r="O2478" s="271"/>
    </row>
    <row r="2479" spans="2:15" x14ac:dyDescent="0.35">
      <c r="B2479" s="580"/>
      <c r="K2479" s="458"/>
      <c r="L2479" s="704"/>
      <c r="M2479" s="704"/>
      <c r="O2479" s="271"/>
    </row>
    <row r="2480" spans="2:15" x14ac:dyDescent="0.35">
      <c r="B2480" s="580"/>
      <c r="K2480" s="458"/>
      <c r="L2480" s="704"/>
      <c r="M2480" s="704"/>
      <c r="O2480" s="271"/>
    </row>
    <row r="2481" spans="2:15" x14ac:dyDescent="0.35">
      <c r="B2481" s="580"/>
      <c r="K2481" s="458"/>
      <c r="L2481" s="704"/>
      <c r="M2481" s="704"/>
      <c r="O2481" s="271"/>
    </row>
    <row r="2482" spans="2:15" x14ac:dyDescent="0.35">
      <c r="B2482" s="580"/>
      <c r="K2482" s="458"/>
      <c r="L2482" s="704"/>
      <c r="M2482" s="704"/>
      <c r="O2482" s="271"/>
    </row>
    <row r="2483" spans="2:15" x14ac:dyDescent="0.35">
      <c r="B2483" s="580"/>
      <c r="K2483" s="458"/>
      <c r="L2483" s="704"/>
      <c r="M2483" s="704"/>
      <c r="O2483" s="271"/>
    </row>
    <row r="2484" spans="2:15" x14ac:dyDescent="0.35">
      <c r="B2484" s="580"/>
      <c r="K2484" s="458"/>
      <c r="L2484" s="704"/>
      <c r="M2484" s="704"/>
      <c r="O2484" s="271"/>
    </row>
    <row r="2485" spans="2:15" x14ac:dyDescent="0.35">
      <c r="B2485" s="580"/>
      <c r="K2485" s="458"/>
      <c r="L2485" s="704"/>
      <c r="M2485" s="704"/>
      <c r="O2485" s="271"/>
    </row>
    <row r="2486" spans="2:15" x14ac:dyDescent="0.35">
      <c r="B2486" s="580"/>
      <c r="K2486" s="458"/>
      <c r="L2486" s="704"/>
      <c r="M2486" s="704"/>
      <c r="O2486" s="271"/>
    </row>
    <row r="2487" spans="2:15" x14ac:dyDescent="0.35">
      <c r="B2487" s="580"/>
      <c r="K2487" s="458"/>
      <c r="L2487" s="704"/>
      <c r="M2487" s="704"/>
      <c r="O2487" s="271"/>
    </row>
    <row r="2488" spans="2:15" x14ac:dyDescent="0.35">
      <c r="B2488" s="580"/>
      <c r="K2488" s="458"/>
      <c r="L2488" s="704"/>
      <c r="M2488" s="704"/>
      <c r="O2488" s="271"/>
    </row>
    <row r="2489" spans="2:15" x14ac:dyDescent="0.35">
      <c r="B2489" s="580"/>
      <c r="K2489" s="458"/>
      <c r="L2489" s="704"/>
      <c r="M2489" s="704"/>
      <c r="O2489" s="271"/>
    </row>
    <row r="2490" spans="2:15" x14ac:dyDescent="0.35">
      <c r="B2490" s="580"/>
      <c r="K2490" s="458"/>
      <c r="L2490" s="704"/>
      <c r="M2490" s="704"/>
      <c r="O2490" s="271"/>
    </row>
    <row r="2491" spans="2:15" x14ac:dyDescent="0.35">
      <c r="B2491" s="580"/>
      <c r="K2491" s="458"/>
      <c r="L2491" s="704"/>
      <c r="M2491" s="704"/>
      <c r="O2491" s="271"/>
    </row>
    <row r="2492" spans="2:15" x14ac:dyDescent="0.35">
      <c r="B2492" s="580"/>
      <c r="K2492" s="458"/>
      <c r="L2492" s="704"/>
      <c r="M2492" s="704"/>
      <c r="O2492" s="271"/>
    </row>
    <row r="2493" spans="2:15" x14ac:dyDescent="0.35">
      <c r="B2493" s="580"/>
      <c r="K2493" s="458"/>
      <c r="L2493" s="704"/>
      <c r="M2493" s="704"/>
      <c r="O2493" s="271"/>
    </row>
    <row r="2494" spans="2:15" x14ac:dyDescent="0.35">
      <c r="B2494" s="580"/>
      <c r="K2494" s="458"/>
      <c r="L2494" s="704"/>
      <c r="M2494" s="704"/>
      <c r="O2494" s="271"/>
    </row>
    <row r="2495" spans="2:15" x14ac:dyDescent="0.35">
      <c r="B2495" s="580"/>
      <c r="K2495" s="458"/>
      <c r="L2495" s="704"/>
      <c r="M2495" s="704"/>
      <c r="O2495" s="271"/>
    </row>
    <row r="2496" spans="2:15" x14ac:dyDescent="0.35">
      <c r="B2496" s="580"/>
      <c r="K2496" s="458"/>
      <c r="L2496" s="704"/>
      <c r="M2496" s="704"/>
      <c r="O2496" s="271"/>
    </row>
    <row r="2497" spans="2:15" x14ac:dyDescent="0.35">
      <c r="B2497" s="580"/>
      <c r="K2497" s="458"/>
      <c r="L2497" s="704"/>
      <c r="M2497" s="704"/>
      <c r="O2497" s="271"/>
    </row>
    <row r="2498" spans="2:15" x14ac:dyDescent="0.35">
      <c r="B2498" s="580"/>
      <c r="K2498" s="458"/>
      <c r="L2498" s="704"/>
      <c r="M2498" s="704"/>
      <c r="O2498" s="271"/>
    </row>
    <row r="2499" spans="2:15" x14ac:dyDescent="0.35">
      <c r="B2499" s="580"/>
      <c r="K2499" s="458"/>
      <c r="L2499" s="704"/>
      <c r="M2499" s="704"/>
      <c r="O2499" s="271"/>
    </row>
    <row r="2500" spans="2:15" x14ac:dyDescent="0.35">
      <c r="B2500" s="580"/>
      <c r="K2500" s="458"/>
      <c r="L2500" s="704"/>
      <c r="M2500" s="704"/>
      <c r="O2500" s="271"/>
    </row>
    <row r="2501" spans="2:15" x14ac:dyDescent="0.35">
      <c r="B2501" s="580"/>
      <c r="K2501" s="458"/>
      <c r="L2501" s="704"/>
      <c r="M2501" s="704"/>
      <c r="O2501" s="271"/>
    </row>
    <row r="2502" spans="2:15" x14ac:dyDescent="0.35">
      <c r="B2502" s="580"/>
      <c r="K2502" s="458"/>
      <c r="L2502" s="704"/>
      <c r="M2502" s="704"/>
      <c r="O2502" s="271"/>
    </row>
    <row r="2503" spans="2:15" x14ac:dyDescent="0.35">
      <c r="B2503" s="580"/>
      <c r="K2503" s="458"/>
      <c r="L2503" s="704"/>
      <c r="M2503" s="704"/>
      <c r="O2503" s="271"/>
    </row>
    <row r="2504" spans="2:15" x14ac:dyDescent="0.35">
      <c r="B2504" s="580"/>
      <c r="K2504" s="458"/>
      <c r="L2504" s="704"/>
      <c r="M2504" s="704"/>
      <c r="O2504" s="271"/>
    </row>
    <row r="2505" spans="2:15" x14ac:dyDescent="0.35">
      <c r="B2505" s="580"/>
      <c r="K2505" s="458"/>
      <c r="L2505" s="704"/>
      <c r="M2505" s="704"/>
      <c r="O2505" s="271"/>
    </row>
    <row r="2506" spans="2:15" x14ac:dyDescent="0.35">
      <c r="B2506" s="580"/>
      <c r="K2506" s="458"/>
      <c r="L2506" s="704"/>
      <c r="M2506" s="704"/>
      <c r="O2506" s="271"/>
    </row>
    <row r="2507" spans="2:15" x14ac:dyDescent="0.35">
      <c r="B2507" s="580"/>
      <c r="K2507" s="458"/>
      <c r="L2507" s="704"/>
      <c r="M2507" s="704"/>
      <c r="O2507" s="271"/>
    </row>
    <row r="2508" spans="2:15" x14ac:dyDescent="0.35">
      <c r="B2508" s="580"/>
      <c r="K2508" s="458"/>
      <c r="L2508" s="704"/>
      <c r="M2508" s="704"/>
      <c r="O2508" s="271"/>
    </row>
    <row r="2509" spans="2:15" x14ac:dyDescent="0.35">
      <c r="B2509" s="580"/>
      <c r="K2509" s="458"/>
      <c r="L2509" s="704"/>
      <c r="M2509" s="704"/>
      <c r="O2509" s="271"/>
    </row>
    <row r="2510" spans="2:15" x14ac:dyDescent="0.35">
      <c r="B2510" s="580"/>
      <c r="K2510" s="458"/>
      <c r="L2510" s="704"/>
      <c r="M2510" s="704"/>
      <c r="O2510" s="271"/>
    </row>
    <row r="2511" spans="2:15" x14ac:dyDescent="0.35">
      <c r="B2511" s="580"/>
      <c r="K2511" s="458"/>
      <c r="L2511" s="704"/>
      <c r="M2511" s="704"/>
      <c r="O2511" s="271"/>
    </row>
    <row r="2512" spans="2:15" x14ac:dyDescent="0.35">
      <c r="B2512" s="580"/>
      <c r="K2512" s="458"/>
      <c r="L2512" s="704"/>
      <c r="M2512" s="704"/>
      <c r="O2512" s="271"/>
    </row>
    <row r="2513" spans="2:15" x14ac:dyDescent="0.35">
      <c r="B2513" s="580"/>
      <c r="K2513" s="458"/>
      <c r="L2513" s="704"/>
      <c r="M2513" s="704"/>
      <c r="O2513" s="271"/>
    </row>
    <row r="2514" spans="2:15" x14ac:dyDescent="0.35">
      <c r="B2514" s="580"/>
      <c r="K2514" s="458"/>
      <c r="L2514" s="704"/>
      <c r="M2514" s="704"/>
      <c r="O2514" s="271"/>
    </row>
    <row r="2515" spans="2:15" x14ac:dyDescent="0.35">
      <c r="B2515" s="580"/>
      <c r="K2515" s="458"/>
      <c r="L2515" s="704"/>
      <c r="M2515" s="704"/>
      <c r="O2515" s="271"/>
    </row>
    <row r="2516" spans="2:15" x14ac:dyDescent="0.35">
      <c r="B2516" s="580"/>
      <c r="K2516" s="458"/>
      <c r="L2516" s="704"/>
      <c r="M2516" s="704"/>
      <c r="O2516" s="271"/>
    </row>
    <row r="2517" spans="2:15" x14ac:dyDescent="0.35">
      <c r="B2517" s="580"/>
      <c r="K2517" s="458"/>
      <c r="L2517" s="704"/>
      <c r="M2517" s="704"/>
      <c r="O2517" s="271"/>
    </row>
    <row r="2518" spans="2:15" x14ac:dyDescent="0.35">
      <c r="B2518" s="580"/>
      <c r="K2518" s="458"/>
      <c r="L2518" s="704"/>
      <c r="M2518" s="704"/>
      <c r="O2518" s="271"/>
    </row>
    <row r="2519" spans="2:15" x14ac:dyDescent="0.35">
      <c r="B2519" s="580"/>
      <c r="K2519" s="458"/>
      <c r="L2519" s="704"/>
      <c r="M2519" s="704"/>
      <c r="O2519" s="271"/>
    </row>
    <row r="2520" spans="2:15" x14ac:dyDescent="0.35">
      <c r="B2520" s="580"/>
      <c r="K2520" s="458"/>
      <c r="L2520" s="704"/>
      <c r="M2520" s="704"/>
      <c r="O2520" s="271"/>
    </row>
    <row r="2521" spans="2:15" x14ac:dyDescent="0.35">
      <c r="B2521" s="580"/>
      <c r="K2521" s="458"/>
      <c r="L2521" s="704"/>
      <c r="M2521" s="704"/>
      <c r="O2521" s="271"/>
    </row>
    <row r="2522" spans="2:15" x14ac:dyDescent="0.35">
      <c r="B2522" s="580"/>
      <c r="K2522" s="458"/>
      <c r="L2522" s="704"/>
      <c r="M2522" s="704"/>
      <c r="O2522" s="271"/>
    </row>
    <row r="2523" spans="2:15" x14ac:dyDescent="0.35">
      <c r="B2523" s="580"/>
      <c r="K2523" s="458"/>
      <c r="L2523" s="704"/>
      <c r="M2523" s="704"/>
      <c r="O2523" s="271"/>
    </row>
    <row r="2524" spans="2:15" x14ac:dyDescent="0.35">
      <c r="B2524" s="580"/>
      <c r="K2524" s="458"/>
      <c r="L2524" s="704"/>
      <c r="M2524" s="704"/>
      <c r="O2524" s="271"/>
    </row>
    <row r="2525" spans="2:15" x14ac:dyDescent="0.35">
      <c r="B2525" s="580"/>
      <c r="K2525" s="458"/>
      <c r="L2525" s="704"/>
      <c r="M2525" s="704"/>
      <c r="O2525" s="271"/>
    </row>
    <row r="2526" spans="2:15" x14ac:dyDescent="0.35">
      <c r="B2526" s="580"/>
      <c r="K2526" s="458"/>
      <c r="L2526" s="704"/>
      <c r="M2526" s="704"/>
      <c r="O2526" s="271"/>
    </row>
    <row r="2527" spans="2:15" x14ac:dyDescent="0.35">
      <c r="B2527" s="580"/>
      <c r="K2527" s="458"/>
      <c r="L2527" s="704"/>
      <c r="M2527" s="704"/>
      <c r="O2527" s="271"/>
    </row>
    <row r="2528" spans="2:15" x14ac:dyDescent="0.35">
      <c r="B2528" s="580"/>
      <c r="K2528" s="458"/>
      <c r="L2528" s="704"/>
      <c r="M2528" s="704"/>
      <c r="O2528" s="271"/>
    </row>
    <row r="2529" spans="2:15" x14ac:dyDescent="0.35">
      <c r="B2529" s="580"/>
      <c r="K2529" s="458"/>
      <c r="L2529" s="704"/>
      <c r="M2529" s="704"/>
      <c r="O2529" s="271"/>
    </row>
    <row r="2530" spans="2:15" x14ac:dyDescent="0.35">
      <c r="B2530" s="580"/>
      <c r="K2530" s="458"/>
      <c r="L2530" s="704"/>
      <c r="M2530" s="704"/>
      <c r="O2530" s="271"/>
    </row>
    <row r="2531" spans="2:15" x14ac:dyDescent="0.35">
      <c r="B2531" s="580"/>
      <c r="K2531" s="458"/>
      <c r="L2531" s="704"/>
      <c r="M2531" s="704"/>
      <c r="O2531" s="271"/>
    </row>
    <row r="2532" spans="2:15" x14ac:dyDescent="0.35">
      <c r="B2532" s="580"/>
      <c r="K2532" s="458"/>
      <c r="L2532" s="704"/>
      <c r="M2532" s="704"/>
      <c r="O2532" s="271"/>
    </row>
    <row r="2533" spans="2:15" x14ac:dyDescent="0.35">
      <c r="B2533" s="580"/>
      <c r="K2533" s="458"/>
      <c r="L2533" s="704"/>
      <c r="M2533" s="704"/>
      <c r="O2533" s="271"/>
    </row>
    <row r="2534" spans="2:15" x14ac:dyDescent="0.35">
      <c r="B2534" s="580"/>
      <c r="K2534" s="458"/>
      <c r="L2534" s="704"/>
      <c r="M2534" s="704"/>
      <c r="O2534" s="271"/>
    </row>
    <row r="2535" spans="2:15" x14ac:dyDescent="0.35">
      <c r="B2535" s="580"/>
      <c r="K2535" s="458"/>
      <c r="L2535" s="704"/>
      <c r="M2535" s="704"/>
      <c r="O2535" s="271"/>
    </row>
    <row r="2536" spans="2:15" x14ac:dyDescent="0.35">
      <c r="B2536" s="580"/>
      <c r="K2536" s="458"/>
      <c r="L2536" s="704"/>
      <c r="M2536" s="704"/>
      <c r="O2536" s="271"/>
    </row>
    <row r="2537" spans="2:15" x14ac:dyDescent="0.35">
      <c r="B2537" s="580"/>
      <c r="K2537" s="458"/>
      <c r="L2537" s="704"/>
      <c r="M2537" s="704"/>
      <c r="O2537" s="271"/>
    </row>
    <row r="2538" spans="2:15" x14ac:dyDescent="0.35">
      <c r="B2538" s="580"/>
      <c r="K2538" s="458"/>
      <c r="L2538" s="704"/>
      <c r="M2538" s="704"/>
      <c r="O2538" s="271"/>
    </row>
    <row r="2539" spans="2:15" x14ac:dyDescent="0.35">
      <c r="B2539" s="580"/>
      <c r="K2539" s="458"/>
      <c r="L2539" s="704"/>
      <c r="M2539" s="704"/>
      <c r="O2539" s="271"/>
    </row>
    <row r="2540" spans="2:15" x14ac:dyDescent="0.35">
      <c r="B2540" s="580"/>
      <c r="K2540" s="458"/>
      <c r="L2540" s="704"/>
      <c r="M2540" s="704"/>
      <c r="O2540" s="271"/>
    </row>
    <row r="2541" spans="2:15" x14ac:dyDescent="0.35">
      <c r="B2541" s="580"/>
      <c r="K2541" s="458"/>
      <c r="L2541" s="704"/>
      <c r="M2541" s="704"/>
      <c r="O2541" s="271"/>
    </row>
    <row r="2542" spans="2:15" x14ac:dyDescent="0.35">
      <c r="B2542" s="580"/>
      <c r="K2542" s="458"/>
      <c r="L2542" s="704"/>
      <c r="M2542" s="704"/>
      <c r="O2542" s="271"/>
    </row>
    <row r="2543" spans="2:15" x14ac:dyDescent="0.35">
      <c r="B2543" s="580"/>
      <c r="K2543" s="458"/>
      <c r="L2543" s="704"/>
      <c r="M2543" s="704"/>
      <c r="O2543" s="271"/>
    </row>
    <row r="2544" spans="2:15" x14ac:dyDescent="0.35">
      <c r="B2544" s="580"/>
      <c r="K2544" s="458"/>
      <c r="L2544" s="704"/>
      <c r="M2544" s="704"/>
      <c r="O2544" s="271"/>
    </row>
    <row r="2545" spans="2:15" x14ac:dyDescent="0.35">
      <c r="B2545" s="580"/>
      <c r="K2545" s="458"/>
      <c r="L2545" s="704"/>
      <c r="M2545" s="704"/>
      <c r="O2545" s="271"/>
    </row>
    <row r="2546" spans="2:15" x14ac:dyDescent="0.35">
      <c r="B2546" s="580"/>
      <c r="K2546" s="458"/>
      <c r="L2546" s="704"/>
      <c r="M2546" s="704"/>
      <c r="O2546" s="271"/>
    </row>
    <row r="2547" spans="2:15" x14ac:dyDescent="0.35">
      <c r="B2547" s="580"/>
      <c r="K2547" s="458"/>
      <c r="L2547" s="704"/>
      <c r="M2547" s="704"/>
      <c r="O2547" s="271"/>
    </row>
    <row r="2548" spans="2:15" x14ac:dyDescent="0.35">
      <c r="B2548" s="580"/>
      <c r="K2548" s="458"/>
      <c r="L2548" s="704"/>
      <c r="M2548" s="704"/>
      <c r="O2548" s="271"/>
    </row>
    <row r="2549" spans="2:15" x14ac:dyDescent="0.35">
      <c r="B2549" s="580"/>
      <c r="K2549" s="458"/>
      <c r="L2549" s="704"/>
      <c r="M2549" s="704"/>
      <c r="O2549" s="271"/>
    </row>
    <row r="2550" spans="2:15" x14ac:dyDescent="0.35">
      <c r="B2550" s="580"/>
      <c r="K2550" s="458"/>
      <c r="L2550" s="704"/>
      <c r="M2550" s="704"/>
      <c r="O2550" s="271"/>
    </row>
    <row r="2551" spans="2:15" x14ac:dyDescent="0.35">
      <c r="B2551" s="580"/>
      <c r="K2551" s="458"/>
      <c r="L2551" s="704"/>
      <c r="M2551" s="704"/>
      <c r="O2551" s="271"/>
    </row>
    <row r="2552" spans="2:15" x14ac:dyDescent="0.35">
      <c r="B2552" s="580"/>
      <c r="K2552" s="458"/>
      <c r="L2552" s="704"/>
      <c r="M2552" s="704"/>
      <c r="O2552" s="271"/>
    </row>
    <row r="2553" spans="2:15" x14ac:dyDescent="0.35">
      <c r="B2553" s="580"/>
      <c r="K2553" s="458"/>
      <c r="L2553" s="704"/>
      <c r="M2553" s="704"/>
      <c r="O2553" s="271"/>
    </row>
    <row r="2554" spans="2:15" x14ac:dyDescent="0.35">
      <c r="B2554" s="580"/>
      <c r="K2554" s="458"/>
      <c r="L2554" s="704"/>
      <c r="M2554" s="704"/>
      <c r="O2554" s="271"/>
    </row>
    <row r="2555" spans="2:15" x14ac:dyDescent="0.35">
      <c r="B2555" s="580"/>
      <c r="K2555" s="458"/>
      <c r="L2555" s="704"/>
      <c r="M2555" s="704"/>
      <c r="O2555" s="271"/>
    </row>
    <row r="2556" spans="2:15" x14ac:dyDescent="0.35">
      <c r="B2556" s="580"/>
      <c r="K2556" s="458"/>
      <c r="L2556" s="704"/>
      <c r="M2556" s="704"/>
      <c r="O2556" s="271"/>
    </row>
    <row r="2557" spans="2:15" x14ac:dyDescent="0.35">
      <c r="B2557" s="580"/>
      <c r="K2557" s="458"/>
      <c r="L2557" s="704"/>
      <c r="M2557" s="704"/>
      <c r="O2557" s="271"/>
    </row>
    <row r="2558" spans="2:15" x14ac:dyDescent="0.35">
      <c r="B2558" s="580"/>
      <c r="K2558" s="458"/>
      <c r="L2558" s="704"/>
      <c r="M2558" s="704"/>
      <c r="O2558" s="271"/>
    </row>
    <row r="2559" spans="2:15" x14ac:dyDescent="0.35">
      <c r="B2559" s="580"/>
      <c r="K2559" s="458"/>
      <c r="L2559" s="704"/>
      <c r="M2559" s="704"/>
      <c r="O2559" s="271"/>
    </row>
    <row r="2560" spans="2:15" x14ac:dyDescent="0.35">
      <c r="B2560" s="580"/>
      <c r="K2560" s="458"/>
      <c r="L2560" s="704"/>
      <c r="M2560" s="704"/>
      <c r="O2560" s="271"/>
    </row>
    <row r="2561" spans="2:15" x14ac:dyDescent="0.35">
      <c r="B2561" s="580"/>
      <c r="K2561" s="458"/>
      <c r="L2561" s="704"/>
      <c r="M2561" s="704"/>
      <c r="O2561" s="271"/>
    </row>
    <row r="2562" spans="2:15" x14ac:dyDescent="0.35">
      <c r="B2562" s="580"/>
      <c r="K2562" s="458"/>
      <c r="L2562" s="704"/>
      <c r="M2562" s="704"/>
      <c r="O2562" s="271"/>
    </row>
    <row r="2563" spans="2:15" x14ac:dyDescent="0.35">
      <c r="B2563" s="580"/>
      <c r="K2563" s="458"/>
      <c r="L2563" s="704"/>
      <c r="M2563" s="704"/>
      <c r="O2563" s="271"/>
    </row>
    <row r="2564" spans="2:15" x14ac:dyDescent="0.35">
      <c r="B2564" s="580"/>
      <c r="K2564" s="458"/>
      <c r="L2564" s="704"/>
      <c r="M2564" s="704"/>
      <c r="O2564" s="271"/>
    </row>
    <row r="2565" spans="2:15" x14ac:dyDescent="0.35">
      <c r="B2565" s="580"/>
      <c r="K2565" s="458"/>
      <c r="L2565" s="704"/>
      <c r="M2565" s="704"/>
      <c r="O2565" s="271"/>
    </row>
    <row r="2566" spans="2:15" x14ac:dyDescent="0.35">
      <c r="B2566" s="580"/>
      <c r="K2566" s="458"/>
      <c r="L2566" s="704"/>
      <c r="M2566" s="704"/>
      <c r="O2566" s="271"/>
    </row>
    <row r="2567" spans="2:15" x14ac:dyDescent="0.35">
      <c r="B2567" s="580"/>
      <c r="K2567" s="458"/>
      <c r="L2567" s="704"/>
      <c r="M2567" s="704"/>
      <c r="O2567" s="271"/>
    </row>
    <row r="2568" spans="2:15" x14ac:dyDescent="0.35">
      <c r="B2568" s="580"/>
      <c r="K2568" s="458"/>
      <c r="L2568" s="704"/>
      <c r="M2568" s="704"/>
      <c r="O2568" s="271"/>
    </row>
    <row r="2569" spans="2:15" x14ac:dyDescent="0.35">
      <c r="B2569" s="580"/>
      <c r="K2569" s="458"/>
      <c r="L2569" s="704"/>
      <c r="M2569" s="704"/>
      <c r="O2569" s="271"/>
    </row>
    <row r="2570" spans="2:15" x14ac:dyDescent="0.35">
      <c r="B2570" s="580"/>
      <c r="K2570" s="458"/>
      <c r="L2570" s="704"/>
      <c r="M2570" s="704"/>
      <c r="O2570" s="271"/>
    </row>
    <row r="2571" spans="2:15" x14ac:dyDescent="0.35">
      <c r="B2571" s="580"/>
      <c r="K2571" s="458"/>
      <c r="L2571" s="704"/>
      <c r="M2571" s="704"/>
      <c r="O2571" s="271"/>
    </row>
    <row r="2572" spans="2:15" x14ac:dyDescent="0.35">
      <c r="B2572" s="580"/>
      <c r="K2572" s="458"/>
      <c r="L2572" s="704"/>
      <c r="M2572" s="704"/>
      <c r="O2572" s="271"/>
    </row>
    <row r="2573" spans="2:15" x14ac:dyDescent="0.35">
      <c r="B2573" s="580"/>
      <c r="K2573" s="458"/>
      <c r="L2573" s="704"/>
      <c r="M2573" s="704"/>
      <c r="O2573" s="271"/>
    </row>
    <row r="2574" spans="2:15" x14ac:dyDescent="0.35">
      <c r="B2574" s="580"/>
      <c r="K2574" s="458"/>
      <c r="L2574" s="704"/>
      <c r="M2574" s="704"/>
      <c r="O2574" s="271"/>
    </row>
    <row r="2575" spans="2:15" x14ac:dyDescent="0.35">
      <c r="B2575" s="580"/>
      <c r="K2575" s="458"/>
      <c r="L2575" s="704"/>
      <c r="M2575" s="704"/>
      <c r="O2575" s="271"/>
    </row>
    <row r="2576" spans="2:15" x14ac:dyDescent="0.35">
      <c r="B2576" s="580"/>
      <c r="K2576" s="458"/>
      <c r="L2576" s="704"/>
      <c r="M2576" s="704"/>
      <c r="O2576" s="271"/>
    </row>
    <row r="2577" spans="2:15" x14ac:dyDescent="0.35">
      <c r="B2577" s="580"/>
      <c r="K2577" s="458"/>
      <c r="L2577" s="704"/>
      <c r="M2577" s="704"/>
      <c r="O2577" s="271"/>
    </row>
    <row r="2578" spans="2:15" x14ac:dyDescent="0.35">
      <c r="B2578" s="580"/>
      <c r="K2578" s="458"/>
      <c r="L2578" s="704"/>
      <c r="M2578" s="704"/>
      <c r="O2578" s="271"/>
    </row>
    <row r="2579" spans="2:15" x14ac:dyDescent="0.35">
      <c r="B2579" s="580"/>
      <c r="K2579" s="458"/>
      <c r="L2579" s="704"/>
      <c r="M2579" s="704"/>
      <c r="O2579" s="271"/>
    </row>
    <row r="2580" spans="2:15" x14ac:dyDescent="0.35">
      <c r="B2580" s="580"/>
      <c r="K2580" s="458"/>
      <c r="L2580" s="704"/>
      <c r="M2580" s="704"/>
      <c r="O2580" s="271"/>
    </row>
    <row r="2581" spans="2:15" x14ac:dyDescent="0.35">
      <c r="B2581" s="580"/>
      <c r="K2581" s="458"/>
      <c r="L2581" s="704"/>
      <c r="M2581" s="704"/>
      <c r="O2581" s="271"/>
    </row>
    <row r="2582" spans="2:15" x14ac:dyDescent="0.35">
      <c r="B2582" s="580"/>
      <c r="K2582" s="458"/>
      <c r="L2582" s="704"/>
      <c r="M2582" s="704"/>
      <c r="O2582" s="271"/>
    </row>
    <row r="2583" spans="2:15" x14ac:dyDescent="0.35">
      <c r="B2583" s="580"/>
      <c r="K2583" s="458"/>
      <c r="L2583" s="704"/>
      <c r="M2583" s="704"/>
      <c r="O2583" s="271"/>
    </row>
    <row r="2584" spans="2:15" x14ac:dyDescent="0.35">
      <c r="B2584" s="580"/>
      <c r="K2584" s="458"/>
      <c r="L2584" s="704"/>
      <c r="M2584" s="704"/>
      <c r="O2584" s="271"/>
    </row>
    <row r="2585" spans="2:15" x14ac:dyDescent="0.35">
      <c r="B2585" s="580"/>
      <c r="K2585" s="458"/>
      <c r="L2585" s="704"/>
      <c r="M2585" s="704"/>
      <c r="O2585" s="271"/>
    </row>
    <row r="2586" spans="2:15" x14ac:dyDescent="0.35">
      <c r="B2586" s="580"/>
      <c r="K2586" s="458"/>
      <c r="L2586" s="704"/>
      <c r="M2586" s="704"/>
      <c r="O2586" s="271"/>
    </row>
    <row r="2587" spans="2:15" x14ac:dyDescent="0.35">
      <c r="B2587" s="580"/>
      <c r="K2587" s="458"/>
      <c r="L2587" s="704"/>
      <c r="M2587" s="704"/>
      <c r="O2587" s="271"/>
    </row>
    <row r="2588" spans="2:15" x14ac:dyDescent="0.35">
      <c r="B2588" s="580"/>
      <c r="K2588" s="458"/>
      <c r="L2588" s="704"/>
      <c r="M2588" s="704"/>
      <c r="O2588" s="271"/>
    </row>
    <row r="2589" spans="2:15" x14ac:dyDescent="0.35">
      <c r="B2589" s="580"/>
      <c r="K2589" s="458"/>
      <c r="L2589" s="704"/>
      <c r="M2589" s="704"/>
      <c r="O2589" s="271"/>
    </row>
    <row r="2590" spans="2:15" x14ac:dyDescent="0.35">
      <c r="B2590" s="580"/>
      <c r="K2590" s="458"/>
      <c r="L2590" s="704"/>
      <c r="M2590" s="704"/>
      <c r="O2590" s="271"/>
    </row>
    <row r="2591" spans="2:15" x14ac:dyDescent="0.35">
      <c r="B2591" s="580"/>
      <c r="K2591" s="458"/>
      <c r="L2591" s="704"/>
      <c r="M2591" s="704"/>
      <c r="O2591" s="271"/>
    </row>
    <row r="2592" spans="2:15" x14ac:dyDescent="0.35">
      <c r="B2592" s="580"/>
      <c r="K2592" s="458"/>
      <c r="L2592" s="704"/>
      <c r="M2592" s="704"/>
      <c r="O2592" s="271"/>
    </row>
    <row r="2593" spans="2:15" x14ac:dyDescent="0.35">
      <c r="B2593" s="580"/>
      <c r="K2593" s="458"/>
      <c r="L2593" s="704"/>
      <c r="M2593" s="704"/>
      <c r="O2593" s="271"/>
    </row>
    <row r="2594" spans="2:15" x14ac:dyDescent="0.35">
      <c r="B2594" s="580"/>
      <c r="K2594" s="458"/>
      <c r="L2594" s="704"/>
      <c r="M2594" s="704"/>
      <c r="O2594" s="271"/>
    </row>
    <row r="2595" spans="2:15" x14ac:dyDescent="0.35">
      <c r="B2595" s="580"/>
      <c r="K2595" s="458"/>
      <c r="L2595" s="704"/>
      <c r="M2595" s="704"/>
      <c r="O2595" s="271"/>
    </row>
    <row r="2596" spans="2:15" x14ac:dyDescent="0.35">
      <c r="B2596" s="580"/>
      <c r="K2596" s="458"/>
      <c r="L2596" s="704"/>
      <c r="M2596" s="704"/>
      <c r="O2596" s="271"/>
    </row>
    <row r="2597" spans="2:15" x14ac:dyDescent="0.35">
      <c r="B2597" s="580"/>
      <c r="K2597" s="458"/>
      <c r="L2597" s="704"/>
      <c r="M2597" s="704"/>
      <c r="O2597" s="271"/>
    </row>
    <row r="2598" spans="2:15" x14ac:dyDescent="0.35">
      <c r="B2598" s="580"/>
      <c r="K2598" s="458"/>
      <c r="L2598" s="704"/>
      <c r="M2598" s="704"/>
      <c r="O2598" s="271"/>
    </row>
    <row r="2599" spans="2:15" x14ac:dyDescent="0.35">
      <c r="B2599" s="580"/>
      <c r="K2599" s="458"/>
      <c r="L2599" s="704"/>
      <c r="M2599" s="704"/>
      <c r="O2599" s="271"/>
    </row>
    <row r="2600" spans="2:15" x14ac:dyDescent="0.35">
      <c r="B2600" s="580"/>
      <c r="K2600" s="458"/>
      <c r="L2600" s="704"/>
      <c r="M2600" s="704"/>
      <c r="O2600" s="271"/>
    </row>
    <row r="2601" spans="2:15" x14ac:dyDescent="0.35">
      <c r="B2601" s="580"/>
      <c r="K2601" s="458"/>
      <c r="L2601" s="704"/>
      <c r="M2601" s="704"/>
      <c r="O2601" s="271"/>
    </row>
    <row r="2602" spans="2:15" x14ac:dyDescent="0.35">
      <c r="B2602" s="580"/>
      <c r="K2602" s="458"/>
      <c r="L2602" s="704"/>
      <c r="M2602" s="704"/>
      <c r="O2602" s="271"/>
    </row>
    <row r="2603" spans="2:15" x14ac:dyDescent="0.35">
      <c r="B2603" s="580"/>
      <c r="K2603" s="458"/>
      <c r="L2603" s="704"/>
      <c r="M2603" s="704"/>
      <c r="O2603" s="271"/>
    </row>
    <row r="2604" spans="2:15" x14ac:dyDescent="0.35">
      <c r="B2604" s="580"/>
      <c r="K2604" s="458"/>
      <c r="L2604" s="704"/>
      <c r="M2604" s="704"/>
      <c r="O2604" s="271"/>
    </row>
    <row r="2605" spans="2:15" x14ac:dyDescent="0.35">
      <c r="B2605" s="580"/>
      <c r="K2605" s="458"/>
      <c r="L2605" s="704"/>
      <c r="M2605" s="704"/>
      <c r="O2605" s="271"/>
    </row>
    <row r="2606" spans="2:15" x14ac:dyDescent="0.35">
      <c r="B2606" s="580"/>
      <c r="K2606" s="458"/>
      <c r="L2606" s="704"/>
      <c r="M2606" s="704"/>
      <c r="O2606" s="271"/>
    </row>
    <row r="2607" spans="2:15" x14ac:dyDescent="0.35">
      <c r="B2607" s="580"/>
      <c r="K2607" s="458"/>
      <c r="L2607" s="704"/>
      <c r="M2607" s="704"/>
      <c r="O2607" s="271"/>
    </row>
    <row r="2608" spans="2:15" x14ac:dyDescent="0.35">
      <c r="B2608" s="580"/>
      <c r="K2608" s="458"/>
      <c r="L2608" s="704"/>
      <c r="M2608" s="704"/>
      <c r="O2608" s="271"/>
    </row>
    <row r="2609" spans="2:15" x14ac:dyDescent="0.35">
      <c r="B2609" s="580"/>
      <c r="K2609" s="458"/>
      <c r="L2609" s="704"/>
      <c r="M2609" s="704"/>
      <c r="O2609" s="271"/>
    </row>
    <row r="2610" spans="2:15" x14ac:dyDescent="0.35">
      <c r="B2610" s="580"/>
      <c r="K2610" s="458"/>
      <c r="L2610" s="704"/>
      <c r="M2610" s="704"/>
      <c r="O2610" s="271"/>
    </row>
    <row r="2611" spans="2:15" x14ac:dyDescent="0.35">
      <c r="B2611" s="580"/>
      <c r="K2611" s="458"/>
      <c r="L2611" s="704"/>
      <c r="M2611" s="704"/>
      <c r="O2611" s="271"/>
    </row>
    <row r="2612" spans="2:15" x14ac:dyDescent="0.35">
      <c r="B2612" s="580"/>
      <c r="K2612" s="458"/>
      <c r="L2612" s="704"/>
      <c r="M2612" s="704"/>
      <c r="O2612" s="271"/>
    </row>
    <row r="2613" spans="2:15" x14ac:dyDescent="0.35">
      <c r="B2613" s="580"/>
      <c r="K2613" s="458"/>
      <c r="L2613" s="704"/>
      <c r="M2613" s="704"/>
      <c r="O2613" s="271"/>
    </row>
    <row r="2614" spans="2:15" x14ac:dyDescent="0.35">
      <c r="B2614" s="580"/>
      <c r="K2614" s="458"/>
      <c r="L2614" s="704"/>
      <c r="M2614" s="704"/>
      <c r="O2614" s="271"/>
    </row>
    <row r="2615" spans="2:15" x14ac:dyDescent="0.35">
      <c r="B2615" s="580"/>
      <c r="K2615" s="458"/>
      <c r="L2615" s="704"/>
      <c r="M2615" s="704"/>
      <c r="O2615" s="271"/>
    </row>
    <row r="2616" spans="2:15" x14ac:dyDescent="0.35">
      <c r="B2616" s="580"/>
      <c r="K2616" s="458"/>
      <c r="L2616" s="704"/>
      <c r="M2616" s="704"/>
      <c r="O2616" s="271"/>
    </row>
    <row r="2617" spans="2:15" x14ac:dyDescent="0.35">
      <c r="B2617" s="580"/>
      <c r="K2617" s="458"/>
      <c r="L2617" s="704"/>
      <c r="M2617" s="704"/>
      <c r="O2617" s="271"/>
    </row>
    <row r="2618" spans="2:15" x14ac:dyDescent="0.35">
      <c r="B2618" s="580"/>
      <c r="K2618" s="458"/>
      <c r="L2618" s="704"/>
      <c r="M2618" s="704"/>
      <c r="O2618" s="271"/>
    </row>
    <row r="2619" spans="2:15" x14ac:dyDescent="0.35">
      <c r="B2619" s="580"/>
      <c r="K2619" s="458"/>
      <c r="L2619" s="704"/>
      <c r="M2619" s="704"/>
      <c r="O2619" s="271"/>
    </row>
    <row r="2620" spans="2:15" x14ac:dyDescent="0.35">
      <c r="B2620" s="580"/>
      <c r="K2620" s="458"/>
      <c r="L2620" s="704"/>
      <c r="M2620" s="704"/>
      <c r="O2620" s="271"/>
    </row>
    <row r="2621" spans="2:15" x14ac:dyDescent="0.35">
      <c r="B2621" s="580"/>
      <c r="K2621" s="458"/>
      <c r="L2621" s="704"/>
      <c r="M2621" s="704"/>
      <c r="O2621" s="271"/>
    </row>
    <row r="2622" spans="2:15" x14ac:dyDescent="0.35">
      <c r="B2622" s="580"/>
      <c r="K2622" s="458"/>
      <c r="L2622" s="704"/>
      <c r="M2622" s="704"/>
      <c r="O2622" s="271"/>
    </row>
    <row r="2623" spans="2:15" x14ac:dyDescent="0.35">
      <c r="B2623" s="580"/>
      <c r="K2623" s="458"/>
      <c r="L2623" s="704"/>
      <c r="M2623" s="704"/>
      <c r="O2623" s="271"/>
    </row>
    <row r="2624" spans="2:15" x14ac:dyDescent="0.35">
      <c r="B2624" s="580"/>
      <c r="K2624" s="458"/>
      <c r="L2624" s="704"/>
      <c r="M2624" s="704"/>
      <c r="O2624" s="271"/>
    </row>
    <row r="2625" spans="2:15" x14ac:dyDescent="0.35">
      <c r="B2625" s="580"/>
      <c r="K2625" s="458"/>
      <c r="L2625" s="704"/>
      <c r="M2625" s="704"/>
      <c r="O2625" s="271"/>
    </row>
    <row r="2626" spans="2:15" x14ac:dyDescent="0.35">
      <c r="B2626" s="580"/>
      <c r="K2626" s="458"/>
      <c r="L2626" s="704"/>
      <c r="M2626" s="704"/>
      <c r="O2626" s="271"/>
    </row>
    <row r="2627" spans="2:15" x14ac:dyDescent="0.35">
      <c r="B2627" s="580"/>
      <c r="K2627" s="458"/>
      <c r="L2627" s="704"/>
      <c r="M2627" s="704"/>
      <c r="O2627" s="271"/>
    </row>
    <row r="2628" spans="2:15" x14ac:dyDescent="0.35">
      <c r="B2628" s="580"/>
      <c r="K2628" s="458"/>
      <c r="L2628" s="704"/>
      <c r="M2628" s="704"/>
      <c r="O2628" s="271"/>
    </row>
    <row r="2629" spans="2:15" x14ac:dyDescent="0.35">
      <c r="B2629" s="580"/>
      <c r="K2629" s="458"/>
      <c r="L2629" s="704"/>
      <c r="M2629" s="704"/>
      <c r="O2629" s="271"/>
    </row>
    <row r="2630" spans="2:15" x14ac:dyDescent="0.35">
      <c r="B2630" s="580"/>
      <c r="K2630" s="458"/>
      <c r="L2630" s="704"/>
      <c r="M2630" s="704"/>
      <c r="O2630" s="271"/>
    </row>
    <row r="2631" spans="2:15" x14ac:dyDescent="0.35">
      <c r="B2631" s="580"/>
      <c r="K2631" s="458"/>
      <c r="L2631" s="704"/>
      <c r="M2631" s="704"/>
      <c r="O2631" s="271"/>
    </row>
    <row r="2632" spans="2:15" x14ac:dyDescent="0.35">
      <c r="B2632" s="580"/>
      <c r="K2632" s="458"/>
      <c r="L2632" s="704"/>
      <c r="M2632" s="704"/>
      <c r="O2632" s="271"/>
    </row>
    <row r="2633" spans="2:15" x14ac:dyDescent="0.35">
      <c r="B2633" s="580"/>
      <c r="K2633" s="458"/>
      <c r="L2633" s="704"/>
      <c r="M2633" s="704"/>
      <c r="O2633" s="271"/>
    </row>
    <row r="2634" spans="2:15" x14ac:dyDescent="0.35">
      <c r="B2634" s="580"/>
      <c r="K2634" s="458"/>
      <c r="L2634" s="704"/>
      <c r="M2634" s="704"/>
      <c r="O2634" s="271"/>
    </row>
    <row r="2635" spans="2:15" x14ac:dyDescent="0.35">
      <c r="B2635" s="580"/>
      <c r="K2635" s="458"/>
      <c r="L2635" s="704"/>
      <c r="M2635" s="704"/>
      <c r="O2635" s="271"/>
    </row>
    <row r="2636" spans="2:15" x14ac:dyDescent="0.35">
      <c r="B2636" s="580"/>
      <c r="K2636" s="458"/>
      <c r="L2636" s="704"/>
      <c r="M2636" s="704"/>
      <c r="O2636" s="271"/>
    </row>
    <row r="2637" spans="2:15" x14ac:dyDescent="0.35">
      <c r="B2637" s="580"/>
      <c r="K2637" s="458"/>
      <c r="L2637" s="704"/>
      <c r="M2637" s="704"/>
      <c r="O2637" s="271"/>
    </row>
    <row r="2638" spans="2:15" x14ac:dyDescent="0.35">
      <c r="B2638" s="580"/>
      <c r="K2638" s="458"/>
      <c r="L2638" s="704"/>
      <c r="M2638" s="704"/>
      <c r="O2638" s="271"/>
    </row>
    <row r="2639" spans="2:15" x14ac:dyDescent="0.35">
      <c r="B2639" s="580"/>
      <c r="K2639" s="458"/>
      <c r="L2639" s="704"/>
      <c r="M2639" s="704"/>
      <c r="O2639" s="271"/>
    </row>
    <row r="2640" spans="2:15" x14ac:dyDescent="0.35">
      <c r="B2640" s="580"/>
      <c r="K2640" s="458"/>
      <c r="L2640" s="704"/>
      <c r="M2640" s="704"/>
      <c r="O2640" s="271"/>
    </row>
    <row r="2641" spans="2:15" x14ac:dyDescent="0.35">
      <c r="B2641" s="580"/>
      <c r="K2641" s="458"/>
      <c r="L2641" s="704"/>
      <c r="M2641" s="704"/>
      <c r="O2641" s="271"/>
    </row>
    <row r="2642" spans="2:15" x14ac:dyDescent="0.35">
      <c r="B2642" s="580"/>
      <c r="K2642" s="458"/>
      <c r="L2642" s="704"/>
      <c r="M2642" s="704"/>
      <c r="O2642" s="271"/>
    </row>
    <row r="2643" spans="2:15" x14ac:dyDescent="0.35">
      <c r="B2643" s="580"/>
      <c r="K2643" s="458"/>
      <c r="L2643" s="704"/>
      <c r="M2643" s="704"/>
      <c r="O2643" s="271"/>
    </row>
    <row r="2644" spans="2:15" x14ac:dyDescent="0.35">
      <c r="B2644" s="580"/>
      <c r="K2644" s="458"/>
      <c r="L2644" s="704"/>
      <c r="M2644" s="704"/>
      <c r="O2644" s="271"/>
    </row>
    <row r="2645" spans="2:15" x14ac:dyDescent="0.35">
      <c r="B2645" s="580"/>
      <c r="K2645" s="458"/>
      <c r="L2645" s="704"/>
      <c r="M2645" s="704"/>
      <c r="O2645" s="271"/>
    </row>
    <row r="2646" spans="2:15" x14ac:dyDescent="0.35">
      <c r="B2646" s="580"/>
      <c r="K2646" s="458"/>
      <c r="L2646" s="704"/>
      <c r="M2646" s="704"/>
      <c r="O2646" s="271"/>
    </row>
    <row r="2647" spans="2:15" x14ac:dyDescent="0.35">
      <c r="B2647" s="580"/>
      <c r="K2647" s="458"/>
      <c r="L2647" s="704"/>
      <c r="M2647" s="704"/>
      <c r="O2647" s="271"/>
    </row>
    <row r="2648" spans="2:15" x14ac:dyDescent="0.35">
      <c r="B2648" s="580"/>
      <c r="K2648" s="458"/>
      <c r="L2648" s="704"/>
      <c r="M2648" s="704"/>
      <c r="O2648" s="271"/>
    </row>
    <row r="2649" spans="2:15" x14ac:dyDescent="0.35">
      <c r="B2649" s="580"/>
      <c r="K2649" s="458"/>
      <c r="L2649" s="704"/>
      <c r="M2649" s="704"/>
      <c r="O2649" s="271"/>
    </row>
    <row r="2650" spans="2:15" x14ac:dyDescent="0.35">
      <c r="B2650" s="580"/>
      <c r="K2650" s="458"/>
      <c r="L2650" s="704"/>
      <c r="M2650" s="704"/>
      <c r="O2650" s="271"/>
    </row>
    <row r="2651" spans="2:15" x14ac:dyDescent="0.35">
      <c r="B2651" s="580"/>
      <c r="K2651" s="458"/>
      <c r="L2651" s="704"/>
      <c r="M2651" s="704"/>
      <c r="O2651" s="271"/>
    </row>
    <row r="2652" spans="2:15" x14ac:dyDescent="0.35">
      <c r="B2652" s="580"/>
      <c r="K2652" s="458"/>
      <c r="L2652" s="704"/>
      <c r="M2652" s="704"/>
      <c r="O2652" s="271"/>
    </row>
    <row r="2653" spans="2:15" x14ac:dyDescent="0.35">
      <c r="B2653" s="580"/>
      <c r="K2653" s="458"/>
      <c r="L2653" s="704"/>
      <c r="M2653" s="704"/>
      <c r="O2653" s="271"/>
    </row>
    <row r="2654" spans="2:15" x14ac:dyDescent="0.35">
      <c r="B2654" s="580"/>
      <c r="K2654" s="458"/>
      <c r="L2654" s="704"/>
      <c r="M2654" s="704"/>
      <c r="O2654" s="271"/>
    </row>
    <row r="2655" spans="2:15" x14ac:dyDescent="0.35">
      <c r="B2655" s="580"/>
      <c r="K2655" s="458"/>
      <c r="L2655" s="704"/>
      <c r="M2655" s="704"/>
      <c r="O2655" s="271"/>
    </row>
    <row r="2656" spans="2:15" x14ac:dyDescent="0.35">
      <c r="B2656" s="580"/>
      <c r="K2656" s="458"/>
      <c r="L2656" s="704"/>
      <c r="M2656" s="704"/>
      <c r="O2656" s="271"/>
    </row>
    <row r="2657" spans="2:15" x14ac:dyDescent="0.35">
      <c r="B2657" s="580"/>
      <c r="K2657" s="458"/>
      <c r="L2657" s="704"/>
      <c r="M2657" s="704"/>
      <c r="O2657" s="271"/>
    </row>
    <row r="2658" spans="2:15" x14ac:dyDescent="0.35">
      <c r="B2658" s="580"/>
      <c r="K2658" s="458"/>
      <c r="L2658" s="704"/>
      <c r="M2658" s="704"/>
      <c r="O2658" s="271"/>
    </row>
    <row r="2659" spans="2:15" x14ac:dyDescent="0.35">
      <c r="B2659" s="580"/>
      <c r="K2659" s="458"/>
      <c r="L2659" s="704"/>
      <c r="M2659" s="704"/>
      <c r="O2659" s="271"/>
    </row>
    <row r="2660" spans="2:15" x14ac:dyDescent="0.35">
      <c r="B2660" s="580"/>
      <c r="K2660" s="458"/>
      <c r="L2660" s="704"/>
      <c r="M2660" s="704"/>
      <c r="O2660" s="271"/>
    </row>
    <row r="2661" spans="2:15" x14ac:dyDescent="0.35">
      <c r="B2661" s="580"/>
      <c r="K2661" s="458"/>
      <c r="L2661" s="704"/>
      <c r="M2661" s="704"/>
      <c r="O2661" s="271"/>
    </row>
    <row r="2662" spans="2:15" x14ac:dyDescent="0.35">
      <c r="B2662" s="580"/>
      <c r="K2662" s="458"/>
      <c r="L2662" s="704"/>
      <c r="M2662" s="704"/>
      <c r="O2662" s="271"/>
    </row>
    <row r="2663" spans="2:15" x14ac:dyDescent="0.35">
      <c r="B2663" s="580"/>
      <c r="K2663" s="458"/>
      <c r="L2663" s="704"/>
      <c r="M2663" s="704"/>
      <c r="O2663" s="271"/>
    </row>
    <row r="2664" spans="2:15" x14ac:dyDescent="0.35">
      <c r="B2664" s="580"/>
      <c r="K2664" s="458"/>
      <c r="L2664" s="704"/>
      <c r="M2664" s="704"/>
      <c r="O2664" s="271"/>
    </row>
    <row r="2665" spans="2:15" x14ac:dyDescent="0.35">
      <c r="B2665" s="580"/>
      <c r="K2665" s="458"/>
      <c r="L2665" s="704"/>
      <c r="M2665" s="704"/>
      <c r="O2665" s="271"/>
    </row>
    <row r="2666" spans="2:15" x14ac:dyDescent="0.35">
      <c r="B2666" s="580"/>
      <c r="K2666" s="458"/>
      <c r="L2666" s="704"/>
      <c r="M2666" s="704"/>
      <c r="O2666" s="271"/>
    </row>
    <row r="2667" spans="2:15" x14ac:dyDescent="0.35">
      <c r="B2667" s="580"/>
      <c r="K2667" s="458"/>
      <c r="L2667" s="704"/>
      <c r="M2667" s="704"/>
      <c r="O2667" s="271"/>
    </row>
    <row r="2668" spans="2:15" x14ac:dyDescent="0.35">
      <c r="B2668" s="580"/>
      <c r="K2668" s="458"/>
      <c r="L2668" s="704"/>
      <c r="M2668" s="704"/>
      <c r="O2668" s="271"/>
    </row>
    <row r="2669" spans="2:15" x14ac:dyDescent="0.35">
      <c r="B2669" s="580"/>
      <c r="K2669" s="458"/>
      <c r="L2669" s="704"/>
      <c r="M2669" s="704"/>
      <c r="O2669" s="271"/>
    </row>
    <row r="2670" spans="2:15" x14ac:dyDescent="0.35">
      <c r="B2670" s="580"/>
      <c r="K2670" s="458"/>
      <c r="L2670" s="704"/>
      <c r="M2670" s="704"/>
      <c r="O2670" s="271"/>
    </row>
    <row r="2671" spans="2:15" x14ac:dyDescent="0.35">
      <c r="B2671" s="580"/>
      <c r="K2671" s="458"/>
      <c r="L2671" s="704"/>
      <c r="M2671" s="704"/>
      <c r="O2671" s="271"/>
    </row>
    <row r="2672" spans="2:15" x14ac:dyDescent="0.35">
      <c r="B2672" s="580"/>
      <c r="K2672" s="458"/>
      <c r="L2672" s="704"/>
      <c r="M2672" s="704"/>
      <c r="O2672" s="271"/>
    </row>
    <row r="2673" spans="2:15" x14ac:dyDescent="0.35">
      <c r="B2673" s="580"/>
      <c r="K2673" s="458"/>
      <c r="L2673" s="704"/>
      <c r="M2673" s="704"/>
      <c r="O2673" s="271"/>
    </row>
    <row r="2674" spans="2:15" x14ac:dyDescent="0.35">
      <c r="B2674" s="580"/>
      <c r="K2674" s="458"/>
      <c r="L2674" s="704"/>
      <c r="M2674" s="704"/>
      <c r="O2674" s="271"/>
    </row>
    <row r="2675" spans="2:15" x14ac:dyDescent="0.35">
      <c r="B2675" s="580"/>
      <c r="K2675" s="458"/>
      <c r="L2675" s="704"/>
      <c r="M2675" s="704"/>
      <c r="O2675" s="271"/>
    </row>
    <row r="2676" spans="2:15" x14ac:dyDescent="0.35">
      <c r="B2676" s="580"/>
      <c r="K2676" s="458"/>
      <c r="L2676" s="704"/>
      <c r="M2676" s="704"/>
      <c r="O2676" s="271"/>
    </row>
    <row r="2677" spans="2:15" x14ac:dyDescent="0.35">
      <c r="B2677" s="580"/>
      <c r="K2677" s="458"/>
      <c r="L2677" s="704"/>
      <c r="M2677" s="704"/>
      <c r="O2677" s="271"/>
    </row>
    <row r="2678" spans="2:15" x14ac:dyDescent="0.35">
      <c r="B2678" s="580"/>
      <c r="K2678" s="458"/>
      <c r="L2678" s="704"/>
      <c r="M2678" s="704"/>
      <c r="O2678" s="271"/>
    </row>
    <row r="2679" spans="2:15" x14ac:dyDescent="0.35">
      <c r="B2679" s="580"/>
      <c r="K2679" s="458"/>
      <c r="L2679" s="704"/>
      <c r="M2679" s="704"/>
      <c r="O2679" s="271"/>
    </row>
    <row r="2680" spans="2:15" x14ac:dyDescent="0.35">
      <c r="B2680" s="580"/>
      <c r="K2680" s="458"/>
      <c r="L2680" s="704"/>
      <c r="M2680" s="704"/>
      <c r="O2680" s="271"/>
    </row>
    <row r="2681" spans="2:15" x14ac:dyDescent="0.35">
      <c r="B2681" s="580"/>
      <c r="K2681" s="458"/>
      <c r="L2681" s="704"/>
      <c r="M2681" s="704"/>
      <c r="O2681" s="271"/>
    </row>
    <row r="2682" spans="2:15" x14ac:dyDescent="0.35">
      <c r="B2682" s="580"/>
      <c r="K2682" s="458"/>
      <c r="L2682" s="704"/>
      <c r="M2682" s="704"/>
      <c r="O2682" s="271"/>
    </row>
    <row r="2683" spans="2:15" x14ac:dyDescent="0.35">
      <c r="B2683" s="580"/>
      <c r="K2683" s="458"/>
      <c r="L2683" s="704"/>
      <c r="M2683" s="704"/>
      <c r="O2683" s="271"/>
    </row>
    <row r="2684" spans="2:15" x14ac:dyDescent="0.35">
      <c r="B2684" s="580"/>
      <c r="K2684" s="458"/>
      <c r="L2684" s="704"/>
      <c r="M2684" s="704"/>
      <c r="O2684" s="271"/>
    </row>
    <row r="2685" spans="2:15" x14ac:dyDescent="0.35">
      <c r="B2685" s="580"/>
      <c r="K2685" s="458"/>
      <c r="L2685" s="704"/>
      <c r="M2685" s="704"/>
      <c r="O2685" s="271"/>
    </row>
    <row r="2686" spans="2:15" x14ac:dyDescent="0.35">
      <c r="B2686" s="580"/>
      <c r="K2686" s="458"/>
      <c r="L2686" s="704"/>
      <c r="M2686" s="704"/>
      <c r="O2686" s="271"/>
    </row>
    <row r="2687" spans="2:15" x14ac:dyDescent="0.35">
      <c r="B2687" s="580"/>
      <c r="K2687" s="458"/>
      <c r="L2687" s="704"/>
      <c r="M2687" s="704"/>
      <c r="O2687" s="271"/>
    </row>
    <row r="2688" spans="2:15" x14ac:dyDescent="0.35">
      <c r="B2688" s="580"/>
      <c r="K2688" s="458"/>
      <c r="L2688" s="704"/>
      <c r="M2688" s="704"/>
      <c r="O2688" s="271"/>
    </row>
    <row r="2689" spans="2:15" x14ac:dyDescent="0.35">
      <c r="B2689" s="580"/>
      <c r="K2689" s="458"/>
      <c r="L2689" s="704"/>
      <c r="M2689" s="704"/>
      <c r="O2689" s="271"/>
    </row>
    <row r="2690" spans="2:15" x14ac:dyDescent="0.35">
      <c r="B2690" s="580"/>
      <c r="K2690" s="458"/>
      <c r="L2690" s="704"/>
      <c r="M2690" s="704"/>
      <c r="O2690" s="271"/>
    </row>
    <row r="2691" spans="2:15" x14ac:dyDescent="0.35">
      <c r="B2691" s="580"/>
      <c r="K2691" s="458"/>
      <c r="L2691" s="704"/>
      <c r="M2691" s="704"/>
      <c r="O2691" s="271"/>
    </row>
    <row r="2692" spans="2:15" x14ac:dyDescent="0.35">
      <c r="B2692" s="580"/>
      <c r="K2692" s="458"/>
      <c r="L2692" s="704"/>
      <c r="M2692" s="704"/>
      <c r="O2692" s="271"/>
    </row>
    <row r="2693" spans="2:15" x14ac:dyDescent="0.35">
      <c r="B2693" s="580"/>
      <c r="K2693" s="458"/>
      <c r="L2693" s="704"/>
      <c r="M2693" s="704"/>
      <c r="O2693" s="271"/>
    </row>
    <row r="2694" spans="2:15" x14ac:dyDescent="0.35">
      <c r="B2694" s="580"/>
      <c r="K2694" s="458"/>
      <c r="L2694" s="704"/>
      <c r="M2694" s="704"/>
      <c r="O2694" s="271"/>
    </row>
    <row r="2695" spans="2:15" x14ac:dyDescent="0.35">
      <c r="B2695" s="580"/>
      <c r="K2695" s="458"/>
      <c r="L2695" s="704"/>
      <c r="M2695" s="704"/>
      <c r="O2695" s="271"/>
    </row>
    <row r="2696" spans="2:15" x14ac:dyDescent="0.35">
      <c r="B2696" s="580"/>
      <c r="K2696" s="458"/>
      <c r="L2696" s="704"/>
      <c r="M2696" s="704"/>
      <c r="O2696" s="271"/>
    </row>
    <row r="2697" spans="2:15" x14ac:dyDescent="0.35">
      <c r="B2697" s="580"/>
      <c r="K2697" s="458"/>
      <c r="L2697" s="704"/>
      <c r="M2697" s="704"/>
      <c r="O2697" s="271"/>
    </row>
    <row r="2698" spans="2:15" x14ac:dyDescent="0.35">
      <c r="B2698" s="580"/>
      <c r="K2698" s="458"/>
      <c r="L2698" s="704"/>
      <c r="M2698" s="704"/>
      <c r="O2698" s="271"/>
    </row>
    <row r="2699" spans="2:15" x14ac:dyDescent="0.35">
      <c r="B2699" s="580"/>
      <c r="K2699" s="458"/>
      <c r="L2699" s="704"/>
      <c r="M2699" s="704"/>
      <c r="O2699" s="271"/>
    </row>
    <row r="2700" spans="2:15" x14ac:dyDescent="0.35">
      <c r="B2700" s="580"/>
      <c r="K2700" s="458"/>
      <c r="L2700" s="704"/>
      <c r="M2700" s="704"/>
      <c r="O2700" s="271"/>
    </row>
    <row r="2701" spans="2:15" x14ac:dyDescent="0.35">
      <c r="B2701" s="580"/>
      <c r="K2701" s="458"/>
      <c r="L2701" s="704"/>
      <c r="M2701" s="704"/>
      <c r="O2701" s="271"/>
    </row>
    <row r="2702" spans="2:15" x14ac:dyDescent="0.35">
      <c r="B2702" s="580"/>
      <c r="K2702" s="458"/>
      <c r="L2702" s="704"/>
      <c r="M2702" s="704"/>
      <c r="O2702" s="271"/>
    </row>
    <row r="2703" spans="2:15" x14ac:dyDescent="0.35">
      <c r="B2703" s="580"/>
      <c r="K2703" s="458"/>
      <c r="L2703" s="704"/>
      <c r="M2703" s="704"/>
      <c r="O2703" s="271"/>
    </row>
    <row r="2704" spans="2:15" x14ac:dyDescent="0.35">
      <c r="B2704" s="580"/>
      <c r="K2704" s="458"/>
      <c r="L2704" s="704"/>
      <c r="M2704" s="704"/>
      <c r="O2704" s="271"/>
    </row>
    <row r="2705" spans="2:15" x14ac:dyDescent="0.35">
      <c r="B2705" s="580"/>
      <c r="K2705" s="458"/>
      <c r="L2705" s="704"/>
      <c r="M2705" s="704"/>
      <c r="O2705" s="271"/>
    </row>
    <row r="2706" spans="2:15" x14ac:dyDescent="0.35">
      <c r="B2706" s="580"/>
      <c r="K2706" s="458"/>
      <c r="L2706" s="704"/>
      <c r="M2706" s="704"/>
      <c r="O2706" s="271"/>
    </row>
    <row r="2707" spans="2:15" x14ac:dyDescent="0.35">
      <c r="B2707" s="580"/>
      <c r="K2707" s="458"/>
      <c r="L2707" s="704"/>
      <c r="M2707" s="704"/>
      <c r="O2707" s="271"/>
    </row>
    <row r="2708" spans="2:15" x14ac:dyDescent="0.35">
      <c r="B2708" s="580"/>
      <c r="K2708" s="458"/>
      <c r="L2708" s="704"/>
      <c r="M2708" s="704"/>
      <c r="O2708" s="271"/>
    </row>
    <row r="2709" spans="2:15" x14ac:dyDescent="0.35">
      <c r="B2709" s="580"/>
      <c r="K2709" s="458"/>
      <c r="L2709" s="704"/>
      <c r="M2709" s="704"/>
      <c r="O2709" s="271"/>
    </row>
    <row r="2710" spans="2:15" x14ac:dyDescent="0.35">
      <c r="B2710" s="580"/>
      <c r="K2710" s="458"/>
      <c r="L2710" s="704"/>
      <c r="M2710" s="704"/>
      <c r="O2710" s="271"/>
    </row>
    <row r="2711" spans="2:15" x14ac:dyDescent="0.35">
      <c r="B2711" s="580"/>
      <c r="K2711" s="458"/>
      <c r="L2711" s="704"/>
      <c r="M2711" s="704"/>
      <c r="O2711" s="271"/>
    </row>
    <row r="2712" spans="2:15" x14ac:dyDescent="0.35">
      <c r="B2712" s="580"/>
      <c r="K2712" s="458"/>
      <c r="L2712" s="704"/>
      <c r="M2712" s="704"/>
      <c r="O2712" s="271"/>
    </row>
    <row r="2713" spans="2:15" x14ac:dyDescent="0.35">
      <c r="B2713" s="580"/>
      <c r="K2713" s="458"/>
      <c r="L2713" s="704"/>
      <c r="M2713" s="704"/>
      <c r="O2713" s="271"/>
    </row>
    <row r="2714" spans="2:15" x14ac:dyDescent="0.35">
      <c r="B2714" s="580"/>
      <c r="K2714" s="458"/>
      <c r="L2714" s="704"/>
      <c r="M2714" s="704"/>
      <c r="O2714" s="271"/>
    </row>
    <row r="2715" spans="2:15" x14ac:dyDescent="0.35">
      <c r="B2715" s="580"/>
      <c r="K2715" s="458"/>
      <c r="L2715" s="704"/>
      <c r="M2715" s="704"/>
      <c r="O2715" s="271"/>
    </row>
    <row r="2716" spans="2:15" x14ac:dyDescent="0.35">
      <c r="B2716" s="580"/>
      <c r="K2716" s="458"/>
      <c r="L2716" s="704"/>
      <c r="M2716" s="704"/>
      <c r="O2716" s="271"/>
    </row>
    <row r="2717" spans="2:15" x14ac:dyDescent="0.35">
      <c r="B2717" s="580"/>
      <c r="K2717" s="458"/>
      <c r="L2717" s="704"/>
      <c r="M2717" s="704"/>
      <c r="O2717" s="271"/>
    </row>
    <row r="2718" spans="2:15" x14ac:dyDescent="0.35">
      <c r="B2718" s="580"/>
      <c r="K2718" s="458"/>
      <c r="L2718" s="704"/>
      <c r="M2718" s="704"/>
      <c r="O2718" s="271"/>
    </row>
    <row r="2719" spans="2:15" x14ac:dyDescent="0.35">
      <c r="B2719" s="580"/>
      <c r="K2719" s="458"/>
      <c r="L2719" s="704"/>
      <c r="M2719" s="704"/>
      <c r="O2719" s="271"/>
    </row>
    <row r="2720" spans="2:15" x14ac:dyDescent="0.35">
      <c r="B2720" s="580"/>
      <c r="K2720" s="458"/>
      <c r="L2720" s="704"/>
      <c r="M2720" s="704"/>
      <c r="O2720" s="271"/>
    </row>
    <row r="2721" spans="2:15" x14ac:dyDescent="0.35">
      <c r="B2721" s="580"/>
      <c r="K2721" s="458"/>
      <c r="L2721" s="704"/>
      <c r="M2721" s="704"/>
      <c r="O2721" s="271"/>
    </row>
    <row r="2722" spans="2:15" x14ac:dyDescent="0.35">
      <c r="B2722" s="580"/>
      <c r="K2722" s="458"/>
      <c r="L2722" s="704"/>
      <c r="M2722" s="704"/>
      <c r="O2722" s="271"/>
    </row>
    <row r="2723" spans="2:15" x14ac:dyDescent="0.35">
      <c r="B2723" s="580"/>
      <c r="K2723" s="458"/>
      <c r="L2723" s="704"/>
      <c r="M2723" s="704"/>
      <c r="O2723" s="271"/>
    </row>
    <row r="2724" spans="2:15" x14ac:dyDescent="0.35">
      <c r="B2724" s="580"/>
      <c r="K2724" s="458"/>
      <c r="L2724" s="704"/>
      <c r="M2724" s="704"/>
      <c r="O2724" s="271"/>
    </row>
    <row r="2725" spans="2:15" x14ac:dyDescent="0.35">
      <c r="B2725" s="580"/>
      <c r="K2725" s="458"/>
      <c r="L2725" s="704"/>
      <c r="M2725" s="704"/>
      <c r="O2725" s="271"/>
    </row>
    <row r="2726" spans="2:15" x14ac:dyDescent="0.35">
      <c r="B2726" s="580"/>
      <c r="K2726" s="458"/>
      <c r="L2726" s="704"/>
      <c r="M2726" s="704"/>
      <c r="O2726" s="271"/>
    </row>
    <row r="2727" spans="2:15" x14ac:dyDescent="0.35">
      <c r="B2727" s="580"/>
      <c r="K2727" s="458"/>
      <c r="L2727" s="704"/>
      <c r="M2727" s="704"/>
      <c r="O2727" s="271"/>
    </row>
    <row r="2728" spans="2:15" x14ac:dyDescent="0.35">
      <c r="B2728" s="580"/>
      <c r="K2728" s="458"/>
      <c r="L2728" s="704"/>
      <c r="M2728" s="704"/>
      <c r="O2728" s="271"/>
    </row>
    <row r="2729" spans="2:15" x14ac:dyDescent="0.35">
      <c r="B2729" s="580"/>
      <c r="K2729" s="458"/>
      <c r="L2729" s="704"/>
      <c r="M2729" s="704"/>
      <c r="O2729" s="271"/>
    </row>
    <row r="2730" spans="2:15" x14ac:dyDescent="0.35">
      <c r="B2730" s="580"/>
      <c r="K2730" s="458"/>
      <c r="L2730" s="704"/>
      <c r="M2730" s="704"/>
      <c r="O2730" s="271"/>
    </row>
    <row r="2731" spans="2:15" x14ac:dyDescent="0.35">
      <c r="B2731" s="580"/>
      <c r="K2731" s="458"/>
      <c r="L2731" s="704"/>
      <c r="M2731" s="704"/>
      <c r="O2731" s="271"/>
    </row>
    <row r="2732" spans="2:15" x14ac:dyDescent="0.35">
      <c r="B2732" s="580"/>
      <c r="K2732" s="458"/>
      <c r="L2732" s="704"/>
      <c r="M2732" s="704"/>
      <c r="O2732" s="271"/>
    </row>
    <row r="2733" spans="2:15" x14ac:dyDescent="0.35">
      <c r="B2733" s="580"/>
      <c r="K2733" s="458"/>
      <c r="L2733" s="704"/>
      <c r="M2733" s="704"/>
      <c r="O2733" s="271"/>
    </row>
    <row r="2734" spans="2:15" x14ac:dyDescent="0.35">
      <c r="B2734" s="580"/>
      <c r="K2734" s="458"/>
      <c r="L2734" s="704"/>
      <c r="M2734" s="704"/>
      <c r="O2734" s="271"/>
    </row>
    <row r="2735" spans="2:15" x14ac:dyDescent="0.35">
      <c r="B2735" s="580"/>
      <c r="K2735" s="458"/>
      <c r="L2735" s="704"/>
      <c r="M2735" s="704"/>
      <c r="O2735" s="271"/>
    </row>
    <row r="2736" spans="2:15" x14ac:dyDescent="0.35">
      <c r="B2736" s="580"/>
      <c r="K2736" s="458"/>
      <c r="L2736" s="704"/>
      <c r="M2736" s="704"/>
      <c r="O2736" s="271"/>
    </row>
    <row r="2737" spans="2:15" x14ac:dyDescent="0.35">
      <c r="B2737" s="580"/>
      <c r="K2737" s="458"/>
      <c r="L2737" s="704"/>
      <c r="M2737" s="704"/>
      <c r="O2737" s="271"/>
    </row>
    <row r="2738" spans="2:15" x14ac:dyDescent="0.35">
      <c r="B2738" s="580"/>
      <c r="K2738" s="458"/>
      <c r="L2738" s="704"/>
      <c r="M2738" s="704"/>
      <c r="O2738" s="271"/>
    </row>
    <row r="2739" spans="2:15" x14ac:dyDescent="0.35">
      <c r="B2739" s="580"/>
      <c r="K2739" s="458"/>
      <c r="L2739" s="704"/>
      <c r="M2739" s="704"/>
      <c r="O2739" s="271"/>
    </row>
    <row r="2740" spans="2:15" x14ac:dyDescent="0.35">
      <c r="B2740" s="580"/>
      <c r="K2740" s="458"/>
      <c r="L2740" s="704"/>
      <c r="M2740" s="704"/>
      <c r="O2740" s="271"/>
    </row>
    <row r="2741" spans="2:15" x14ac:dyDescent="0.35">
      <c r="B2741" s="580"/>
      <c r="K2741" s="458"/>
      <c r="L2741" s="704"/>
      <c r="M2741" s="704"/>
      <c r="O2741" s="271"/>
    </row>
    <row r="2742" spans="2:15" x14ac:dyDescent="0.35">
      <c r="B2742" s="580"/>
      <c r="K2742" s="458"/>
      <c r="L2742" s="704"/>
      <c r="M2742" s="704"/>
      <c r="O2742" s="271"/>
    </row>
    <row r="2743" spans="2:15" x14ac:dyDescent="0.35">
      <c r="B2743" s="580"/>
      <c r="K2743" s="458"/>
      <c r="L2743" s="704"/>
      <c r="M2743" s="704"/>
      <c r="O2743" s="271"/>
    </row>
    <row r="2744" spans="2:15" x14ac:dyDescent="0.35">
      <c r="B2744" s="580"/>
      <c r="K2744" s="458"/>
      <c r="L2744" s="704"/>
      <c r="M2744" s="704"/>
      <c r="O2744" s="271"/>
    </row>
    <row r="2745" spans="2:15" x14ac:dyDescent="0.35">
      <c r="B2745" s="580"/>
      <c r="K2745" s="458"/>
      <c r="L2745" s="704"/>
      <c r="M2745" s="704"/>
      <c r="O2745" s="271"/>
    </row>
    <row r="2746" spans="2:15" x14ac:dyDescent="0.35">
      <c r="B2746" s="580"/>
      <c r="K2746" s="458"/>
      <c r="L2746" s="704"/>
      <c r="M2746" s="704"/>
      <c r="O2746" s="271"/>
    </row>
    <row r="2747" spans="2:15" x14ac:dyDescent="0.35">
      <c r="B2747" s="580"/>
      <c r="K2747" s="458"/>
      <c r="L2747" s="704"/>
      <c r="M2747" s="704"/>
      <c r="O2747" s="271"/>
    </row>
    <row r="2748" spans="2:15" x14ac:dyDescent="0.35">
      <c r="B2748" s="580"/>
      <c r="K2748" s="458"/>
      <c r="L2748" s="704"/>
      <c r="M2748" s="704"/>
      <c r="O2748" s="271"/>
    </row>
    <row r="2749" spans="2:15" x14ac:dyDescent="0.35">
      <c r="B2749" s="580"/>
      <c r="K2749" s="458"/>
      <c r="L2749" s="704"/>
      <c r="M2749" s="704"/>
      <c r="O2749" s="271"/>
    </row>
    <row r="2750" spans="2:15" x14ac:dyDescent="0.35">
      <c r="B2750" s="580"/>
      <c r="K2750" s="458"/>
      <c r="L2750" s="704"/>
      <c r="M2750" s="704"/>
      <c r="O2750" s="271"/>
    </row>
    <row r="2751" spans="2:15" x14ac:dyDescent="0.35">
      <c r="B2751" s="580"/>
      <c r="K2751" s="458"/>
      <c r="L2751" s="704"/>
      <c r="M2751" s="704"/>
      <c r="O2751" s="271"/>
    </row>
    <row r="2752" spans="2:15" x14ac:dyDescent="0.35">
      <c r="B2752" s="580"/>
      <c r="K2752" s="458"/>
      <c r="L2752" s="704"/>
      <c r="M2752" s="704"/>
      <c r="O2752" s="271"/>
    </row>
    <row r="2753" spans="2:15" x14ac:dyDescent="0.35">
      <c r="B2753" s="580"/>
      <c r="K2753" s="458"/>
      <c r="L2753" s="704"/>
      <c r="M2753" s="704"/>
      <c r="O2753" s="271"/>
    </row>
    <row r="2754" spans="2:15" x14ac:dyDescent="0.35">
      <c r="B2754" s="580"/>
      <c r="K2754" s="458"/>
      <c r="L2754" s="704"/>
      <c r="M2754" s="704"/>
      <c r="O2754" s="271"/>
    </row>
    <row r="2755" spans="2:15" x14ac:dyDescent="0.35">
      <c r="B2755" s="580"/>
      <c r="K2755" s="458"/>
      <c r="L2755" s="704"/>
      <c r="M2755" s="704"/>
      <c r="O2755" s="271"/>
    </row>
    <row r="2756" spans="2:15" x14ac:dyDescent="0.35">
      <c r="B2756" s="580"/>
      <c r="K2756" s="458"/>
      <c r="L2756" s="704"/>
      <c r="M2756" s="704"/>
      <c r="O2756" s="271"/>
    </row>
    <row r="2757" spans="2:15" x14ac:dyDescent="0.35">
      <c r="B2757" s="580"/>
      <c r="K2757" s="458"/>
      <c r="L2757" s="704"/>
      <c r="M2757" s="704"/>
      <c r="O2757" s="271"/>
    </row>
    <row r="2758" spans="2:15" x14ac:dyDescent="0.35">
      <c r="B2758" s="580"/>
      <c r="K2758" s="458"/>
      <c r="L2758" s="704"/>
      <c r="M2758" s="704"/>
      <c r="O2758" s="271"/>
    </row>
    <row r="2759" spans="2:15" x14ac:dyDescent="0.35">
      <c r="B2759" s="580"/>
      <c r="K2759" s="458"/>
      <c r="L2759" s="704"/>
      <c r="M2759" s="704"/>
      <c r="O2759" s="271"/>
    </row>
    <row r="2760" spans="2:15" x14ac:dyDescent="0.35">
      <c r="B2760" s="580"/>
      <c r="K2760" s="458"/>
      <c r="L2760" s="704"/>
      <c r="M2760" s="704"/>
      <c r="O2760" s="271"/>
    </row>
    <row r="2761" spans="2:15" x14ac:dyDescent="0.35">
      <c r="B2761" s="580"/>
      <c r="K2761" s="458"/>
      <c r="L2761" s="704"/>
      <c r="M2761" s="704"/>
      <c r="O2761" s="271"/>
    </row>
    <row r="2762" spans="2:15" x14ac:dyDescent="0.35">
      <c r="B2762" s="580"/>
      <c r="K2762" s="458"/>
      <c r="L2762" s="704"/>
      <c r="M2762" s="704"/>
      <c r="O2762" s="271"/>
    </row>
    <row r="2763" spans="2:15" x14ac:dyDescent="0.35">
      <c r="B2763" s="580"/>
      <c r="K2763" s="458"/>
      <c r="L2763" s="704"/>
      <c r="M2763" s="704"/>
      <c r="O2763" s="271"/>
    </row>
    <row r="2764" spans="2:15" x14ac:dyDescent="0.35">
      <c r="B2764" s="580"/>
      <c r="K2764" s="458"/>
      <c r="L2764" s="704"/>
      <c r="M2764" s="704"/>
      <c r="O2764" s="271"/>
    </row>
    <row r="2765" spans="2:15" x14ac:dyDescent="0.35">
      <c r="B2765" s="580"/>
      <c r="K2765" s="458"/>
      <c r="L2765" s="704"/>
      <c r="M2765" s="704"/>
      <c r="O2765" s="271"/>
    </row>
    <row r="2766" spans="2:15" x14ac:dyDescent="0.35">
      <c r="B2766" s="580"/>
      <c r="K2766" s="458"/>
      <c r="L2766" s="704"/>
      <c r="M2766" s="704"/>
      <c r="O2766" s="271"/>
    </row>
    <row r="2767" spans="2:15" x14ac:dyDescent="0.35">
      <c r="B2767" s="580"/>
      <c r="K2767" s="458"/>
      <c r="L2767" s="704"/>
      <c r="M2767" s="704"/>
      <c r="O2767" s="271"/>
    </row>
    <row r="2768" spans="2:15" x14ac:dyDescent="0.35">
      <c r="B2768" s="580"/>
      <c r="K2768" s="458"/>
      <c r="L2768" s="704"/>
      <c r="M2768" s="704"/>
      <c r="O2768" s="271"/>
    </row>
    <row r="2769" spans="2:15" x14ac:dyDescent="0.35">
      <c r="B2769" s="580"/>
      <c r="K2769" s="458"/>
      <c r="L2769" s="704"/>
      <c r="M2769" s="704"/>
      <c r="O2769" s="271"/>
    </row>
    <row r="2770" spans="2:15" x14ac:dyDescent="0.35">
      <c r="B2770" s="580"/>
      <c r="K2770" s="458"/>
      <c r="L2770" s="704"/>
      <c r="M2770" s="704"/>
      <c r="O2770" s="271"/>
    </row>
    <row r="2771" spans="2:15" x14ac:dyDescent="0.35">
      <c r="B2771" s="580"/>
      <c r="K2771" s="458"/>
      <c r="L2771" s="704"/>
      <c r="M2771" s="704"/>
      <c r="O2771" s="271"/>
    </row>
    <row r="2772" spans="2:15" x14ac:dyDescent="0.35">
      <c r="B2772" s="580"/>
      <c r="K2772" s="458"/>
      <c r="L2772" s="704"/>
      <c r="M2772" s="704"/>
      <c r="O2772" s="271"/>
    </row>
    <row r="2773" spans="2:15" x14ac:dyDescent="0.35">
      <c r="B2773" s="580"/>
      <c r="K2773" s="458"/>
      <c r="L2773" s="704"/>
      <c r="M2773" s="704"/>
      <c r="O2773" s="271"/>
    </row>
    <row r="2774" spans="2:15" x14ac:dyDescent="0.35">
      <c r="B2774" s="580"/>
      <c r="K2774" s="458"/>
      <c r="L2774" s="704"/>
      <c r="M2774" s="704"/>
      <c r="O2774" s="271"/>
    </row>
    <row r="2775" spans="2:15" x14ac:dyDescent="0.35">
      <c r="B2775" s="580"/>
      <c r="K2775" s="458"/>
      <c r="L2775" s="704"/>
      <c r="M2775" s="704"/>
      <c r="O2775" s="271"/>
    </row>
    <row r="2776" spans="2:15" x14ac:dyDescent="0.35">
      <c r="B2776" s="580"/>
      <c r="K2776" s="458"/>
      <c r="L2776" s="704"/>
      <c r="M2776" s="704"/>
      <c r="O2776" s="271"/>
    </row>
    <row r="2777" spans="2:15" x14ac:dyDescent="0.35">
      <c r="B2777" s="580"/>
      <c r="K2777" s="458"/>
      <c r="L2777" s="704"/>
      <c r="M2777" s="704"/>
      <c r="O2777" s="271"/>
    </row>
    <row r="2778" spans="2:15" x14ac:dyDescent="0.35">
      <c r="B2778" s="580"/>
      <c r="K2778" s="458"/>
      <c r="L2778" s="704"/>
      <c r="M2778" s="704"/>
      <c r="O2778" s="271"/>
    </row>
    <row r="2779" spans="2:15" x14ac:dyDescent="0.35">
      <c r="B2779" s="580"/>
      <c r="K2779" s="458"/>
      <c r="L2779" s="704"/>
      <c r="M2779" s="704"/>
      <c r="O2779" s="271"/>
    </row>
    <row r="2780" spans="2:15" x14ac:dyDescent="0.35">
      <c r="B2780" s="580"/>
      <c r="K2780" s="458"/>
      <c r="L2780" s="704"/>
      <c r="M2780" s="704"/>
      <c r="O2780" s="271"/>
    </row>
    <row r="2781" spans="2:15" x14ac:dyDescent="0.35">
      <c r="B2781" s="580"/>
      <c r="K2781" s="458"/>
      <c r="L2781" s="704"/>
      <c r="M2781" s="704"/>
      <c r="O2781" s="271"/>
    </row>
    <row r="2782" spans="2:15" x14ac:dyDescent="0.35">
      <c r="B2782" s="580"/>
      <c r="K2782" s="458"/>
      <c r="L2782" s="704"/>
      <c r="M2782" s="704"/>
      <c r="O2782" s="271"/>
    </row>
    <row r="2783" spans="2:15" x14ac:dyDescent="0.35">
      <c r="B2783" s="580"/>
      <c r="K2783" s="458"/>
      <c r="L2783" s="704"/>
      <c r="M2783" s="704"/>
      <c r="O2783" s="271"/>
    </row>
    <row r="2784" spans="2:15" x14ac:dyDescent="0.35">
      <c r="B2784" s="580"/>
      <c r="K2784" s="458"/>
      <c r="L2784" s="704"/>
      <c r="M2784" s="704"/>
      <c r="O2784" s="271"/>
    </row>
    <row r="2785" spans="2:15" x14ac:dyDescent="0.35">
      <c r="B2785" s="580"/>
      <c r="K2785" s="458"/>
      <c r="L2785" s="704"/>
      <c r="M2785" s="704"/>
      <c r="O2785" s="271"/>
    </row>
    <row r="2786" spans="2:15" x14ac:dyDescent="0.35">
      <c r="B2786" s="580"/>
      <c r="K2786" s="458"/>
      <c r="L2786" s="704"/>
      <c r="M2786" s="704"/>
      <c r="O2786" s="271"/>
    </row>
    <row r="2787" spans="2:15" x14ac:dyDescent="0.35">
      <c r="B2787" s="580"/>
      <c r="K2787" s="458"/>
      <c r="L2787" s="704"/>
      <c r="M2787" s="704"/>
      <c r="O2787" s="271"/>
    </row>
    <row r="2788" spans="2:15" x14ac:dyDescent="0.35">
      <c r="B2788" s="580"/>
      <c r="K2788" s="458"/>
      <c r="L2788" s="704"/>
      <c r="M2788" s="704"/>
      <c r="O2788" s="271"/>
    </row>
    <row r="2789" spans="2:15" x14ac:dyDescent="0.35">
      <c r="B2789" s="580"/>
      <c r="K2789" s="458"/>
      <c r="L2789" s="704"/>
      <c r="M2789" s="704"/>
      <c r="O2789" s="271"/>
    </row>
    <row r="2790" spans="2:15" x14ac:dyDescent="0.35">
      <c r="B2790" s="580"/>
      <c r="K2790" s="458"/>
      <c r="L2790" s="704"/>
      <c r="M2790" s="704"/>
      <c r="O2790" s="271"/>
    </row>
    <row r="2791" spans="2:15" x14ac:dyDescent="0.35">
      <c r="B2791" s="580"/>
      <c r="K2791" s="458"/>
      <c r="L2791" s="704"/>
      <c r="M2791" s="704"/>
      <c r="O2791" s="271"/>
    </row>
    <row r="2792" spans="2:15" x14ac:dyDescent="0.35">
      <c r="B2792" s="580"/>
      <c r="K2792" s="458"/>
      <c r="L2792" s="704"/>
      <c r="M2792" s="704"/>
      <c r="O2792" s="271"/>
    </row>
    <row r="2793" spans="2:15" x14ac:dyDescent="0.35">
      <c r="B2793" s="580"/>
      <c r="K2793" s="458"/>
      <c r="L2793" s="704"/>
      <c r="M2793" s="704"/>
      <c r="O2793" s="271"/>
    </row>
    <row r="2794" spans="2:15" x14ac:dyDescent="0.35">
      <c r="B2794" s="580"/>
      <c r="K2794" s="458"/>
      <c r="L2794" s="704"/>
      <c r="M2794" s="704"/>
      <c r="O2794" s="271"/>
    </row>
    <row r="2795" spans="2:15" x14ac:dyDescent="0.35">
      <c r="B2795" s="580"/>
      <c r="K2795" s="458"/>
      <c r="L2795" s="704"/>
      <c r="M2795" s="704"/>
      <c r="O2795" s="271"/>
    </row>
    <row r="2796" spans="2:15" x14ac:dyDescent="0.35">
      <c r="B2796" s="580"/>
      <c r="K2796" s="458"/>
      <c r="L2796" s="704"/>
      <c r="M2796" s="704"/>
      <c r="O2796" s="271"/>
    </row>
    <row r="2797" spans="2:15" x14ac:dyDescent="0.35">
      <c r="B2797" s="580"/>
      <c r="K2797" s="458"/>
      <c r="L2797" s="704"/>
      <c r="M2797" s="704"/>
      <c r="O2797" s="271"/>
    </row>
    <row r="2798" spans="2:15" x14ac:dyDescent="0.35">
      <c r="B2798" s="580"/>
      <c r="K2798" s="458"/>
      <c r="L2798" s="704"/>
      <c r="M2798" s="704"/>
      <c r="O2798" s="271"/>
    </row>
    <row r="2799" spans="2:15" x14ac:dyDescent="0.35">
      <c r="B2799" s="580"/>
      <c r="K2799" s="458"/>
      <c r="L2799" s="704"/>
      <c r="M2799" s="704"/>
      <c r="O2799" s="271"/>
    </row>
    <row r="2800" spans="2:15" x14ac:dyDescent="0.35">
      <c r="B2800" s="580"/>
      <c r="K2800" s="458"/>
      <c r="L2800" s="704"/>
      <c r="M2800" s="704"/>
      <c r="O2800" s="271"/>
    </row>
    <row r="2801" spans="2:15" x14ac:dyDescent="0.35">
      <c r="B2801" s="580"/>
      <c r="K2801" s="458"/>
      <c r="L2801" s="704"/>
      <c r="M2801" s="704"/>
      <c r="O2801" s="271"/>
    </row>
    <row r="2802" spans="2:15" x14ac:dyDescent="0.35">
      <c r="B2802" s="580"/>
      <c r="K2802" s="458"/>
      <c r="L2802" s="704"/>
      <c r="M2802" s="704"/>
      <c r="O2802" s="271"/>
    </row>
    <row r="2803" spans="2:15" x14ac:dyDescent="0.35">
      <c r="B2803" s="580"/>
      <c r="K2803" s="458"/>
      <c r="L2803" s="704"/>
      <c r="M2803" s="704"/>
      <c r="O2803" s="271"/>
    </row>
    <row r="2804" spans="2:15" x14ac:dyDescent="0.35">
      <c r="B2804" s="580"/>
      <c r="K2804" s="458"/>
      <c r="L2804" s="704"/>
      <c r="M2804" s="704"/>
      <c r="O2804" s="271"/>
    </row>
    <row r="2805" spans="2:15" x14ac:dyDescent="0.35">
      <c r="B2805" s="580"/>
      <c r="K2805" s="458"/>
      <c r="L2805" s="704"/>
      <c r="M2805" s="704"/>
      <c r="O2805" s="271"/>
    </row>
    <row r="2806" spans="2:15" x14ac:dyDescent="0.35">
      <c r="B2806" s="580"/>
      <c r="K2806" s="458"/>
      <c r="L2806" s="704"/>
      <c r="M2806" s="704"/>
      <c r="O2806" s="271"/>
    </row>
    <row r="2807" spans="2:15" x14ac:dyDescent="0.35">
      <c r="B2807" s="580"/>
      <c r="K2807" s="458"/>
      <c r="L2807" s="704"/>
      <c r="M2807" s="704"/>
      <c r="O2807" s="271"/>
    </row>
    <row r="2808" spans="2:15" x14ac:dyDescent="0.35">
      <c r="B2808" s="580"/>
      <c r="K2808" s="458"/>
      <c r="L2808" s="704"/>
      <c r="M2808" s="704"/>
      <c r="O2808" s="271"/>
    </row>
    <row r="2809" spans="2:15" x14ac:dyDescent="0.35">
      <c r="B2809" s="580"/>
      <c r="K2809" s="458"/>
      <c r="L2809" s="704"/>
      <c r="M2809" s="704"/>
      <c r="O2809" s="271"/>
    </row>
    <row r="2810" spans="2:15" x14ac:dyDescent="0.35">
      <c r="B2810" s="580"/>
      <c r="K2810" s="458"/>
      <c r="L2810" s="704"/>
      <c r="M2810" s="704"/>
      <c r="O2810" s="271"/>
    </row>
    <row r="2811" spans="2:15" x14ac:dyDescent="0.35">
      <c r="B2811" s="580"/>
      <c r="K2811" s="458"/>
      <c r="L2811" s="704"/>
      <c r="M2811" s="704"/>
      <c r="O2811" s="271"/>
    </row>
    <row r="2812" spans="2:15" x14ac:dyDescent="0.35">
      <c r="B2812" s="580"/>
      <c r="K2812" s="458"/>
      <c r="L2812" s="704"/>
      <c r="M2812" s="704"/>
      <c r="O2812" s="271"/>
    </row>
    <row r="2813" spans="2:15" x14ac:dyDescent="0.35">
      <c r="B2813" s="580"/>
      <c r="K2813" s="458"/>
      <c r="L2813" s="704"/>
      <c r="M2813" s="704"/>
      <c r="O2813" s="271"/>
    </row>
    <row r="2814" spans="2:15" x14ac:dyDescent="0.35">
      <c r="B2814" s="580"/>
      <c r="K2814" s="458"/>
      <c r="L2814" s="704"/>
      <c r="M2814" s="704"/>
      <c r="O2814" s="271"/>
    </row>
    <row r="2815" spans="2:15" x14ac:dyDescent="0.35">
      <c r="B2815" s="580"/>
      <c r="K2815" s="458"/>
      <c r="L2815" s="704"/>
      <c r="M2815" s="704"/>
      <c r="O2815" s="271"/>
    </row>
    <row r="2816" spans="2:15" x14ac:dyDescent="0.35">
      <c r="B2816" s="580"/>
      <c r="K2816" s="458"/>
      <c r="L2816" s="704"/>
      <c r="M2816" s="704"/>
      <c r="O2816" s="271"/>
    </row>
    <row r="2817" spans="2:15" x14ac:dyDescent="0.35">
      <c r="B2817" s="580"/>
      <c r="K2817" s="458"/>
      <c r="L2817" s="704"/>
      <c r="M2817" s="704"/>
      <c r="O2817" s="271"/>
    </row>
    <row r="2818" spans="2:15" x14ac:dyDescent="0.35">
      <c r="B2818" s="580"/>
      <c r="K2818" s="458"/>
      <c r="L2818" s="704"/>
      <c r="M2818" s="704"/>
      <c r="O2818" s="271"/>
    </row>
    <row r="2819" spans="2:15" x14ac:dyDescent="0.35">
      <c r="B2819" s="580"/>
      <c r="K2819" s="458"/>
      <c r="L2819" s="704"/>
      <c r="M2819" s="704"/>
      <c r="O2819" s="271"/>
    </row>
    <row r="2820" spans="2:15" x14ac:dyDescent="0.35">
      <c r="B2820" s="580"/>
      <c r="K2820" s="458"/>
      <c r="L2820" s="704"/>
      <c r="M2820" s="704"/>
      <c r="O2820" s="271"/>
    </row>
    <row r="2821" spans="2:15" x14ac:dyDescent="0.35">
      <c r="B2821" s="580"/>
      <c r="K2821" s="458"/>
      <c r="L2821" s="704"/>
      <c r="M2821" s="704"/>
      <c r="O2821" s="271"/>
    </row>
    <row r="2822" spans="2:15" x14ac:dyDescent="0.35">
      <c r="B2822" s="580"/>
      <c r="K2822" s="458"/>
      <c r="L2822" s="704"/>
      <c r="M2822" s="704"/>
      <c r="O2822" s="271"/>
    </row>
    <row r="2823" spans="2:15" x14ac:dyDescent="0.35">
      <c r="B2823" s="580"/>
      <c r="K2823" s="458"/>
      <c r="L2823" s="704"/>
      <c r="M2823" s="704"/>
      <c r="O2823" s="271"/>
    </row>
    <row r="2824" spans="2:15" x14ac:dyDescent="0.35">
      <c r="B2824" s="580"/>
      <c r="K2824" s="458"/>
      <c r="L2824" s="704"/>
      <c r="M2824" s="704"/>
      <c r="O2824" s="271"/>
    </row>
    <row r="2825" spans="2:15" x14ac:dyDescent="0.35">
      <c r="B2825" s="580"/>
      <c r="K2825" s="458"/>
      <c r="L2825" s="704"/>
      <c r="M2825" s="704"/>
      <c r="O2825" s="271"/>
    </row>
    <row r="2826" spans="2:15" x14ac:dyDescent="0.35">
      <c r="B2826" s="580"/>
      <c r="K2826" s="458"/>
      <c r="L2826" s="704"/>
      <c r="M2826" s="704"/>
      <c r="O2826" s="271"/>
    </row>
    <row r="2827" spans="2:15" x14ac:dyDescent="0.35">
      <c r="B2827" s="580"/>
      <c r="K2827" s="458"/>
      <c r="L2827" s="704"/>
      <c r="M2827" s="704"/>
      <c r="O2827" s="271"/>
    </row>
    <row r="2828" spans="2:15" x14ac:dyDescent="0.35">
      <c r="B2828" s="580"/>
      <c r="K2828" s="458"/>
      <c r="L2828" s="704"/>
      <c r="M2828" s="704"/>
      <c r="O2828" s="271"/>
    </row>
    <row r="2829" spans="2:15" x14ac:dyDescent="0.35">
      <c r="B2829" s="580"/>
      <c r="K2829" s="458"/>
      <c r="L2829" s="704"/>
      <c r="M2829" s="704"/>
      <c r="O2829" s="271"/>
    </row>
    <row r="2830" spans="2:15" x14ac:dyDescent="0.35">
      <c r="B2830" s="580"/>
      <c r="K2830" s="458"/>
      <c r="L2830" s="704"/>
      <c r="M2830" s="704"/>
      <c r="O2830" s="271"/>
    </row>
    <row r="2831" spans="2:15" x14ac:dyDescent="0.35">
      <c r="B2831" s="580"/>
      <c r="K2831" s="458"/>
      <c r="L2831" s="704"/>
      <c r="M2831" s="704"/>
      <c r="O2831" s="271"/>
    </row>
    <row r="2832" spans="2:15" x14ac:dyDescent="0.35">
      <c r="B2832" s="580"/>
      <c r="K2832" s="458"/>
      <c r="L2832" s="704"/>
      <c r="M2832" s="704"/>
      <c r="O2832" s="271"/>
    </row>
    <row r="2833" spans="2:15" x14ac:dyDescent="0.35">
      <c r="B2833" s="580"/>
      <c r="K2833" s="458"/>
      <c r="L2833" s="704"/>
      <c r="M2833" s="704"/>
      <c r="O2833" s="271"/>
    </row>
    <row r="2834" spans="2:15" x14ac:dyDescent="0.35">
      <c r="B2834" s="580"/>
      <c r="K2834" s="458"/>
      <c r="L2834" s="704"/>
      <c r="M2834" s="704"/>
      <c r="O2834" s="271"/>
    </row>
    <row r="2835" spans="2:15" x14ac:dyDescent="0.35">
      <c r="B2835" s="580"/>
      <c r="K2835" s="458"/>
      <c r="L2835" s="704"/>
      <c r="M2835" s="704"/>
      <c r="O2835" s="271"/>
    </row>
    <row r="2836" spans="2:15" x14ac:dyDescent="0.35">
      <c r="B2836" s="580"/>
      <c r="K2836" s="458"/>
      <c r="L2836" s="704"/>
      <c r="M2836" s="704"/>
      <c r="O2836" s="271"/>
    </row>
    <row r="2837" spans="2:15" x14ac:dyDescent="0.35">
      <c r="B2837" s="580"/>
      <c r="K2837" s="458"/>
      <c r="L2837" s="704"/>
      <c r="M2837" s="704"/>
      <c r="O2837" s="271"/>
    </row>
    <row r="2838" spans="2:15" x14ac:dyDescent="0.35">
      <c r="B2838" s="580"/>
      <c r="K2838" s="458"/>
      <c r="L2838" s="704"/>
      <c r="M2838" s="704"/>
      <c r="O2838" s="271"/>
    </row>
    <row r="2839" spans="2:15" x14ac:dyDescent="0.35">
      <c r="B2839" s="580"/>
      <c r="K2839" s="458"/>
      <c r="L2839" s="704"/>
      <c r="M2839" s="704"/>
      <c r="O2839" s="271"/>
    </row>
    <row r="2840" spans="2:15" x14ac:dyDescent="0.35">
      <c r="B2840" s="580"/>
      <c r="K2840" s="458"/>
      <c r="L2840" s="704"/>
      <c r="M2840" s="704"/>
      <c r="O2840" s="271"/>
    </row>
    <row r="2841" spans="2:15" x14ac:dyDescent="0.35">
      <c r="B2841" s="580"/>
      <c r="K2841" s="458"/>
      <c r="L2841" s="704"/>
      <c r="M2841" s="704"/>
      <c r="O2841" s="271"/>
    </row>
    <row r="2842" spans="2:15" x14ac:dyDescent="0.35">
      <c r="B2842" s="580"/>
      <c r="K2842" s="458"/>
      <c r="L2842" s="704"/>
      <c r="M2842" s="704"/>
      <c r="O2842" s="271"/>
    </row>
    <row r="2843" spans="2:15" x14ac:dyDescent="0.35">
      <c r="B2843" s="580"/>
      <c r="K2843" s="458"/>
      <c r="L2843" s="704"/>
      <c r="M2843" s="704"/>
      <c r="O2843" s="271"/>
    </row>
    <row r="2844" spans="2:15" x14ac:dyDescent="0.35">
      <c r="B2844" s="580"/>
      <c r="K2844" s="458"/>
      <c r="L2844" s="704"/>
      <c r="M2844" s="704"/>
      <c r="O2844" s="271"/>
    </row>
    <row r="2845" spans="2:15" x14ac:dyDescent="0.35">
      <c r="B2845" s="580"/>
      <c r="K2845" s="458"/>
      <c r="L2845" s="704"/>
      <c r="M2845" s="704"/>
      <c r="O2845" s="271"/>
    </row>
    <row r="2846" spans="2:15" x14ac:dyDescent="0.35">
      <c r="B2846" s="580"/>
      <c r="K2846" s="458"/>
      <c r="L2846" s="704"/>
      <c r="M2846" s="704"/>
      <c r="O2846" s="271"/>
    </row>
    <row r="2847" spans="2:15" x14ac:dyDescent="0.35">
      <c r="B2847" s="580"/>
      <c r="K2847" s="458"/>
      <c r="L2847" s="704"/>
      <c r="M2847" s="704"/>
      <c r="O2847" s="271"/>
    </row>
    <row r="2848" spans="2:15" x14ac:dyDescent="0.35">
      <c r="B2848" s="580"/>
      <c r="K2848" s="458"/>
      <c r="L2848" s="704"/>
      <c r="M2848" s="704"/>
      <c r="O2848" s="271"/>
    </row>
    <row r="2849" spans="2:15" x14ac:dyDescent="0.35">
      <c r="B2849" s="580"/>
      <c r="K2849" s="458"/>
      <c r="L2849" s="704"/>
      <c r="M2849" s="704"/>
      <c r="O2849" s="271"/>
    </row>
    <row r="2850" spans="2:15" x14ac:dyDescent="0.35">
      <c r="B2850" s="580"/>
      <c r="K2850" s="458"/>
      <c r="L2850" s="704"/>
      <c r="M2850" s="704"/>
      <c r="O2850" s="271"/>
    </row>
    <row r="2851" spans="2:15" x14ac:dyDescent="0.35">
      <c r="B2851" s="580"/>
      <c r="K2851" s="458"/>
      <c r="L2851" s="704"/>
      <c r="M2851" s="704"/>
      <c r="O2851" s="271"/>
    </row>
    <row r="2852" spans="2:15" x14ac:dyDescent="0.35">
      <c r="B2852" s="580"/>
      <c r="K2852" s="458"/>
      <c r="L2852" s="704"/>
      <c r="M2852" s="704"/>
      <c r="O2852" s="271"/>
    </row>
    <row r="2853" spans="2:15" x14ac:dyDescent="0.35">
      <c r="B2853" s="580"/>
      <c r="K2853" s="458"/>
      <c r="L2853" s="704"/>
      <c r="M2853" s="704"/>
      <c r="O2853" s="271"/>
    </row>
    <row r="2854" spans="2:15" x14ac:dyDescent="0.35">
      <c r="B2854" s="580"/>
      <c r="K2854" s="458"/>
      <c r="L2854" s="704"/>
      <c r="M2854" s="704"/>
      <c r="O2854" s="271"/>
    </row>
    <row r="2855" spans="2:15" x14ac:dyDescent="0.35">
      <c r="B2855" s="580"/>
      <c r="K2855" s="458"/>
      <c r="L2855" s="704"/>
      <c r="M2855" s="704"/>
      <c r="O2855" s="271"/>
    </row>
    <row r="2856" spans="2:15" x14ac:dyDescent="0.35">
      <c r="B2856" s="580"/>
      <c r="K2856" s="458"/>
      <c r="L2856" s="704"/>
      <c r="M2856" s="704"/>
      <c r="O2856" s="271"/>
    </row>
    <row r="2857" spans="2:15" x14ac:dyDescent="0.35">
      <c r="B2857" s="580"/>
      <c r="K2857" s="458"/>
      <c r="L2857" s="704"/>
      <c r="M2857" s="704"/>
      <c r="O2857" s="271"/>
    </row>
    <row r="2858" spans="2:15" x14ac:dyDescent="0.35">
      <c r="B2858" s="580"/>
      <c r="K2858" s="458"/>
      <c r="L2858" s="704"/>
      <c r="M2858" s="704"/>
      <c r="O2858" s="271"/>
    </row>
    <row r="2859" spans="2:15" x14ac:dyDescent="0.35">
      <c r="B2859" s="580"/>
      <c r="K2859" s="458"/>
      <c r="L2859" s="704"/>
      <c r="M2859" s="704"/>
      <c r="O2859" s="271"/>
    </row>
    <row r="2860" spans="2:15" x14ac:dyDescent="0.35">
      <c r="B2860" s="580"/>
      <c r="K2860" s="458"/>
      <c r="L2860" s="704"/>
      <c r="M2860" s="704"/>
      <c r="O2860" s="271"/>
    </row>
    <row r="2861" spans="2:15" x14ac:dyDescent="0.35">
      <c r="B2861" s="580"/>
      <c r="K2861" s="458"/>
      <c r="L2861" s="704"/>
      <c r="M2861" s="704"/>
      <c r="O2861" s="271"/>
    </row>
    <row r="2862" spans="2:15" x14ac:dyDescent="0.35">
      <c r="B2862" s="580"/>
      <c r="K2862" s="458"/>
      <c r="L2862" s="704"/>
      <c r="M2862" s="704"/>
      <c r="O2862" s="271"/>
    </row>
    <row r="2863" spans="2:15" x14ac:dyDescent="0.35">
      <c r="B2863" s="580"/>
      <c r="K2863" s="458"/>
      <c r="L2863" s="704"/>
      <c r="M2863" s="704"/>
      <c r="O2863" s="271"/>
    </row>
    <row r="2864" spans="2:15" x14ac:dyDescent="0.35">
      <c r="B2864" s="580"/>
      <c r="K2864" s="458"/>
      <c r="L2864" s="704"/>
      <c r="M2864" s="704"/>
      <c r="O2864" s="271"/>
    </row>
    <row r="2865" spans="2:15" x14ac:dyDescent="0.35">
      <c r="B2865" s="580"/>
      <c r="K2865" s="458"/>
      <c r="L2865" s="704"/>
      <c r="M2865" s="704"/>
      <c r="O2865" s="271"/>
    </row>
    <row r="2866" spans="2:15" x14ac:dyDescent="0.35">
      <c r="B2866" s="580"/>
      <c r="K2866" s="458"/>
      <c r="L2866" s="704"/>
      <c r="M2866" s="704"/>
      <c r="O2866" s="271"/>
    </row>
    <row r="2867" spans="2:15" x14ac:dyDescent="0.35">
      <c r="B2867" s="580"/>
      <c r="K2867" s="458"/>
      <c r="L2867" s="704"/>
      <c r="M2867" s="704"/>
      <c r="O2867" s="271"/>
    </row>
    <row r="2868" spans="2:15" x14ac:dyDescent="0.35">
      <c r="B2868" s="580"/>
      <c r="K2868" s="458"/>
      <c r="L2868" s="704"/>
      <c r="M2868" s="704"/>
      <c r="O2868" s="271"/>
    </row>
    <row r="2869" spans="2:15" x14ac:dyDescent="0.35">
      <c r="B2869" s="580"/>
      <c r="K2869" s="458"/>
      <c r="L2869" s="704"/>
      <c r="M2869" s="704"/>
      <c r="O2869" s="271"/>
    </row>
    <row r="2870" spans="2:15" x14ac:dyDescent="0.35">
      <c r="B2870" s="580"/>
      <c r="K2870" s="458"/>
      <c r="L2870" s="704"/>
      <c r="M2870" s="704"/>
      <c r="O2870" s="271"/>
    </row>
    <row r="2871" spans="2:15" x14ac:dyDescent="0.35">
      <c r="B2871" s="580"/>
      <c r="K2871" s="458"/>
      <c r="L2871" s="704"/>
      <c r="M2871" s="704"/>
      <c r="O2871" s="271"/>
    </row>
    <row r="2872" spans="2:15" x14ac:dyDescent="0.35">
      <c r="B2872" s="580"/>
      <c r="K2872" s="458"/>
      <c r="L2872" s="704"/>
      <c r="M2872" s="704"/>
      <c r="O2872" s="271"/>
    </row>
    <row r="2873" spans="2:15" x14ac:dyDescent="0.35">
      <c r="B2873" s="580"/>
      <c r="K2873" s="458"/>
      <c r="L2873" s="704"/>
      <c r="M2873" s="704"/>
      <c r="O2873" s="271"/>
    </row>
    <row r="2874" spans="2:15" x14ac:dyDescent="0.35">
      <c r="B2874" s="580"/>
      <c r="K2874" s="458"/>
      <c r="L2874" s="704"/>
      <c r="M2874" s="704"/>
      <c r="O2874" s="271"/>
    </row>
    <row r="2875" spans="2:15" x14ac:dyDescent="0.35">
      <c r="B2875" s="580"/>
      <c r="K2875" s="458"/>
      <c r="L2875" s="704"/>
      <c r="M2875" s="704"/>
      <c r="O2875" s="271"/>
    </row>
    <row r="2876" spans="2:15" x14ac:dyDescent="0.35">
      <c r="B2876" s="580"/>
      <c r="K2876" s="458"/>
      <c r="L2876" s="704"/>
      <c r="M2876" s="704"/>
      <c r="O2876" s="271"/>
    </row>
    <row r="2877" spans="2:15" x14ac:dyDescent="0.35">
      <c r="B2877" s="580"/>
      <c r="K2877" s="458"/>
      <c r="L2877" s="704"/>
      <c r="M2877" s="704"/>
      <c r="O2877" s="271"/>
    </row>
    <row r="2878" spans="2:15" x14ac:dyDescent="0.35">
      <c r="B2878" s="580"/>
      <c r="K2878" s="458"/>
      <c r="L2878" s="704"/>
      <c r="M2878" s="704"/>
      <c r="O2878" s="271"/>
    </row>
    <row r="2879" spans="2:15" x14ac:dyDescent="0.35">
      <c r="B2879" s="580"/>
      <c r="K2879" s="458"/>
      <c r="L2879" s="704"/>
      <c r="M2879" s="704"/>
      <c r="O2879" s="271"/>
    </row>
    <row r="2880" spans="2:15" x14ac:dyDescent="0.35">
      <c r="B2880" s="580"/>
      <c r="K2880" s="458"/>
      <c r="L2880" s="704"/>
      <c r="M2880" s="704"/>
      <c r="O2880" s="271"/>
    </row>
    <row r="2881" spans="2:15" x14ac:dyDescent="0.35">
      <c r="B2881" s="580"/>
      <c r="K2881" s="458"/>
      <c r="L2881" s="704"/>
      <c r="M2881" s="704"/>
      <c r="O2881" s="271"/>
    </row>
    <row r="2882" spans="2:15" x14ac:dyDescent="0.35">
      <c r="B2882" s="580"/>
      <c r="K2882" s="458"/>
      <c r="L2882" s="704"/>
      <c r="M2882" s="704"/>
      <c r="O2882" s="271"/>
    </row>
    <row r="2883" spans="2:15" x14ac:dyDescent="0.35">
      <c r="B2883" s="580"/>
      <c r="K2883" s="458"/>
      <c r="L2883" s="704"/>
      <c r="M2883" s="704"/>
      <c r="O2883" s="271"/>
    </row>
    <row r="2884" spans="2:15" x14ac:dyDescent="0.35">
      <c r="B2884" s="580"/>
      <c r="K2884" s="458"/>
      <c r="L2884" s="704"/>
      <c r="M2884" s="704"/>
      <c r="O2884" s="271"/>
    </row>
    <row r="2885" spans="2:15" x14ac:dyDescent="0.35">
      <c r="B2885" s="580"/>
      <c r="K2885" s="458"/>
      <c r="L2885" s="704"/>
      <c r="M2885" s="704"/>
      <c r="O2885" s="271"/>
    </row>
    <row r="2886" spans="2:15" x14ac:dyDescent="0.35">
      <c r="B2886" s="580"/>
      <c r="K2886" s="458"/>
      <c r="L2886" s="704"/>
      <c r="M2886" s="704"/>
      <c r="O2886" s="271"/>
    </row>
    <row r="2887" spans="2:15" x14ac:dyDescent="0.35">
      <c r="B2887" s="580"/>
      <c r="K2887" s="458"/>
      <c r="L2887" s="704"/>
      <c r="M2887" s="704"/>
      <c r="O2887" s="271"/>
    </row>
    <row r="2888" spans="2:15" x14ac:dyDescent="0.35">
      <c r="B2888" s="580"/>
      <c r="K2888" s="458"/>
      <c r="L2888" s="704"/>
      <c r="M2888" s="704"/>
      <c r="O2888" s="271"/>
    </row>
    <row r="2889" spans="2:15" x14ac:dyDescent="0.35">
      <c r="B2889" s="580"/>
      <c r="K2889" s="458"/>
      <c r="L2889" s="704"/>
      <c r="M2889" s="704"/>
      <c r="O2889" s="271"/>
    </row>
    <row r="2890" spans="2:15" x14ac:dyDescent="0.35">
      <c r="B2890" s="580"/>
      <c r="K2890" s="458"/>
      <c r="L2890" s="704"/>
      <c r="M2890" s="704"/>
      <c r="O2890" s="271"/>
    </row>
    <row r="2891" spans="2:15" x14ac:dyDescent="0.35">
      <c r="B2891" s="580"/>
      <c r="K2891" s="458"/>
      <c r="L2891" s="704"/>
      <c r="M2891" s="704"/>
      <c r="O2891" s="271"/>
    </row>
    <row r="2892" spans="2:15" x14ac:dyDescent="0.35">
      <c r="B2892" s="580"/>
      <c r="K2892" s="458"/>
      <c r="L2892" s="704"/>
      <c r="M2892" s="704"/>
      <c r="O2892" s="271"/>
    </row>
    <row r="2893" spans="2:15" x14ac:dyDescent="0.35">
      <c r="B2893" s="580"/>
      <c r="K2893" s="458"/>
      <c r="L2893" s="704"/>
      <c r="M2893" s="704"/>
      <c r="O2893" s="271"/>
    </row>
    <row r="2894" spans="2:15" x14ac:dyDescent="0.35">
      <c r="B2894" s="580"/>
      <c r="K2894" s="458"/>
      <c r="L2894" s="704"/>
      <c r="M2894" s="704"/>
      <c r="O2894" s="271"/>
    </row>
    <row r="2895" spans="2:15" x14ac:dyDescent="0.35">
      <c r="B2895" s="580"/>
      <c r="K2895" s="458"/>
      <c r="L2895" s="704"/>
      <c r="M2895" s="704"/>
      <c r="O2895" s="271"/>
    </row>
    <row r="2896" spans="2:15" x14ac:dyDescent="0.35">
      <c r="B2896" s="580"/>
      <c r="K2896" s="458"/>
      <c r="L2896" s="704"/>
      <c r="M2896" s="704"/>
      <c r="O2896" s="271"/>
    </row>
    <row r="2897" spans="2:15" x14ac:dyDescent="0.35">
      <c r="B2897" s="580"/>
      <c r="K2897" s="458"/>
      <c r="L2897" s="704"/>
      <c r="M2897" s="704"/>
      <c r="O2897" s="271"/>
    </row>
    <row r="2898" spans="2:15" x14ac:dyDescent="0.35">
      <c r="B2898" s="580"/>
      <c r="K2898" s="458"/>
      <c r="L2898" s="704"/>
      <c r="M2898" s="704"/>
      <c r="O2898" s="271"/>
    </row>
    <row r="2899" spans="2:15" x14ac:dyDescent="0.35">
      <c r="B2899" s="580"/>
      <c r="K2899" s="458"/>
      <c r="L2899" s="704"/>
      <c r="M2899" s="704"/>
      <c r="O2899" s="271"/>
    </row>
    <row r="2900" spans="2:15" x14ac:dyDescent="0.35">
      <c r="B2900" s="580"/>
      <c r="K2900" s="458"/>
      <c r="L2900" s="704"/>
      <c r="M2900" s="704"/>
      <c r="O2900" s="271"/>
    </row>
    <row r="2901" spans="2:15" x14ac:dyDescent="0.35">
      <c r="B2901" s="580"/>
      <c r="K2901" s="458"/>
      <c r="L2901" s="704"/>
      <c r="M2901" s="704"/>
      <c r="O2901" s="271"/>
    </row>
    <row r="2902" spans="2:15" x14ac:dyDescent="0.35">
      <c r="B2902" s="580"/>
      <c r="K2902" s="458"/>
      <c r="L2902" s="704"/>
      <c r="M2902" s="704"/>
      <c r="O2902" s="271"/>
    </row>
    <row r="2903" spans="2:15" x14ac:dyDescent="0.35">
      <c r="B2903" s="580"/>
      <c r="K2903" s="458"/>
      <c r="L2903" s="704"/>
      <c r="M2903" s="704"/>
      <c r="O2903" s="271"/>
    </row>
    <row r="2904" spans="2:15" x14ac:dyDescent="0.35">
      <c r="B2904" s="580"/>
      <c r="K2904" s="458"/>
      <c r="L2904" s="704"/>
      <c r="M2904" s="704"/>
      <c r="O2904" s="271"/>
    </row>
    <row r="2905" spans="2:15" x14ac:dyDescent="0.35">
      <c r="B2905" s="580"/>
      <c r="K2905" s="458"/>
      <c r="L2905" s="704"/>
      <c r="M2905" s="704"/>
      <c r="O2905" s="271"/>
    </row>
    <row r="2906" spans="2:15" x14ac:dyDescent="0.35">
      <c r="B2906" s="580"/>
      <c r="K2906" s="458"/>
      <c r="L2906" s="704"/>
      <c r="M2906" s="704"/>
      <c r="O2906" s="271"/>
    </row>
    <row r="2907" spans="2:15" x14ac:dyDescent="0.35">
      <c r="B2907" s="580"/>
      <c r="K2907" s="458"/>
      <c r="L2907" s="704"/>
      <c r="M2907" s="704"/>
      <c r="O2907" s="271"/>
    </row>
    <row r="2908" spans="2:15" x14ac:dyDescent="0.35">
      <c r="B2908" s="580"/>
      <c r="K2908" s="458"/>
      <c r="L2908" s="704"/>
      <c r="M2908" s="704"/>
      <c r="O2908" s="271"/>
    </row>
    <row r="2909" spans="2:15" x14ac:dyDescent="0.35">
      <c r="B2909" s="580"/>
      <c r="K2909" s="458"/>
      <c r="L2909" s="704"/>
      <c r="M2909" s="704"/>
      <c r="O2909" s="271"/>
    </row>
    <row r="2910" spans="2:15" x14ac:dyDescent="0.35">
      <c r="B2910" s="580"/>
      <c r="K2910" s="458"/>
      <c r="L2910" s="704"/>
      <c r="M2910" s="704"/>
      <c r="O2910" s="271"/>
    </row>
    <row r="2911" spans="2:15" x14ac:dyDescent="0.35">
      <c r="B2911" s="580"/>
      <c r="K2911" s="458"/>
      <c r="L2911" s="704"/>
      <c r="M2911" s="704"/>
      <c r="O2911" s="271"/>
    </row>
    <row r="2912" spans="2:15" x14ac:dyDescent="0.35">
      <c r="B2912" s="580"/>
      <c r="K2912" s="458"/>
      <c r="L2912" s="704"/>
      <c r="M2912" s="704"/>
      <c r="O2912" s="271"/>
    </row>
    <row r="2913" spans="2:15" x14ac:dyDescent="0.35">
      <c r="B2913" s="580"/>
      <c r="K2913" s="458"/>
      <c r="L2913" s="704"/>
      <c r="M2913" s="704"/>
      <c r="O2913" s="271"/>
    </row>
    <row r="2914" spans="2:15" x14ac:dyDescent="0.35">
      <c r="B2914" s="580"/>
      <c r="K2914" s="458"/>
      <c r="L2914" s="704"/>
      <c r="M2914" s="704"/>
      <c r="O2914" s="271"/>
    </row>
    <row r="2915" spans="2:15" x14ac:dyDescent="0.35">
      <c r="B2915" s="580"/>
      <c r="K2915" s="458"/>
      <c r="L2915" s="704"/>
      <c r="M2915" s="704"/>
      <c r="O2915" s="271"/>
    </row>
    <row r="2916" spans="2:15" x14ac:dyDescent="0.35">
      <c r="B2916" s="580"/>
      <c r="K2916" s="458"/>
      <c r="L2916" s="704"/>
      <c r="M2916" s="704"/>
      <c r="O2916" s="271"/>
    </row>
    <row r="2917" spans="2:15" x14ac:dyDescent="0.35">
      <c r="B2917" s="580"/>
      <c r="K2917" s="458"/>
      <c r="L2917" s="704"/>
      <c r="M2917" s="704"/>
      <c r="O2917" s="271"/>
    </row>
    <row r="2918" spans="2:15" x14ac:dyDescent="0.35">
      <c r="B2918" s="580"/>
      <c r="K2918" s="458"/>
      <c r="L2918" s="704"/>
      <c r="M2918" s="704"/>
      <c r="O2918" s="271"/>
    </row>
    <row r="2919" spans="2:15" x14ac:dyDescent="0.35">
      <c r="B2919" s="580"/>
      <c r="K2919" s="458"/>
      <c r="L2919" s="704"/>
      <c r="M2919" s="704"/>
      <c r="O2919" s="271"/>
    </row>
    <row r="2920" spans="2:15" x14ac:dyDescent="0.35">
      <c r="B2920" s="580"/>
      <c r="K2920" s="458"/>
      <c r="L2920" s="704"/>
      <c r="M2920" s="704"/>
      <c r="O2920" s="271"/>
    </row>
    <row r="2921" spans="2:15" x14ac:dyDescent="0.35">
      <c r="B2921" s="580"/>
      <c r="K2921" s="458"/>
      <c r="L2921" s="704"/>
      <c r="M2921" s="704"/>
      <c r="O2921" s="271"/>
    </row>
    <row r="2922" spans="2:15" x14ac:dyDescent="0.35">
      <c r="B2922" s="580"/>
      <c r="K2922" s="458"/>
      <c r="L2922" s="704"/>
      <c r="M2922" s="704"/>
      <c r="O2922" s="271"/>
    </row>
    <row r="2923" spans="2:15" x14ac:dyDescent="0.35">
      <c r="B2923" s="580"/>
      <c r="K2923" s="458"/>
      <c r="L2923" s="704"/>
      <c r="M2923" s="704"/>
      <c r="O2923" s="271"/>
    </row>
    <row r="2924" spans="2:15" x14ac:dyDescent="0.35">
      <c r="B2924" s="580"/>
      <c r="K2924" s="458"/>
      <c r="L2924" s="704"/>
      <c r="M2924" s="704"/>
      <c r="O2924" s="271"/>
    </row>
    <row r="2925" spans="2:15" x14ac:dyDescent="0.35">
      <c r="B2925" s="580"/>
      <c r="K2925" s="458"/>
      <c r="L2925" s="704"/>
      <c r="M2925" s="704"/>
      <c r="O2925" s="271"/>
    </row>
    <row r="2926" spans="2:15" x14ac:dyDescent="0.35">
      <c r="B2926" s="580"/>
      <c r="K2926" s="458"/>
      <c r="L2926" s="704"/>
      <c r="M2926" s="704"/>
      <c r="O2926" s="271"/>
    </row>
    <row r="2927" spans="2:15" x14ac:dyDescent="0.35">
      <c r="B2927" s="580"/>
      <c r="K2927" s="458"/>
      <c r="L2927" s="704"/>
      <c r="M2927" s="704"/>
      <c r="O2927" s="271"/>
    </row>
    <row r="2928" spans="2:15" x14ac:dyDescent="0.35">
      <c r="B2928" s="580"/>
      <c r="K2928" s="458"/>
      <c r="L2928" s="704"/>
      <c r="M2928" s="704"/>
      <c r="O2928" s="271"/>
    </row>
    <row r="2929" spans="2:15" x14ac:dyDescent="0.35">
      <c r="B2929" s="580"/>
      <c r="K2929" s="458"/>
      <c r="L2929" s="704"/>
      <c r="M2929" s="704"/>
      <c r="O2929" s="271"/>
    </row>
    <row r="2930" spans="2:15" x14ac:dyDescent="0.35">
      <c r="B2930" s="580"/>
      <c r="K2930" s="458"/>
      <c r="L2930" s="704"/>
      <c r="M2930" s="704"/>
      <c r="O2930" s="271"/>
    </row>
    <row r="2931" spans="2:15" x14ac:dyDescent="0.35">
      <c r="B2931" s="580"/>
      <c r="K2931" s="458"/>
      <c r="L2931" s="704"/>
      <c r="M2931" s="704"/>
      <c r="O2931" s="271"/>
    </row>
    <row r="2932" spans="2:15" x14ac:dyDescent="0.35">
      <c r="B2932" s="580"/>
      <c r="K2932" s="458"/>
      <c r="L2932" s="704"/>
      <c r="M2932" s="704"/>
      <c r="O2932" s="271"/>
    </row>
    <row r="2933" spans="2:15" x14ac:dyDescent="0.35">
      <c r="B2933" s="580"/>
      <c r="K2933" s="458"/>
      <c r="L2933" s="704"/>
      <c r="M2933" s="704"/>
      <c r="O2933" s="271"/>
    </row>
    <row r="2934" spans="2:15" x14ac:dyDescent="0.35">
      <c r="B2934" s="580"/>
      <c r="K2934" s="458"/>
      <c r="L2934" s="704"/>
      <c r="M2934" s="704"/>
      <c r="O2934" s="271"/>
    </row>
    <row r="2935" spans="2:15" x14ac:dyDescent="0.35">
      <c r="B2935" s="580"/>
      <c r="K2935" s="458"/>
      <c r="L2935" s="704"/>
      <c r="M2935" s="704"/>
      <c r="O2935" s="271"/>
    </row>
    <row r="2936" spans="2:15" x14ac:dyDescent="0.35">
      <c r="B2936" s="580"/>
      <c r="K2936" s="458"/>
      <c r="L2936" s="704"/>
      <c r="M2936" s="704"/>
      <c r="O2936" s="271"/>
    </row>
    <row r="2937" spans="2:15" x14ac:dyDescent="0.35">
      <c r="B2937" s="580"/>
      <c r="K2937" s="458"/>
      <c r="L2937" s="704"/>
      <c r="M2937" s="704"/>
      <c r="O2937" s="271"/>
    </row>
    <row r="2938" spans="2:15" x14ac:dyDescent="0.35">
      <c r="B2938" s="580"/>
      <c r="K2938" s="458"/>
      <c r="L2938" s="704"/>
      <c r="M2938" s="704"/>
      <c r="O2938" s="271"/>
    </row>
    <row r="2939" spans="2:15" x14ac:dyDescent="0.35">
      <c r="B2939" s="580"/>
      <c r="K2939" s="458"/>
      <c r="L2939" s="704"/>
      <c r="M2939" s="704"/>
      <c r="O2939" s="271"/>
    </row>
    <row r="2940" spans="2:15" x14ac:dyDescent="0.35">
      <c r="B2940" s="580"/>
      <c r="K2940" s="458"/>
      <c r="L2940" s="704"/>
      <c r="M2940" s="704"/>
      <c r="O2940" s="271"/>
    </row>
    <row r="2941" spans="2:15" x14ac:dyDescent="0.35">
      <c r="B2941" s="580"/>
      <c r="K2941" s="458"/>
      <c r="L2941" s="704"/>
      <c r="M2941" s="704"/>
      <c r="O2941" s="271"/>
    </row>
    <row r="2942" spans="2:15" x14ac:dyDescent="0.35">
      <c r="B2942" s="580"/>
      <c r="K2942" s="458"/>
      <c r="L2942" s="704"/>
      <c r="M2942" s="704"/>
      <c r="O2942" s="271"/>
    </row>
    <row r="2943" spans="2:15" x14ac:dyDescent="0.35">
      <c r="B2943" s="580"/>
      <c r="K2943" s="458"/>
      <c r="L2943" s="704"/>
      <c r="M2943" s="704"/>
      <c r="O2943" s="271"/>
    </row>
    <row r="2944" spans="2:15" x14ac:dyDescent="0.35">
      <c r="B2944" s="580"/>
      <c r="K2944" s="458"/>
      <c r="L2944" s="704"/>
      <c r="M2944" s="704"/>
      <c r="O2944" s="271"/>
    </row>
    <row r="2945" spans="2:15" x14ac:dyDescent="0.35">
      <c r="B2945" s="580"/>
      <c r="K2945" s="458"/>
      <c r="L2945" s="704"/>
      <c r="M2945" s="704"/>
      <c r="O2945" s="271"/>
    </row>
    <row r="2946" spans="2:15" x14ac:dyDescent="0.35">
      <c r="B2946" s="580"/>
      <c r="K2946" s="458"/>
      <c r="L2946" s="704"/>
      <c r="M2946" s="704"/>
      <c r="O2946" s="271"/>
    </row>
    <row r="2947" spans="2:15" x14ac:dyDescent="0.35">
      <c r="B2947" s="580"/>
      <c r="K2947" s="458"/>
      <c r="L2947" s="704"/>
      <c r="M2947" s="704"/>
      <c r="O2947" s="271"/>
    </row>
    <row r="2948" spans="2:15" x14ac:dyDescent="0.35">
      <c r="B2948" s="580"/>
      <c r="K2948" s="458"/>
      <c r="L2948" s="704"/>
      <c r="M2948" s="704"/>
      <c r="O2948" s="271"/>
    </row>
    <row r="2949" spans="2:15" x14ac:dyDescent="0.35">
      <c r="B2949" s="580"/>
      <c r="K2949" s="458"/>
      <c r="L2949" s="704"/>
      <c r="M2949" s="704"/>
      <c r="O2949" s="271"/>
    </row>
    <row r="2950" spans="2:15" x14ac:dyDescent="0.35">
      <c r="B2950" s="580"/>
      <c r="K2950" s="458"/>
      <c r="L2950" s="704"/>
      <c r="M2950" s="704"/>
      <c r="O2950" s="271"/>
    </row>
    <row r="2951" spans="2:15" x14ac:dyDescent="0.35">
      <c r="B2951" s="580"/>
      <c r="K2951" s="458"/>
      <c r="L2951" s="704"/>
      <c r="M2951" s="704"/>
      <c r="O2951" s="271"/>
    </row>
    <row r="2952" spans="2:15" x14ac:dyDescent="0.35">
      <c r="B2952" s="580"/>
      <c r="K2952" s="458"/>
      <c r="L2952" s="704"/>
      <c r="M2952" s="704"/>
      <c r="O2952" s="271"/>
    </row>
    <row r="2953" spans="2:15" x14ac:dyDescent="0.35">
      <c r="B2953" s="580"/>
      <c r="K2953" s="458"/>
      <c r="L2953" s="704"/>
      <c r="M2953" s="704"/>
      <c r="O2953" s="271"/>
    </row>
    <row r="2954" spans="2:15" x14ac:dyDescent="0.35">
      <c r="B2954" s="580"/>
      <c r="K2954" s="458"/>
      <c r="L2954" s="704"/>
      <c r="M2954" s="704"/>
      <c r="O2954" s="271"/>
    </row>
    <row r="2955" spans="2:15" x14ac:dyDescent="0.35">
      <c r="B2955" s="580"/>
      <c r="K2955" s="458"/>
      <c r="L2955" s="704"/>
      <c r="M2955" s="704"/>
      <c r="O2955" s="271"/>
    </row>
    <row r="2956" spans="2:15" x14ac:dyDescent="0.35">
      <c r="B2956" s="580"/>
      <c r="K2956" s="458"/>
      <c r="L2956" s="704"/>
      <c r="M2956" s="704"/>
      <c r="O2956" s="271"/>
    </row>
    <row r="2957" spans="2:15" x14ac:dyDescent="0.35">
      <c r="B2957" s="580"/>
      <c r="K2957" s="458"/>
      <c r="L2957" s="704"/>
      <c r="M2957" s="704"/>
      <c r="O2957" s="271"/>
    </row>
    <row r="2958" spans="2:15" x14ac:dyDescent="0.35">
      <c r="B2958" s="580"/>
      <c r="K2958" s="458"/>
      <c r="L2958" s="704"/>
      <c r="M2958" s="704"/>
      <c r="O2958" s="271"/>
    </row>
    <row r="2959" spans="2:15" x14ac:dyDescent="0.35">
      <c r="B2959" s="580"/>
      <c r="K2959" s="458"/>
      <c r="L2959" s="704"/>
      <c r="M2959" s="704"/>
      <c r="O2959" s="271"/>
    </row>
    <row r="2960" spans="2:15" x14ac:dyDescent="0.35">
      <c r="B2960" s="580"/>
      <c r="K2960" s="458"/>
      <c r="L2960" s="704"/>
      <c r="M2960" s="704"/>
      <c r="O2960" s="271"/>
    </row>
    <row r="2961" spans="2:15" x14ac:dyDescent="0.35">
      <c r="B2961" s="580"/>
      <c r="K2961" s="458"/>
      <c r="L2961" s="704"/>
      <c r="M2961" s="704"/>
      <c r="O2961" s="271"/>
    </row>
    <row r="2962" spans="2:15" x14ac:dyDescent="0.35">
      <c r="B2962" s="580"/>
      <c r="K2962" s="458"/>
      <c r="L2962" s="704"/>
      <c r="M2962" s="704"/>
      <c r="O2962" s="271"/>
    </row>
    <row r="2963" spans="2:15" x14ac:dyDescent="0.35">
      <c r="B2963" s="580"/>
      <c r="K2963" s="458"/>
      <c r="L2963" s="704"/>
      <c r="M2963" s="704"/>
      <c r="O2963" s="271"/>
    </row>
    <row r="2964" spans="2:15" x14ac:dyDescent="0.35">
      <c r="B2964" s="580"/>
      <c r="K2964" s="458"/>
      <c r="L2964" s="704"/>
      <c r="M2964" s="704"/>
      <c r="O2964" s="271"/>
    </row>
    <row r="2965" spans="2:15" x14ac:dyDescent="0.35">
      <c r="B2965" s="580"/>
      <c r="K2965" s="458"/>
      <c r="L2965" s="704"/>
      <c r="M2965" s="704"/>
      <c r="O2965" s="271"/>
    </row>
    <row r="2966" spans="2:15" x14ac:dyDescent="0.35">
      <c r="B2966" s="580"/>
      <c r="K2966" s="458"/>
      <c r="L2966" s="704"/>
      <c r="M2966" s="704"/>
      <c r="O2966" s="271"/>
    </row>
    <row r="2967" spans="2:15" x14ac:dyDescent="0.35">
      <c r="B2967" s="580"/>
      <c r="K2967" s="458"/>
      <c r="L2967" s="704"/>
      <c r="M2967" s="704"/>
      <c r="O2967" s="271"/>
    </row>
    <row r="2968" spans="2:15" x14ac:dyDescent="0.35">
      <c r="B2968" s="580"/>
      <c r="K2968" s="458"/>
      <c r="L2968" s="704"/>
      <c r="M2968" s="704"/>
      <c r="O2968" s="271"/>
    </row>
    <row r="2969" spans="2:15" x14ac:dyDescent="0.35">
      <c r="B2969" s="580"/>
      <c r="K2969" s="458"/>
      <c r="L2969" s="704"/>
      <c r="M2969" s="704"/>
      <c r="O2969" s="271"/>
    </row>
    <row r="2970" spans="2:15" x14ac:dyDescent="0.35">
      <c r="B2970" s="580"/>
      <c r="K2970" s="458"/>
      <c r="L2970" s="704"/>
      <c r="M2970" s="704"/>
      <c r="O2970" s="271"/>
    </row>
    <row r="2971" spans="2:15" x14ac:dyDescent="0.35">
      <c r="B2971" s="580"/>
      <c r="K2971" s="458"/>
      <c r="L2971" s="704"/>
      <c r="M2971" s="704"/>
      <c r="O2971" s="271"/>
    </row>
    <row r="2972" spans="2:15" x14ac:dyDescent="0.35">
      <c r="B2972" s="580"/>
      <c r="K2972" s="458"/>
      <c r="L2972" s="704"/>
      <c r="M2972" s="704"/>
      <c r="O2972" s="271"/>
    </row>
    <row r="2973" spans="2:15" x14ac:dyDescent="0.35">
      <c r="B2973" s="580"/>
      <c r="K2973" s="458"/>
      <c r="L2973" s="704"/>
      <c r="M2973" s="704"/>
      <c r="O2973" s="271"/>
    </row>
    <row r="2974" spans="2:15" x14ac:dyDescent="0.35">
      <c r="B2974" s="580"/>
      <c r="K2974" s="458"/>
      <c r="L2974" s="704"/>
      <c r="M2974" s="704"/>
      <c r="O2974" s="271"/>
    </row>
    <row r="2975" spans="2:15" x14ac:dyDescent="0.35">
      <c r="B2975" s="580"/>
      <c r="K2975" s="458"/>
      <c r="L2975" s="704"/>
      <c r="M2975" s="704"/>
      <c r="O2975" s="271"/>
    </row>
    <row r="2976" spans="2:15" x14ac:dyDescent="0.35">
      <c r="B2976" s="580"/>
      <c r="K2976" s="458"/>
      <c r="L2976" s="704"/>
      <c r="M2976" s="704"/>
      <c r="O2976" s="271"/>
    </row>
    <row r="2977" spans="2:15" x14ac:dyDescent="0.35">
      <c r="B2977" s="580"/>
      <c r="K2977" s="458"/>
      <c r="L2977" s="704"/>
      <c r="M2977" s="704"/>
      <c r="O2977" s="271"/>
    </row>
    <row r="2978" spans="2:15" x14ac:dyDescent="0.35">
      <c r="B2978" s="580"/>
      <c r="K2978" s="458"/>
      <c r="L2978" s="704"/>
      <c r="M2978" s="704"/>
      <c r="O2978" s="271"/>
    </row>
    <row r="2979" spans="2:15" x14ac:dyDescent="0.35">
      <c r="B2979" s="580"/>
      <c r="K2979" s="458"/>
      <c r="L2979" s="704"/>
      <c r="M2979" s="704"/>
      <c r="O2979" s="271"/>
    </row>
    <row r="2980" spans="2:15" x14ac:dyDescent="0.35">
      <c r="B2980" s="580"/>
      <c r="K2980" s="458"/>
      <c r="L2980" s="704"/>
      <c r="M2980" s="704"/>
      <c r="O2980" s="271"/>
    </row>
    <row r="2981" spans="2:15" x14ac:dyDescent="0.35">
      <c r="B2981" s="580"/>
      <c r="K2981" s="458"/>
      <c r="L2981" s="704"/>
      <c r="M2981" s="704"/>
      <c r="O2981" s="271"/>
    </row>
    <row r="2982" spans="2:15" x14ac:dyDescent="0.35">
      <c r="B2982" s="580"/>
      <c r="K2982" s="458"/>
      <c r="L2982" s="704"/>
      <c r="M2982" s="704"/>
      <c r="O2982" s="271"/>
    </row>
    <row r="2983" spans="2:15" x14ac:dyDescent="0.35">
      <c r="B2983" s="580"/>
      <c r="K2983" s="458"/>
      <c r="L2983" s="704"/>
      <c r="M2983" s="704"/>
      <c r="O2983" s="271"/>
    </row>
    <row r="2984" spans="2:15" x14ac:dyDescent="0.35">
      <c r="B2984" s="580"/>
      <c r="K2984" s="458"/>
      <c r="L2984" s="704"/>
      <c r="M2984" s="704"/>
      <c r="O2984" s="271"/>
    </row>
    <row r="2985" spans="2:15" x14ac:dyDescent="0.35">
      <c r="B2985" s="580"/>
      <c r="K2985" s="458"/>
      <c r="L2985" s="704"/>
      <c r="M2985" s="704"/>
      <c r="O2985" s="271"/>
    </row>
    <row r="2986" spans="2:15" x14ac:dyDescent="0.35">
      <c r="B2986" s="580"/>
      <c r="K2986" s="458"/>
      <c r="L2986" s="704"/>
      <c r="M2986" s="704"/>
      <c r="O2986" s="271"/>
    </row>
    <row r="2987" spans="2:15" x14ac:dyDescent="0.35">
      <c r="B2987" s="580"/>
      <c r="K2987" s="458"/>
      <c r="L2987" s="704"/>
      <c r="M2987" s="704"/>
      <c r="O2987" s="271"/>
    </row>
    <row r="2988" spans="2:15" x14ac:dyDescent="0.35">
      <c r="B2988" s="580"/>
      <c r="K2988" s="458"/>
      <c r="L2988" s="704"/>
      <c r="M2988" s="704"/>
      <c r="O2988" s="271"/>
    </row>
    <row r="2989" spans="2:15" x14ac:dyDescent="0.35">
      <c r="B2989" s="580"/>
      <c r="K2989" s="458"/>
      <c r="L2989" s="704"/>
      <c r="M2989" s="704"/>
      <c r="O2989" s="271"/>
    </row>
    <row r="2990" spans="2:15" x14ac:dyDescent="0.35">
      <c r="B2990" s="580"/>
      <c r="K2990" s="458"/>
      <c r="L2990" s="704"/>
      <c r="M2990" s="704"/>
      <c r="O2990" s="271"/>
    </row>
    <row r="2991" spans="2:15" x14ac:dyDescent="0.35">
      <c r="B2991" s="580"/>
      <c r="K2991" s="458"/>
      <c r="L2991" s="704"/>
      <c r="M2991" s="704"/>
      <c r="O2991" s="271"/>
    </row>
    <row r="2992" spans="2:15" x14ac:dyDescent="0.35">
      <c r="B2992" s="580"/>
      <c r="K2992" s="458"/>
      <c r="L2992" s="704"/>
      <c r="M2992" s="704"/>
      <c r="O2992" s="271"/>
    </row>
    <row r="2993" spans="2:15" x14ac:dyDescent="0.35">
      <c r="B2993" s="580"/>
      <c r="K2993" s="458"/>
      <c r="L2993" s="704"/>
      <c r="M2993" s="704"/>
      <c r="O2993" s="271"/>
    </row>
    <row r="2994" spans="2:15" x14ac:dyDescent="0.35">
      <c r="B2994" s="580"/>
      <c r="K2994" s="458"/>
      <c r="L2994" s="704"/>
      <c r="M2994" s="704"/>
      <c r="O2994" s="271"/>
    </row>
    <row r="2995" spans="2:15" x14ac:dyDescent="0.35">
      <c r="B2995" s="580"/>
      <c r="K2995" s="458"/>
      <c r="L2995" s="704"/>
      <c r="M2995" s="704"/>
      <c r="O2995" s="271"/>
    </row>
    <row r="2996" spans="2:15" x14ac:dyDescent="0.35">
      <c r="B2996" s="580"/>
      <c r="K2996" s="458"/>
      <c r="L2996" s="704"/>
      <c r="M2996" s="704"/>
      <c r="O2996" s="271"/>
    </row>
    <row r="2997" spans="2:15" x14ac:dyDescent="0.35">
      <c r="B2997" s="580"/>
      <c r="K2997" s="458"/>
      <c r="L2997" s="704"/>
      <c r="M2997" s="704"/>
      <c r="O2997" s="271"/>
    </row>
    <row r="2998" spans="2:15" x14ac:dyDescent="0.35">
      <c r="B2998" s="580"/>
      <c r="K2998" s="458"/>
      <c r="L2998" s="704"/>
      <c r="M2998" s="704"/>
      <c r="O2998" s="271"/>
    </row>
    <row r="2999" spans="2:15" x14ac:dyDescent="0.35">
      <c r="B2999" s="580"/>
      <c r="K2999" s="458"/>
      <c r="L2999" s="704"/>
      <c r="M2999" s="704"/>
      <c r="O2999" s="271"/>
    </row>
    <row r="3000" spans="2:15" x14ac:dyDescent="0.35">
      <c r="B3000" s="580"/>
      <c r="K3000" s="458"/>
      <c r="L3000" s="704"/>
      <c r="M3000" s="704"/>
      <c r="O3000" s="271"/>
    </row>
    <row r="3001" spans="2:15" x14ac:dyDescent="0.35">
      <c r="B3001" s="580"/>
      <c r="K3001" s="458"/>
      <c r="L3001" s="704"/>
      <c r="M3001" s="704"/>
      <c r="O3001" s="271"/>
    </row>
    <row r="3002" spans="2:15" x14ac:dyDescent="0.35">
      <c r="B3002" s="580"/>
      <c r="K3002" s="458"/>
      <c r="L3002" s="704"/>
      <c r="M3002" s="704"/>
      <c r="O3002" s="271"/>
    </row>
    <row r="3003" spans="2:15" x14ac:dyDescent="0.35">
      <c r="B3003" s="580"/>
      <c r="K3003" s="458"/>
      <c r="L3003" s="704"/>
      <c r="M3003" s="704"/>
      <c r="O3003" s="271"/>
    </row>
    <row r="3004" spans="2:15" x14ac:dyDescent="0.35">
      <c r="B3004" s="580"/>
      <c r="K3004" s="458"/>
      <c r="L3004" s="704"/>
      <c r="M3004" s="704"/>
      <c r="O3004" s="271"/>
    </row>
    <row r="3005" spans="2:15" x14ac:dyDescent="0.35">
      <c r="B3005" s="580"/>
      <c r="K3005" s="458"/>
      <c r="L3005" s="704"/>
      <c r="M3005" s="704"/>
      <c r="O3005" s="271"/>
    </row>
    <row r="3006" spans="2:15" x14ac:dyDescent="0.35">
      <c r="B3006" s="580"/>
      <c r="K3006" s="458"/>
      <c r="L3006" s="704"/>
      <c r="M3006" s="704"/>
      <c r="O3006" s="271"/>
    </row>
    <row r="3007" spans="2:15" x14ac:dyDescent="0.35">
      <c r="B3007" s="580"/>
      <c r="K3007" s="458"/>
      <c r="L3007" s="704"/>
      <c r="M3007" s="704"/>
      <c r="O3007" s="271"/>
    </row>
    <row r="3008" spans="2:15" x14ac:dyDescent="0.35">
      <c r="B3008" s="580"/>
      <c r="K3008" s="458"/>
      <c r="L3008" s="704"/>
      <c r="M3008" s="704"/>
      <c r="O3008" s="271"/>
    </row>
    <row r="3009" spans="2:15" x14ac:dyDescent="0.35">
      <c r="B3009" s="580"/>
      <c r="K3009" s="458"/>
      <c r="L3009" s="704"/>
      <c r="M3009" s="704"/>
      <c r="O3009" s="271"/>
    </row>
    <row r="3010" spans="2:15" x14ac:dyDescent="0.35">
      <c r="B3010" s="580"/>
      <c r="K3010" s="458"/>
      <c r="L3010" s="704"/>
      <c r="M3010" s="704"/>
      <c r="O3010" s="271"/>
    </row>
    <row r="3011" spans="2:15" x14ac:dyDescent="0.35">
      <c r="B3011" s="580"/>
      <c r="K3011" s="458"/>
      <c r="L3011" s="704"/>
      <c r="M3011" s="704"/>
      <c r="O3011" s="271"/>
    </row>
    <row r="3012" spans="2:15" x14ac:dyDescent="0.35">
      <c r="B3012" s="580"/>
      <c r="K3012" s="458"/>
      <c r="L3012" s="704"/>
      <c r="M3012" s="704"/>
      <c r="O3012" s="271"/>
    </row>
    <row r="3013" spans="2:15" x14ac:dyDescent="0.35">
      <c r="B3013" s="580"/>
      <c r="K3013" s="458"/>
      <c r="L3013" s="704"/>
      <c r="M3013" s="704"/>
      <c r="O3013" s="271"/>
    </row>
    <row r="3014" spans="2:15" x14ac:dyDescent="0.35">
      <c r="B3014" s="580"/>
      <c r="K3014" s="458"/>
      <c r="L3014" s="704"/>
      <c r="M3014" s="704"/>
      <c r="O3014" s="271"/>
    </row>
    <row r="3015" spans="2:15" x14ac:dyDescent="0.35">
      <c r="B3015" s="580"/>
      <c r="K3015" s="458"/>
      <c r="L3015" s="704"/>
      <c r="M3015" s="704"/>
      <c r="O3015" s="271"/>
    </row>
    <row r="3016" spans="2:15" x14ac:dyDescent="0.35">
      <c r="B3016" s="580"/>
      <c r="K3016" s="458"/>
      <c r="L3016" s="704"/>
      <c r="M3016" s="704"/>
      <c r="O3016" s="271"/>
    </row>
    <row r="3017" spans="2:15" x14ac:dyDescent="0.35">
      <c r="B3017" s="580"/>
      <c r="K3017" s="458"/>
      <c r="L3017" s="704"/>
      <c r="M3017" s="704"/>
      <c r="O3017" s="271"/>
    </row>
    <row r="3018" spans="2:15" x14ac:dyDescent="0.35">
      <c r="B3018" s="580"/>
      <c r="K3018" s="458"/>
      <c r="L3018" s="704"/>
      <c r="M3018" s="704"/>
      <c r="O3018" s="271"/>
    </row>
    <row r="3019" spans="2:15" x14ac:dyDescent="0.35">
      <c r="B3019" s="580"/>
      <c r="K3019" s="458"/>
      <c r="L3019" s="704"/>
      <c r="M3019" s="704"/>
      <c r="O3019" s="271"/>
    </row>
    <row r="3020" spans="2:15" x14ac:dyDescent="0.35">
      <c r="B3020" s="580"/>
      <c r="K3020" s="458"/>
      <c r="L3020" s="704"/>
      <c r="M3020" s="704"/>
      <c r="O3020" s="271"/>
    </row>
    <row r="3021" spans="2:15" x14ac:dyDescent="0.35">
      <c r="B3021" s="580"/>
      <c r="K3021" s="458"/>
      <c r="L3021" s="704"/>
      <c r="M3021" s="704"/>
      <c r="O3021" s="271"/>
    </row>
    <row r="3022" spans="2:15" x14ac:dyDescent="0.35">
      <c r="B3022" s="580"/>
      <c r="K3022" s="458"/>
      <c r="L3022" s="704"/>
      <c r="M3022" s="704"/>
      <c r="O3022" s="271"/>
    </row>
    <row r="3023" spans="2:15" x14ac:dyDescent="0.35">
      <c r="B3023" s="580"/>
      <c r="K3023" s="458"/>
      <c r="L3023" s="704"/>
      <c r="M3023" s="704"/>
      <c r="O3023" s="271"/>
    </row>
    <row r="3024" spans="2:15" x14ac:dyDescent="0.35">
      <c r="B3024" s="580"/>
      <c r="K3024" s="458"/>
      <c r="L3024" s="704"/>
      <c r="M3024" s="704"/>
      <c r="O3024" s="271"/>
    </row>
    <row r="3025" spans="2:15" x14ac:dyDescent="0.35">
      <c r="B3025" s="580"/>
      <c r="K3025" s="458"/>
      <c r="L3025" s="704"/>
      <c r="M3025" s="704"/>
      <c r="O3025" s="271"/>
    </row>
    <row r="3026" spans="2:15" x14ac:dyDescent="0.35">
      <c r="B3026" s="580"/>
      <c r="K3026" s="458"/>
      <c r="L3026" s="704"/>
      <c r="M3026" s="704"/>
      <c r="O3026" s="271"/>
    </row>
    <row r="3027" spans="2:15" x14ac:dyDescent="0.35">
      <c r="B3027" s="580"/>
      <c r="K3027" s="458"/>
      <c r="L3027" s="704"/>
      <c r="M3027" s="704"/>
      <c r="O3027" s="271"/>
    </row>
    <row r="3028" spans="2:15" x14ac:dyDescent="0.35">
      <c r="B3028" s="580"/>
      <c r="K3028" s="458"/>
      <c r="L3028" s="704"/>
      <c r="M3028" s="704"/>
      <c r="O3028" s="271"/>
    </row>
    <row r="3029" spans="2:15" x14ac:dyDescent="0.35">
      <c r="B3029" s="580"/>
      <c r="K3029" s="458"/>
      <c r="L3029" s="704"/>
      <c r="M3029" s="704"/>
      <c r="O3029" s="271"/>
    </row>
    <row r="3030" spans="2:15" x14ac:dyDescent="0.35">
      <c r="B3030" s="580"/>
      <c r="K3030" s="458"/>
      <c r="L3030" s="704"/>
      <c r="M3030" s="704"/>
      <c r="O3030" s="271"/>
    </row>
    <row r="3031" spans="2:15" x14ac:dyDescent="0.35">
      <c r="B3031" s="580"/>
      <c r="K3031" s="458"/>
      <c r="L3031" s="704"/>
      <c r="M3031" s="704"/>
      <c r="O3031" s="271"/>
    </row>
    <row r="3032" spans="2:15" x14ac:dyDescent="0.35">
      <c r="B3032" s="580"/>
      <c r="K3032" s="458"/>
      <c r="L3032" s="704"/>
      <c r="M3032" s="704"/>
      <c r="O3032" s="271"/>
    </row>
    <row r="3033" spans="2:15" x14ac:dyDescent="0.35">
      <c r="B3033" s="580"/>
      <c r="K3033" s="458"/>
      <c r="L3033" s="704"/>
      <c r="M3033" s="704"/>
      <c r="O3033" s="271"/>
    </row>
    <row r="3034" spans="2:15" x14ac:dyDescent="0.35">
      <c r="B3034" s="580"/>
      <c r="K3034" s="458"/>
      <c r="L3034" s="704"/>
      <c r="M3034" s="704"/>
      <c r="O3034" s="271"/>
    </row>
    <row r="3035" spans="2:15" x14ac:dyDescent="0.35">
      <c r="B3035" s="580"/>
      <c r="K3035" s="458"/>
      <c r="L3035" s="704"/>
      <c r="M3035" s="704"/>
      <c r="O3035" s="271"/>
    </row>
    <row r="3036" spans="2:15" x14ac:dyDescent="0.35">
      <c r="B3036" s="580"/>
      <c r="K3036" s="458"/>
      <c r="L3036" s="704"/>
      <c r="M3036" s="704"/>
      <c r="O3036" s="271"/>
    </row>
    <row r="3037" spans="2:15" x14ac:dyDescent="0.35">
      <c r="B3037" s="580"/>
      <c r="K3037" s="458"/>
      <c r="L3037" s="704"/>
      <c r="M3037" s="704"/>
      <c r="O3037" s="271"/>
    </row>
    <row r="3038" spans="2:15" x14ac:dyDescent="0.35">
      <c r="B3038" s="580"/>
      <c r="K3038" s="458"/>
      <c r="L3038" s="704"/>
      <c r="M3038" s="704"/>
      <c r="O3038" s="271"/>
    </row>
    <row r="3039" spans="2:15" x14ac:dyDescent="0.35">
      <c r="B3039" s="580"/>
      <c r="K3039" s="458"/>
      <c r="L3039" s="704"/>
      <c r="M3039" s="704"/>
      <c r="O3039" s="271"/>
    </row>
    <row r="3040" spans="2:15" x14ac:dyDescent="0.35">
      <c r="B3040" s="580"/>
      <c r="K3040" s="458"/>
      <c r="L3040" s="704"/>
      <c r="M3040" s="704"/>
      <c r="O3040" s="271"/>
    </row>
    <row r="3041" spans="2:15" x14ac:dyDescent="0.35">
      <c r="B3041" s="580"/>
      <c r="K3041" s="458"/>
      <c r="L3041" s="704"/>
      <c r="M3041" s="704"/>
      <c r="O3041" s="271"/>
    </row>
    <row r="3042" spans="2:15" x14ac:dyDescent="0.35">
      <c r="B3042" s="580"/>
      <c r="K3042" s="458"/>
      <c r="L3042" s="704"/>
      <c r="M3042" s="704"/>
      <c r="O3042" s="271"/>
    </row>
    <row r="3043" spans="2:15" x14ac:dyDescent="0.35">
      <c r="B3043" s="580"/>
      <c r="K3043" s="458"/>
      <c r="L3043" s="704"/>
      <c r="M3043" s="704"/>
      <c r="O3043" s="271"/>
    </row>
    <row r="3044" spans="2:15" x14ac:dyDescent="0.35">
      <c r="B3044" s="580"/>
      <c r="K3044" s="458"/>
      <c r="L3044" s="704"/>
      <c r="M3044" s="704"/>
      <c r="O3044" s="271"/>
    </row>
    <row r="3045" spans="2:15" x14ac:dyDescent="0.35">
      <c r="B3045" s="580"/>
      <c r="K3045" s="458"/>
      <c r="L3045" s="704"/>
      <c r="M3045" s="704"/>
      <c r="O3045" s="271"/>
    </row>
    <row r="3046" spans="2:15" x14ac:dyDescent="0.35">
      <c r="B3046" s="580"/>
      <c r="K3046" s="458"/>
      <c r="L3046" s="704"/>
      <c r="M3046" s="704"/>
      <c r="O3046" s="271"/>
    </row>
    <row r="3047" spans="2:15" x14ac:dyDescent="0.35">
      <c r="B3047" s="580"/>
      <c r="K3047" s="458"/>
      <c r="L3047" s="704"/>
      <c r="M3047" s="704"/>
      <c r="O3047" s="271"/>
    </row>
    <row r="3048" spans="2:15" x14ac:dyDescent="0.35">
      <c r="B3048" s="580"/>
      <c r="K3048" s="458"/>
      <c r="L3048" s="704"/>
      <c r="M3048" s="704"/>
      <c r="O3048" s="271"/>
    </row>
    <row r="3049" spans="2:15" x14ac:dyDescent="0.35">
      <c r="B3049" s="580"/>
      <c r="K3049" s="458"/>
      <c r="L3049" s="704"/>
      <c r="M3049" s="704"/>
      <c r="O3049" s="271"/>
    </row>
    <row r="3050" spans="2:15" x14ac:dyDescent="0.35">
      <c r="B3050" s="580"/>
      <c r="K3050" s="458"/>
      <c r="L3050" s="704"/>
      <c r="M3050" s="704"/>
      <c r="O3050" s="271"/>
    </row>
    <row r="3051" spans="2:15" x14ac:dyDescent="0.35">
      <c r="B3051" s="580"/>
      <c r="K3051" s="458"/>
      <c r="L3051" s="704"/>
      <c r="M3051" s="704"/>
      <c r="O3051" s="271"/>
    </row>
    <row r="3052" spans="2:15" x14ac:dyDescent="0.35">
      <c r="B3052" s="580"/>
      <c r="K3052" s="458"/>
      <c r="L3052" s="704"/>
      <c r="M3052" s="704"/>
      <c r="O3052" s="271"/>
    </row>
    <row r="3053" spans="2:15" x14ac:dyDescent="0.35">
      <c r="B3053" s="580"/>
      <c r="K3053" s="458"/>
      <c r="L3053" s="704"/>
      <c r="M3053" s="704"/>
      <c r="O3053" s="271"/>
    </row>
    <row r="3054" spans="2:15" x14ac:dyDescent="0.35">
      <c r="B3054" s="580"/>
      <c r="K3054" s="458"/>
      <c r="L3054" s="704"/>
      <c r="M3054" s="704"/>
      <c r="O3054" s="271"/>
    </row>
    <row r="3055" spans="2:15" x14ac:dyDescent="0.35">
      <c r="B3055" s="580"/>
      <c r="K3055" s="458"/>
      <c r="L3055" s="704"/>
      <c r="M3055" s="704"/>
      <c r="O3055" s="271"/>
    </row>
    <row r="3056" spans="2:15" x14ac:dyDescent="0.35">
      <c r="B3056" s="580"/>
      <c r="K3056" s="458"/>
      <c r="L3056" s="704"/>
      <c r="M3056" s="704"/>
      <c r="O3056" s="271"/>
    </row>
    <row r="3057" spans="2:15" x14ac:dyDescent="0.35">
      <c r="B3057" s="580"/>
      <c r="K3057" s="458"/>
      <c r="L3057" s="704"/>
      <c r="M3057" s="704"/>
      <c r="O3057" s="271"/>
    </row>
    <row r="3058" spans="2:15" x14ac:dyDescent="0.35">
      <c r="B3058" s="580"/>
      <c r="K3058" s="458"/>
      <c r="L3058" s="704"/>
      <c r="M3058" s="704"/>
      <c r="O3058" s="271"/>
    </row>
    <row r="3059" spans="2:15" x14ac:dyDescent="0.35">
      <c r="B3059" s="580"/>
      <c r="K3059" s="458"/>
      <c r="L3059" s="704"/>
      <c r="M3059" s="704"/>
      <c r="O3059" s="271"/>
    </row>
    <row r="3060" spans="2:15" x14ac:dyDescent="0.35">
      <c r="B3060" s="580"/>
      <c r="K3060" s="458"/>
      <c r="L3060" s="704"/>
      <c r="M3060" s="704"/>
      <c r="O3060" s="271"/>
    </row>
    <row r="3061" spans="2:15" x14ac:dyDescent="0.35">
      <c r="B3061" s="580"/>
      <c r="K3061" s="458"/>
      <c r="L3061" s="704"/>
      <c r="M3061" s="704"/>
      <c r="O3061" s="271"/>
    </row>
    <row r="3062" spans="2:15" x14ac:dyDescent="0.35">
      <c r="B3062" s="580"/>
      <c r="K3062" s="458"/>
      <c r="L3062" s="704"/>
      <c r="M3062" s="704"/>
      <c r="O3062" s="271"/>
    </row>
    <row r="3063" spans="2:15" x14ac:dyDescent="0.35">
      <c r="B3063" s="580"/>
      <c r="K3063" s="458"/>
      <c r="L3063" s="704"/>
      <c r="M3063" s="704"/>
      <c r="O3063" s="271"/>
    </row>
    <row r="3064" spans="2:15" x14ac:dyDescent="0.35">
      <c r="B3064" s="580"/>
      <c r="K3064" s="458"/>
      <c r="L3064" s="704"/>
      <c r="M3064" s="704"/>
      <c r="O3064" s="271"/>
    </row>
    <row r="3065" spans="2:15" x14ac:dyDescent="0.35">
      <c r="B3065" s="580"/>
      <c r="K3065" s="458"/>
      <c r="L3065" s="704"/>
      <c r="M3065" s="704"/>
      <c r="O3065" s="271"/>
    </row>
    <row r="3066" spans="2:15" x14ac:dyDescent="0.35">
      <c r="B3066" s="580"/>
      <c r="K3066" s="458"/>
      <c r="L3066" s="704"/>
      <c r="M3066" s="704"/>
      <c r="O3066" s="271"/>
    </row>
    <row r="3067" spans="2:15" x14ac:dyDescent="0.35">
      <c r="B3067" s="580"/>
      <c r="K3067" s="458"/>
      <c r="L3067" s="704"/>
      <c r="M3067" s="704"/>
      <c r="O3067" s="271"/>
    </row>
    <row r="3068" spans="2:15" x14ac:dyDescent="0.35">
      <c r="B3068" s="580"/>
      <c r="K3068" s="458"/>
      <c r="L3068" s="704"/>
      <c r="M3068" s="704"/>
      <c r="O3068" s="271"/>
    </row>
    <row r="3069" spans="2:15" x14ac:dyDescent="0.35">
      <c r="B3069" s="580"/>
      <c r="K3069" s="458"/>
      <c r="L3069" s="704"/>
      <c r="M3069" s="704"/>
      <c r="O3069" s="271"/>
    </row>
    <row r="3070" spans="2:15" x14ac:dyDescent="0.35">
      <c r="B3070" s="580"/>
      <c r="K3070" s="458"/>
      <c r="L3070" s="704"/>
      <c r="M3070" s="704"/>
      <c r="O3070" s="271"/>
    </row>
    <row r="3071" spans="2:15" x14ac:dyDescent="0.35">
      <c r="B3071" s="580"/>
      <c r="K3071" s="458"/>
      <c r="L3071" s="704"/>
      <c r="M3071" s="704"/>
      <c r="O3071" s="271"/>
    </row>
    <row r="3072" spans="2:15" x14ac:dyDescent="0.35">
      <c r="B3072" s="580"/>
      <c r="K3072" s="458"/>
      <c r="L3072" s="704"/>
      <c r="M3072" s="704"/>
      <c r="O3072" s="271"/>
    </row>
    <row r="3073" spans="2:15" x14ac:dyDescent="0.35">
      <c r="B3073" s="580"/>
      <c r="K3073" s="458"/>
      <c r="L3073" s="704"/>
      <c r="M3073" s="704"/>
      <c r="O3073" s="271"/>
    </row>
    <row r="3074" spans="2:15" x14ac:dyDescent="0.35">
      <c r="B3074" s="580"/>
      <c r="K3074" s="458"/>
      <c r="L3074" s="704"/>
      <c r="M3074" s="704"/>
      <c r="O3074" s="271"/>
    </row>
    <row r="3075" spans="2:15" x14ac:dyDescent="0.35">
      <c r="B3075" s="580"/>
      <c r="K3075" s="458"/>
      <c r="L3075" s="704"/>
      <c r="M3075" s="704"/>
      <c r="O3075" s="271"/>
    </row>
    <row r="3076" spans="2:15" x14ac:dyDescent="0.35">
      <c r="B3076" s="580"/>
      <c r="K3076" s="458"/>
      <c r="L3076" s="704"/>
      <c r="M3076" s="704"/>
      <c r="O3076" s="271"/>
    </row>
    <row r="3077" spans="2:15" x14ac:dyDescent="0.35">
      <c r="B3077" s="580"/>
      <c r="K3077" s="458"/>
      <c r="L3077" s="704"/>
      <c r="M3077" s="704"/>
      <c r="O3077" s="271"/>
    </row>
    <row r="3078" spans="2:15" x14ac:dyDescent="0.35">
      <c r="B3078" s="580"/>
      <c r="K3078" s="458"/>
      <c r="L3078" s="704"/>
      <c r="M3078" s="704"/>
      <c r="O3078" s="271"/>
    </row>
    <row r="3079" spans="2:15" x14ac:dyDescent="0.35">
      <c r="B3079" s="580"/>
      <c r="K3079" s="458"/>
      <c r="L3079" s="704"/>
      <c r="M3079" s="704"/>
      <c r="O3079" s="271"/>
    </row>
    <row r="3080" spans="2:15" x14ac:dyDescent="0.35">
      <c r="B3080" s="580"/>
      <c r="K3080" s="458"/>
      <c r="L3080" s="704"/>
      <c r="M3080" s="704"/>
      <c r="O3080" s="271"/>
    </row>
    <row r="3081" spans="2:15" x14ac:dyDescent="0.35">
      <c r="B3081" s="580"/>
      <c r="K3081" s="458"/>
      <c r="L3081" s="704"/>
      <c r="M3081" s="704"/>
      <c r="O3081" s="271"/>
    </row>
    <row r="3082" spans="2:15" x14ac:dyDescent="0.35">
      <c r="B3082" s="580"/>
      <c r="K3082" s="458"/>
      <c r="L3082" s="704"/>
      <c r="M3082" s="704"/>
      <c r="O3082" s="271"/>
    </row>
    <row r="3083" spans="2:15" x14ac:dyDescent="0.35">
      <c r="B3083" s="580"/>
      <c r="K3083" s="458"/>
      <c r="L3083" s="704"/>
      <c r="M3083" s="704"/>
      <c r="O3083" s="271"/>
    </row>
    <row r="3084" spans="2:15" x14ac:dyDescent="0.35">
      <c r="B3084" s="580"/>
      <c r="K3084" s="458"/>
      <c r="L3084" s="704"/>
      <c r="M3084" s="704"/>
      <c r="O3084" s="271"/>
    </row>
    <row r="3085" spans="2:15" x14ac:dyDescent="0.35">
      <c r="B3085" s="580"/>
      <c r="K3085" s="458"/>
      <c r="L3085" s="704"/>
      <c r="M3085" s="704"/>
      <c r="O3085" s="271"/>
    </row>
    <row r="3086" spans="2:15" x14ac:dyDescent="0.35">
      <c r="B3086" s="580"/>
      <c r="K3086" s="458"/>
      <c r="L3086" s="704"/>
      <c r="M3086" s="704"/>
      <c r="O3086" s="271"/>
    </row>
    <row r="3087" spans="2:15" x14ac:dyDescent="0.35">
      <c r="B3087" s="580"/>
      <c r="K3087" s="458"/>
      <c r="L3087" s="704"/>
      <c r="M3087" s="704"/>
      <c r="O3087" s="271"/>
    </row>
    <row r="3088" spans="2:15" x14ac:dyDescent="0.35">
      <c r="B3088" s="580"/>
      <c r="K3088" s="458"/>
      <c r="L3088" s="704"/>
      <c r="M3088" s="704"/>
      <c r="O3088" s="271"/>
    </row>
    <row r="3089" spans="2:15" x14ac:dyDescent="0.35">
      <c r="B3089" s="580"/>
      <c r="K3089" s="458"/>
      <c r="L3089" s="704"/>
      <c r="M3089" s="704"/>
      <c r="O3089" s="271"/>
    </row>
    <row r="3090" spans="2:15" x14ac:dyDescent="0.35">
      <c r="B3090" s="580"/>
      <c r="K3090" s="458"/>
      <c r="L3090" s="704"/>
      <c r="M3090" s="704"/>
      <c r="O3090" s="271"/>
    </row>
    <row r="3091" spans="2:15" x14ac:dyDescent="0.35">
      <c r="B3091" s="580"/>
      <c r="K3091" s="458"/>
      <c r="L3091" s="704"/>
      <c r="M3091" s="704"/>
      <c r="O3091" s="271"/>
    </row>
    <row r="3092" spans="2:15" x14ac:dyDescent="0.35">
      <c r="B3092" s="580"/>
      <c r="K3092" s="458"/>
      <c r="L3092" s="704"/>
      <c r="M3092" s="704"/>
      <c r="O3092" s="271"/>
    </row>
    <row r="3093" spans="2:15" x14ac:dyDescent="0.35">
      <c r="B3093" s="580"/>
      <c r="K3093" s="458"/>
      <c r="L3093" s="704"/>
      <c r="M3093" s="704"/>
      <c r="O3093" s="271"/>
    </row>
    <row r="3094" spans="2:15" x14ac:dyDescent="0.35">
      <c r="B3094" s="580"/>
      <c r="K3094" s="458"/>
      <c r="L3094" s="704"/>
      <c r="M3094" s="704"/>
      <c r="O3094" s="271"/>
    </row>
    <row r="3095" spans="2:15" x14ac:dyDescent="0.35">
      <c r="B3095" s="580"/>
      <c r="K3095" s="458"/>
      <c r="L3095" s="704"/>
      <c r="M3095" s="704"/>
      <c r="O3095" s="271"/>
    </row>
    <row r="3096" spans="2:15" x14ac:dyDescent="0.35">
      <c r="B3096" s="580"/>
      <c r="K3096" s="458"/>
      <c r="L3096" s="704"/>
      <c r="M3096" s="704"/>
      <c r="O3096" s="271"/>
    </row>
    <row r="3097" spans="2:15" x14ac:dyDescent="0.35">
      <c r="B3097" s="580"/>
      <c r="K3097" s="458"/>
      <c r="L3097" s="704"/>
      <c r="M3097" s="704"/>
      <c r="O3097" s="271"/>
    </row>
    <row r="3098" spans="2:15" x14ac:dyDescent="0.35">
      <c r="B3098" s="580"/>
      <c r="K3098" s="458"/>
      <c r="L3098" s="704"/>
      <c r="M3098" s="704"/>
      <c r="O3098" s="271"/>
    </row>
    <row r="3099" spans="2:15" x14ac:dyDescent="0.35">
      <c r="B3099" s="580"/>
      <c r="K3099" s="458"/>
      <c r="L3099" s="704"/>
      <c r="M3099" s="704"/>
      <c r="O3099" s="271"/>
    </row>
    <row r="3100" spans="2:15" x14ac:dyDescent="0.35">
      <c r="B3100" s="580"/>
      <c r="K3100" s="458"/>
      <c r="L3100" s="704"/>
      <c r="M3100" s="704"/>
      <c r="O3100" s="271"/>
    </row>
    <row r="3101" spans="2:15" x14ac:dyDescent="0.35">
      <c r="B3101" s="580"/>
      <c r="K3101" s="458"/>
      <c r="L3101" s="704"/>
      <c r="M3101" s="704"/>
      <c r="O3101" s="271"/>
    </row>
    <row r="3102" spans="2:15" x14ac:dyDescent="0.35">
      <c r="B3102" s="580"/>
      <c r="K3102" s="458"/>
      <c r="L3102" s="704"/>
      <c r="M3102" s="704"/>
      <c r="O3102" s="271"/>
    </row>
    <row r="3103" spans="2:15" x14ac:dyDescent="0.35">
      <c r="B3103" s="580"/>
      <c r="K3103" s="458"/>
      <c r="L3103" s="704"/>
      <c r="M3103" s="704"/>
      <c r="O3103" s="271"/>
    </row>
    <row r="3104" spans="2:15" x14ac:dyDescent="0.35">
      <c r="B3104" s="580"/>
      <c r="K3104" s="458"/>
      <c r="L3104" s="704"/>
      <c r="M3104" s="704"/>
      <c r="O3104" s="271"/>
    </row>
    <row r="3105" spans="2:15" x14ac:dyDescent="0.35">
      <c r="B3105" s="580"/>
      <c r="K3105" s="458"/>
      <c r="L3105" s="704"/>
      <c r="M3105" s="704"/>
      <c r="O3105" s="271"/>
    </row>
    <row r="3106" spans="2:15" x14ac:dyDescent="0.35">
      <c r="B3106" s="580"/>
      <c r="K3106" s="458"/>
      <c r="L3106" s="704"/>
      <c r="M3106" s="704"/>
      <c r="O3106" s="271"/>
    </row>
    <row r="3107" spans="2:15" x14ac:dyDescent="0.35">
      <c r="B3107" s="580"/>
      <c r="K3107" s="458"/>
      <c r="L3107" s="704"/>
      <c r="M3107" s="704"/>
      <c r="O3107" s="271"/>
    </row>
    <row r="3108" spans="2:15" x14ac:dyDescent="0.35">
      <c r="B3108" s="580"/>
      <c r="K3108" s="458"/>
      <c r="L3108" s="704"/>
      <c r="M3108" s="704"/>
      <c r="O3108" s="271"/>
    </row>
    <row r="3109" spans="2:15" x14ac:dyDescent="0.35">
      <c r="B3109" s="580"/>
      <c r="K3109" s="458"/>
      <c r="L3109" s="704"/>
      <c r="M3109" s="704"/>
      <c r="O3109" s="271"/>
    </row>
    <row r="3110" spans="2:15" x14ac:dyDescent="0.35">
      <c r="B3110" s="580"/>
      <c r="K3110" s="458"/>
      <c r="L3110" s="704"/>
      <c r="M3110" s="704"/>
      <c r="O3110" s="271"/>
    </row>
    <row r="3111" spans="2:15" x14ac:dyDescent="0.35">
      <c r="B3111" s="580"/>
      <c r="K3111" s="458"/>
      <c r="L3111" s="704"/>
      <c r="M3111" s="704"/>
      <c r="O3111" s="271"/>
    </row>
    <row r="3112" spans="2:15" x14ac:dyDescent="0.35">
      <c r="B3112" s="580"/>
      <c r="K3112" s="458"/>
      <c r="L3112" s="704"/>
      <c r="M3112" s="704"/>
      <c r="O3112" s="271"/>
    </row>
    <row r="3113" spans="2:15" x14ac:dyDescent="0.35">
      <c r="B3113" s="580"/>
      <c r="K3113" s="458"/>
      <c r="L3113" s="704"/>
      <c r="M3113" s="704"/>
      <c r="O3113" s="271"/>
    </row>
    <row r="3114" spans="2:15" x14ac:dyDescent="0.35">
      <c r="B3114" s="580"/>
      <c r="K3114" s="458"/>
      <c r="L3114" s="704"/>
      <c r="M3114" s="704"/>
      <c r="O3114" s="271"/>
    </row>
    <row r="3115" spans="2:15" x14ac:dyDescent="0.35">
      <c r="B3115" s="580"/>
      <c r="K3115" s="458"/>
      <c r="L3115" s="704"/>
      <c r="M3115" s="704"/>
      <c r="O3115" s="271"/>
    </row>
    <row r="3116" spans="2:15" x14ac:dyDescent="0.35">
      <c r="B3116" s="580"/>
      <c r="K3116" s="458"/>
      <c r="L3116" s="704"/>
      <c r="M3116" s="704"/>
      <c r="O3116" s="271"/>
    </row>
    <row r="3117" spans="2:15" x14ac:dyDescent="0.35">
      <c r="B3117" s="580"/>
      <c r="K3117" s="458"/>
      <c r="L3117" s="704"/>
      <c r="M3117" s="704"/>
      <c r="O3117" s="271"/>
    </row>
    <row r="3118" spans="2:15" x14ac:dyDescent="0.35">
      <c r="B3118" s="580"/>
      <c r="K3118" s="458"/>
      <c r="L3118" s="704"/>
      <c r="M3118" s="704"/>
      <c r="O3118" s="271"/>
    </row>
    <row r="3119" spans="2:15" x14ac:dyDescent="0.35">
      <c r="B3119" s="580"/>
      <c r="K3119" s="458"/>
      <c r="L3119" s="704"/>
      <c r="M3119" s="704"/>
      <c r="O3119" s="271"/>
    </row>
    <row r="3120" spans="2:15" x14ac:dyDescent="0.35">
      <c r="B3120" s="580"/>
      <c r="K3120" s="458"/>
      <c r="L3120" s="704"/>
      <c r="M3120" s="704"/>
      <c r="O3120" s="271"/>
    </row>
    <row r="3121" spans="2:15" x14ac:dyDescent="0.35">
      <c r="B3121" s="580"/>
      <c r="K3121" s="458"/>
      <c r="L3121" s="704"/>
      <c r="M3121" s="704"/>
      <c r="O3121" s="271"/>
    </row>
    <row r="3122" spans="2:15" x14ac:dyDescent="0.35">
      <c r="B3122" s="580"/>
      <c r="K3122" s="458"/>
      <c r="L3122" s="704"/>
      <c r="M3122" s="704"/>
      <c r="O3122" s="271"/>
    </row>
    <row r="3123" spans="2:15" x14ac:dyDescent="0.35">
      <c r="B3123" s="580"/>
      <c r="K3123" s="458"/>
      <c r="L3123" s="704"/>
      <c r="M3123" s="704"/>
      <c r="O3123" s="271"/>
    </row>
    <row r="3124" spans="2:15" x14ac:dyDescent="0.35">
      <c r="B3124" s="580"/>
      <c r="K3124" s="458"/>
      <c r="L3124" s="704"/>
      <c r="M3124" s="704"/>
      <c r="O3124" s="271"/>
    </row>
    <row r="3125" spans="2:15" x14ac:dyDescent="0.35">
      <c r="B3125" s="580"/>
      <c r="K3125" s="458"/>
      <c r="L3125" s="704"/>
      <c r="M3125" s="704"/>
      <c r="O3125" s="271"/>
    </row>
    <row r="3126" spans="2:15" x14ac:dyDescent="0.35">
      <c r="B3126" s="580"/>
      <c r="K3126" s="458"/>
      <c r="L3126" s="704"/>
      <c r="M3126" s="704"/>
      <c r="O3126" s="271"/>
    </row>
    <row r="3127" spans="2:15" x14ac:dyDescent="0.35">
      <c r="B3127" s="580"/>
      <c r="K3127" s="458"/>
      <c r="L3127" s="704"/>
      <c r="M3127" s="704"/>
      <c r="O3127" s="271"/>
    </row>
    <row r="3128" spans="2:15" x14ac:dyDescent="0.35">
      <c r="B3128" s="580"/>
      <c r="K3128" s="458"/>
      <c r="L3128" s="704"/>
      <c r="M3128" s="704"/>
      <c r="O3128" s="271"/>
    </row>
    <row r="3129" spans="2:15" x14ac:dyDescent="0.35">
      <c r="B3129" s="580"/>
      <c r="K3129" s="458"/>
      <c r="L3129" s="704"/>
      <c r="M3129" s="704"/>
      <c r="O3129" s="271"/>
    </row>
    <row r="3130" spans="2:15" x14ac:dyDescent="0.35">
      <c r="B3130" s="580"/>
      <c r="K3130" s="458"/>
      <c r="L3130" s="704"/>
      <c r="M3130" s="704"/>
      <c r="O3130" s="271"/>
    </row>
    <row r="3131" spans="2:15" x14ac:dyDescent="0.35">
      <c r="B3131" s="580"/>
      <c r="K3131" s="458"/>
      <c r="L3131" s="704"/>
      <c r="M3131" s="704"/>
      <c r="O3131" s="271"/>
    </row>
    <row r="3132" spans="2:15" x14ac:dyDescent="0.35">
      <c r="B3132" s="580"/>
      <c r="K3132" s="458"/>
      <c r="L3132" s="704"/>
      <c r="M3132" s="704"/>
      <c r="O3132" s="271"/>
    </row>
    <row r="3133" spans="2:15" x14ac:dyDescent="0.35">
      <c r="B3133" s="580"/>
      <c r="K3133" s="458"/>
      <c r="L3133" s="704"/>
      <c r="M3133" s="704"/>
      <c r="O3133" s="271"/>
    </row>
    <row r="3134" spans="2:15" x14ac:dyDescent="0.35">
      <c r="B3134" s="580"/>
      <c r="K3134" s="458"/>
      <c r="L3134" s="704"/>
      <c r="M3134" s="704"/>
      <c r="O3134" s="271"/>
    </row>
    <row r="3135" spans="2:15" x14ac:dyDescent="0.35">
      <c r="B3135" s="580"/>
      <c r="K3135" s="458"/>
      <c r="L3135" s="704"/>
      <c r="M3135" s="704"/>
      <c r="O3135" s="271"/>
    </row>
    <row r="3136" spans="2:15" x14ac:dyDescent="0.35">
      <c r="B3136" s="580"/>
      <c r="K3136" s="458"/>
      <c r="L3136" s="704"/>
      <c r="M3136" s="704"/>
      <c r="O3136" s="271"/>
    </row>
    <row r="3137" spans="2:15" x14ac:dyDescent="0.35">
      <c r="B3137" s="580"/>
      <c r="K3137" s="458"/>
      <c r="L3137" s="704"/>
      <c r="M3137" s="704"/>
      <c r="O3137" s="271"/>
    </row>
    <row r="3138" spans="2:15" x14ac:dyDescent="0.35">
      <c r="B3138" s="580"/>
      <c r="K3138" s="458"/>
      <c r="L3138" s="704"/>
      <c r="M3138" s="704"/>
      <c r="O3138" s="271"/>
    </row>
    <row r="3139" spans="2:15" x14ac:dyDescent="0.35">
      <c r="B3139" s="580"/>
      <c r="K3139" s="458"/>
      <c r="L3139" s="704"/>
      <c r="M3139" s="704"/>
      <c r="O3139" s="271"/>
    </row>
    <row r="3140" spans="2:15" x14ac:dyDescent="0.35">
      <c r="B3140" s="580"/>
      <c r="K3140" s="458"/>
      <c r="L3140" s="704"/>
      <c r="M3140" s="704"/>
      <c r="O3140" s="271"/>
    </row>
    <row r="3141" spans="2:15" x14ac:dyDescent="0.35">
      <c r="B3141" s="580"/>
      <c r="K3141" s="458"/>
      <c r="L3141" s="704"/>
      <c r="M3141" s="704"/>
      <c r="O3141" s="271"/>
    </row>
    <row r="3142" spans="2:15" x14ac:dyDescent="0.35">
      <c r="B3142" s="580"/>
      <c r="K3142" s="458"/>
      <c r="L3142" s="704"/>
      <c r="M3142" s="704"/>
      <c r="O3142" s="271"/>
    </row>
    <row r="3143" spans="2:15" x14ac:dyDescent="0.35">
      <c r="B3143" s="580"/>
      <c r="K3143" s="458"/>
      <c r="L3143" s="704"/>
      <c r="M3143" s="704"/>
      <c r="O3143" s="271"/>
    </row>
    <row r="3144" spans="2:15" x14ac:dyDescent="0.35">
      <c r="B3144" s="580"/>
      <c r="K3144" s="458"/>
      <c r="L3144" s="704"/>
      <c r="M3144" s="704"/>
      <c r="O3144" s="271"/>
    </row>
    <row r="3145" spans="2:15" x14ac:dyDescent="0.35">
      <c r="B3145" s="580"/>
      <c r="K3145" s="458"/>
      <c r="L3145" s="704"/>
      <c r="M3145" s="704"/>
      <c r="O3145" s="271"/>
    </row>
    <row r="3146" spans="2:15" x14ac:dyDescent="0.35">
      <c r="B3146" s="580"/>
      <c r="K3146" s="458"/>
      <c r="L3146" s="704"/>
      <c r="M3146" s="704"/>
      <c r="O3146" s="271"/>
    </row>
    <row r="3147" spans="2:15" x14ac:dyDescent="0.35">
      <c r="B3147" s="580"/>
      <c r="K3147" s="458"/>
      <c r="L3147" s="704"/>
      <c r="M3147" s="704"/>
      <c r="O3147" s="271"/>
    </row>
    <row r="3148" spans="2:15" x14ac:dyDescent="0.35">
      <c r="B3148" s="580"/>
      <c r="K3148" s="458"/>
      <c r="L3148" s="704"/>
      <c r="M3148" s="704"/>
      <c r="O3148" s="271"/>
    </row>
    <row r="3149" spans="2:15" x14ac:dyDescent="0.35">
      <c r="B3149" s="580"/>
      <c r="K3149" s="458"/>
      <c r="L3149" s="704"/>
      <c r="M3149" s="704"/>
      <c r="O3149" s="271"/>
    </row>
    <row r="3150" spans="2:15" x14ac:dyDescent="0.35">
      <c r="B3150" s="580"/>
      <c r="K3150" s="458"/>
      <c r="L3150" s="704"/>
      <c r="M3150" s="704"/>
      <c r="O3150" s="271"/>
    </row>
    <row r="3151" spans="2:15" x14ac:dyDescent="0.35">
      <c r="B3151" s="580"/>
      <c r="K3151" s="458"/>
      <c r="L3151" s="704"/>
      <c r="M3151" s="704"/>
      <c r="O3151" s="271"/>
    </row>
    <row r="3152" spans="2:15" x14ac:dyDescent="0.35">
      <c r="B3152" s="580"/>
      <c r="K3152" s="458"/>
      <c r="L3152" s="704"/>
      <c r="M3152" s="704"/>
      <c r="O3152" s="271"/>
    </row>
    <row r="3153" spans="2:15" x14ac:dyDescent="0.35">
      <c r="B3153" s="580"/>
      <c r="K3153" s="458"/>
      <c r="L3153" s="704"/>
      <c r="M3153" s="704"/>
      <c r="O3153" s="271"/>
    </row>
    <row r="3154" spans="2:15" x14ac:dyDescent="0.35">
      <c r="B3154" s="580"/>
      <c r="K3154" s="458"/>
      <c r="L3154" s="704"/>
      <c r="M3154" s="704"/>
      <c r="O3154" s="271"/>
    </row>
    <row r="3155" spans="2:15" x14ac:dyDescent="0.35">
      <c r="B3155" s="580"/>
      <c r="K3155" s="458"/>
      <c r="L3155" s="704"/>
      <c r="M3155" s="704"/>
      <c r="O3155" s="271"/>
    </row>
    <row r="3156" spans="2:15" x14ac:dyDescent="0.35">
      <c r="B3156" s="580"/>
      <c r="K3156" s="458"/>
      <c r="L3156" s="704"/>
      <c r="M3156" s="704"/>
      <c r="O3156" s="271"/>
    </row>
    <row r="3157" spans="2:15" x14ac:dyDescent="0.35">
      <c r="B3157" s="580"/>
      <c r="K3157" s="458"/>
      <c r="L3157" s="704"/>
      <c r="M3157" s="704"/>
      <c r="O3157" s="271"/>
    </row>
    <row r="3158" spans="2:15" x14ac:dyDescent="0.35">
      <c r="B3158" s="580"/>
      <c r="K3158" s="458"/>
      <c r="L3158" s="704"/>
      <c r="M3158" s="704"/>
      <c r="O3158" s="271"/>
    </row>
    <row r="3159" spans="2:15" x14ac:dyDescent="0.35">
      <c r="B3159" s="580"/>
      <c r="K3159" s="458"/>
      <c r="L3159" s="704"/>
      <c r="M3159" s="704"/>
      <c r="O3159" s="271"/>
    </row>
    <row r="3160" spans="2:15" x14ac:dyDescent="0.35">
      <c r="B3160" s="580"/>
      <c r="K3160" s="458"/>
      <c r="L3160" s="704"/>
      <c r="M3160" s="704"/>
      <c r="O3160" s="271"/>
    </row>
    <row r="3161" spans="2:15" x14ac:dyDescent="0.35">
      <c r="B3161" s="580"/>
      <c r="K3161" s="458"/>
      <c r="L3161" s="704"/>
      <c r="M3161" s="704"/>
      <c r="O3161" s="271"/>
    </row>
    <row r="3162" spans="2:15" x14ac:dyDescent="0.35">
      <c r="B3162" s="580"/>
      <c r="K3162" s="458"/>
      <c r="L3162" s="704"/>
      <c r="M3162" s="704"/>
      <c r="O3162" s="271"/>
    </row>
    <row r="3163" spans="2:15" x14ac:dyDescent="0.35">
      <c r="B3163" s="580"/>
      <c r="K3163" s="458"/>
      <c r="L3163" s="704"/>
      <c r="M3163" s="704"/>
      <c r="O3163" s="271"/>
    </row>
    <row r="3164" spans="2:15" x14ac:dyDescent="0.35">
      <c r="B3164" s="580"/>
      <c r="K3164" s="458"/>
      <c r="L3164" s="704"/>
      <c r="M3164" s="704"/>
      <c r="O3164" s="271"/>
    </row>
    <row r="3165" spans="2:15" x14ac:dyDescent="0.35">
      <c r="B3165" s="580"/>
      <c r="K3165" s="458"/>
      <c r="L3165" s="704"/>
      <c r="M3165" s="704"/>
      <c r="O3165" s="271"/>
    </row>
    <row r="3166" spans="2:15" x14ac:dyDescent="0.35">
      <c r="B3166" s="580"/>
      <c r="K3166" s="458"/>
      <c r="L3166" s="704"/>
      <c r="M3166" s="704"/>
      <c r="O3166" s="271"/>
    </row>
    <row r="3167" spans="2:15" x14ac:dyDescent="0.35">
      <c r="B3167" s="580"/>
      <c r="K3167" s="458"/>
      <c r="L3167" s="704"/>
      <c r="M3167" s="704"/>
      <c r="O3167" s="271"/>
    </row>
    <row r="3168" spans="2:15" x14ac:dyDescent="0.35">
      <c r="B3168" s="580"/>
      <c r="K3168" s="458"/>
      <c r="L3168" s="704"/>
      <c r="M3168" s="704"/>
      <c r="O3168" s="271"/>
    </row>
    <row r="3169" spans="2:15" x14ac:dyDescent="0.35">
      <c r="B3169" s="580"/>
      <c r="K3169" s="458"/>
      <c r="L3169" s="704"/>
      <c r="M3169" s="704"/>
      <c r="O3169" s="271"/>
    </row>
    <row r="3170" spans="2:15" x14ac:dyDescent="0.35">
      <c r="B3170" s="580"/>
      <c r="K3170" s="458"/>
      <c r="L3170" s="704"/>
      <c r="M3170" s="704"/>
      <c r="O3170" s="271"/>
    </row>
    <row r="3171" spans="2:15" x14ac:dyDescent="0.35">
      <c r="B3171" s="580"/>
      <c r="K3171" s="458"/>
      <c r="L3171" s="704"/>
      <c r="M3171" s="704"/>
      <c r="O3171" s="271"/>
    </row>
    <row r="3172" spans="2:15" x14ac:dyDescent="0.35">
      <c r="B3172" s="580"/>
      <c r="K3172" s="458"/>
      <c r="L3172" s="704"/>
      <c r="M3172" s="704"/>
      <c r="O3172" s="271"/>
    </row>
    <row r="3173" spans="2:15" x14ac:dyDescent="0.35">
      <c r="B3173" s="580"/>
      <c r="K3173" s="458"/>
      <c r="L3173" s="704"/>
      <c r="M3173" s="704"/>
      <c r="O3173" s="271"/>
    </row>
    <row r="3174" spans="2:15" x14ac:dyDescent="0.35">
      <c r="B3174" s="580"/>
      <c r="K3174" s="458"/>
      <c r="L3174" s="704"/>
      <c r="M3174" s="704"/>
      <c r="O3174" s="271"/>
    </row>
    <row r="3175" spans="2:15" x14ac:dyDescent="0.35">
      <c r="B3175" s="580"/>
      <c r="K3175" s="458"/>
      <c r="L3175" s="704"/>
      <c r="M3175" s="704"/>
      <c r="O3175" s="271"/>
    </row>
    <row r="3176" spans="2:15" x14ac:dyDescent="0.35">
      <c r="B3176" s="580"/>
      <c r="K3176" s="458"/>
      <c r="L3176" s="704"/>
      <c r="M3176" s="704"/>
      <c r="O3176" s="271"/>
    </row>
    <row r="3177" spans="2:15" x14ac:dyDescent="0.35">
      <c r="B3177" s="580"/>
      <c r="K3177" s="458"/>
      <c r="L3177" s="704"/>
      <c r="M3177" s="704"/>
      <c r="O3177" s="271"/>
    </row>
    <row r="3178" spans="2:15" x14ac:dyDescent="0.35">
      <c r="B3178" s="580"/>
      <c r="K3178" s="458"/>
      <c r="L3178" s="704"/>
      <c r="M3178" s="704"/>
      <c r="O3178" s="271"/>
    </row>
    <row r="3179" spans="2:15" x14ac:dyDescent="0.35">
      <c r="B3179" s="580"/>
      <c r="K3179" s="458"/>
      <c r="L3179" s="704"/>
      <c r="M3179" s="704"/>
      <c r="O3179" s="271"/>
    </row>
    <row r="3180" spans="2:15" x14ac:dyDescent="0.35">
      <c r="B3180" s="580"/>
      <c r="K3180" s="458"/>
      <c r="L3180" s="704"/>
      <c r="M3180" s="704"/>
      <c r="O3180" s="271"/>
    </row>
    <row r="3181" spans="2:15" x14ac:dyDescent="0.35">
      <c r="B3181" s="580"/>
      <c r="K3181" s="458"/>
      <c r="L3181" s="704"/>
      <c r="M3181" s="704"/>
      <c r="O3181" s="271"/>
    </row>
    <row r="3182" spans="2:15" x14ac:dyDescent="0.35">
      <c r="B3182" s="580"/>
      <c r="K3182" s="458"/>
      <c r="L3182" s="704"/>
      <c r="M3182" s="704"/>
      <c r="O3182" s="271"/>
    </row>
    <row r="3183" spans="2:15" x14ac:dyDescent="0.35">
      <c r="B3183" s="580"/>
      <c r="K3183" s="458"/>
      <c r="L3183" s="704"/>
      <c r="M3183" s="704"/>
      <c r="O3183" s="271"/>
    </row>
    <row r="3184" spans="2:15" x14ac:dyDescent="0.35">
      <c r="B3184" s="580"/>
      <c r="K3184" s="458"/>
      <c r="L3184" s="704"/>
      <c r="M3184" s="704"/>
      <c r="O3184" s="271"/>
    </row>
    <row r="3185" spans="2:15" x14ac:dyDescent="0.35">
      <c r="B3185" s="580"/>
      <c r="K3185" s="458"/>
      <c r="L3185" s="704"/>
      <c r="M3185" s="704"/>
      <c r="O3185" s="271"/>
    </row>
    <row r="3186" spans="2:15" x14ac:dyDescent="0.35">
      <c r="B3186" s="580"/>
      <c r="K3186" s="458"/>
      <c r="L3186" s="704"/>
      <c r="M3186" s="704"/>
      <c r="O3186" s="271"/>
    </row>
    <row r="3187" spans="2:15" x14ac:dyDescent="0.35">
      <c r="B3187" s="580"/>
      <c r="K3187" s="458"/>
      <c r="L3187" s="704"/>
      <c r="M3187" s="704"/>
      <c r="O3187" s="271"/>
    </row>
    <row r="3188" spans="2:15" x14ac:dyDescent="0.35">
      <c r="B3188" s="580"/>
      <c r="K3188" s="458"/>
      <c r="L3188" s="704"/>
      <c r="M3188" s="704"/>
      <c r="O3188" s="271"/>
    </row>
    <row r="3189" spans="2:15" x14ac:dyDescent="0.35">
      <c r="B3189" s="580"/>
      <c r="K3189" s="458"/>
      <c r="L3189" s="704"/>
      <c r="M3189" s="704"/>
      <c r="O3189" s="271"/>
    </row>
    <row r="3190" spans="2:15" x14ac:dyDescent="0.35">
      <c r="B3190" s="580"/>
      <c r="K3190" s="458"/>
      <c r="L3190" s="704"/>
      <c r="M3190" s="704"/>
      <c r="O3190" s="271"/>
    </row>
    <row r="3191" spans="2:15" x14ac:dyDescent="0.35">
      <c r="B3191" s="580"/>
      <c r="K3191" s="458"/>
      <c r="L3191" s="704"/>
      <c r="M3191" s="704"/>
      <c r="O3191" s="271"/>
    </row>
    <row r="3192" spans="2:15" x14ac:dyDescent="0.35">
      <c r="B3192" s="580"/>
      <c r="K3192" s="458"/>
      <c r="L3192" s="704"/>
      <c r="M3192" s="704"/>
      <c r="O3192" s="271"/>
    </row>
    <row r="3193" spans="2:15" x14ac:dyDescent="0.35">
      <c r="B3193" s="580"/>
      <c r="K3193" s="458"/>
      <c r="L3193" s="704"/>
      <c r="M3193" s="704"/>
      <c r="O3193" s="271"/>
    </row>
    <row r="3194" spans="2:15" x14ac:dyDescent="0.35">
      <c r="B3194" s="580"/>
      <c r="K3194" s="458"/>
      <c r="L3194" s="704"/>
      <c r="M3194" s="704"/>
      <c r="O3194" s="271"/>
    </row>
    <row r="3195" spans="2:15" x14ac:dyDescent="0.35">
      <c r="B3195" s="580"/>
      <c r="K3195" s="458"/>
      <c r="L3195" s="704"/>
      <c r="M3195" s="704"/>
      <c r="O3195" s="271"/>
    </row>
    <row r="3196" spans="2:15" x14ac:dyDescent="0.35">
      <c r="B3196" s="580"/>
      <c r="K3196" s="458"/>
      <c r="L3196" s="704"/>
      <c r="M3196" s="704"/>
      <c r="O3196" s="271"/>
    </row>
  </sheetData>
  <sheetProtection formatCells="0" formatColumns="0" insertColumns="0" insertRows="0" insertHyperlinks="0" deleteColumns="0" deleteRows="0"/>
  <mergeCells count="3">
    <mergeCell ref="A149:B149"/>
    <mergeCell ref="A230:B230"/>
    <mergeCell ref="A768:B768"/>
  </mergeCells>
  <phoneticPr fontId="3" type="noConversion"/>
  <conditionalFormatting sqref="A820:A821">
    <cfRule type="expression" dxfId="501" priority="4072">
      <formula>$Q541=2</formula>
    </cfRule>
    <cfRule type="expression" dxfId="500" priority="4073">
      <formula>$Q541=1</formula>
    </cfRule>
  </conditionalFormatting>
  <conditionalFormatting sqref="G313">
    <cfRule type="duplicateValues" dxfId="499" priority="3580" stopIfTrue="1"/>
  </conditionalFormatting>
  <conditionalFormatting sqref="G313">
    <cfRule type="duplicateValues" dxfId="498" priority="3577" stopIfTrue="1"/>
    <cfRule type="duplicateValues" dxfId="497" priority="3578" stopIfTrue="1"/>
    <cfRule type="duplicateValues" dxfId="496" priority="3579" stopIfTrue="1"/>
  </conditionalFormatting>
  <conditionalFormatting sqref="G1682">
    <cfRule type="duplicateValues" dxfId="495" priority="2826" stopIfTrue="1"/>
    <cfRule type="duplicateValues" dxfId="494" priority="2827" stopIfTrue="1"/>
    <cfRule type="duplicateValues" dxfId="493" priority="2828" stopIfTrue="1"/>
  </conditionalFormatting>
  <conditionalFormatting sqref="G1682">
    <cfRule type="duplicateValues" dxfId="492" priority="2825" stopIfTrue="1"/>
  </conditionalFormatting>
  <conditionalFormatting sqref="G1683">
    <cfRule type="duplicateValues" dxfId="491" priority="2816" stopIfTrue="1"/>
  </conditionalFormatting>
  <conditionalFormatting sqref="G1683">
    <cfRule type="duplicateValues" dxfId="490" priority="2813" stopIfTrue="1"/>
    <cfRule type="duplicateValues" dxfId="489" priority="2814" stopIfTrue="1"/>
    <cfRule type="duplicateValues" dxfId="488" priority="2815" stopIfTrue="1"/>
  </conditionalFormatting>
  <conditionalFormatting sqref="G1684">
    <cfRule type="duplicateValues" dxfId="487" priority="2812" stopIfTrue="1"/>
  </conditionalFormatting>
  <conditionalFormatting sqref="G1684">
    <cfRule type="duplicateValues" dxfId="486" priority="2809" stopIfTrue="1"/>
    <cfRule type="duplicateValues" dxfId="485" priority="2810" stopIfTrue="1"/>
    <cfRule type="duplicateValues" dxfId="484" priority="2811" stopIfTrue="1"/>
  </conditionalFormatting>
  <conditionalFormatting sqref="G1685">
    <cfRule type="duplicateValues" dxfId="483" priority="2808" stopIfTrue="1"/>
  </conditionalFormatting>
  <conditionalFormatting sqref="G1685">
    <cfRule type="duplicateValues" dxfId="482" priority="2805" stopIfTrue="1"/>
    <cfRule type="duplicateValues" dxfId="481" priority="2806" stopIfTrue="1"/>
    <cfRule type="duplicateValues" dxfId="480" priority="2807" stopIfTrue="1"/>
  </conditionalFormatting>
  <conditionalFormatting sqref="G1686">
    <cfRule type="duplicateValues" dxfId="479" priority="2802" stopIfTrue="1"/>
    <cfRule type="duplicateValues" dxfId="478" priority="2803" stopIfTrue="1"/>
    <cfRule type="duplicateValues" dxfId="477" priority="2804" stopIfTrue="1"/>
  </conditionalFormatting>
  <conditionalFormatting sqref="G1686">
    <cfRule type="duplicateValues" dxfId="476" priority="2801" stopIfTrue="1"/>
  </conditionalFormatting>
  <conditionalFormatting sqref="G1687">
    <cfRule type="duplicateValues" dxfId="475" priority="2798" stopIfTrue="1"/>
    <cfRule type="duplicateValues" dxfId="474" priority="2799" stopIfTrue="1"/>
    <cfRule type="duplicateValues" dxfId="473" priority="2800" stopIfTrue="1"/>
  </conditionalFormatting>
  <conditionalFormatting sqref="G1687">
    <cfRule type="duplicateValues" dxfId="472" priority="2797" stopIfTrue="1"/>
  </conditionalFormatting>
  <conditionalFormatting sqref="G1690">
    <cfRule type="duplicateValues" dxfId="471" priority="2792" stopIfTrue="1"/>
  </conditionalFormatting>
  <conditionalFormatting sqref="G1690">
    <cfRule type="duplicateValues" dxfId="470" priority="2789" stopIfTrue="1"/>
    <cfRule type="duplicateValues" dxfId="469" priority="2790" stopIfTrue="1"/>
    <cfRule type="duplicateValues" dxfId="468" priority="2791" stopIfTrue="1"/>
  </conditionalFormatting>
  <conditionalFormatting sqref="G1696">
    <cfRule type="duplicateValues" dxfId="467" priority="2784" stopIfTrue="1"/>
  </conditionalFormatting>
  <conditionalFormatting sqref="G1696">
    <cfRule type="duplicateValues" dxfId="466" priority="2781" stopIfTrue="1"/>
    <cfRule type="duplicateValues" dxfId="465" priority="2782" stopIfTrue="1"/>
    <cfRule type="duplicateValues" dxfId="464" priority="2783" stopIfTrue="1"/>
  </conditionalFormatting>
  <conditionalFormatting sqref="G2190">
    <cfRule type="duplicateValues" dxfId="463" priority="2684" stopIfTrue="1"/>
  </conditionalFormatting>
  <conditionalFormatting sqref="G2190">
    <cfRule type="duplicateValues" dxfId="462" priority="2681" stopIfTrue="1"/>
    <cfRule type="duplicateValues" dxfId="461" priority="2682" stopIfTrue="1"/>
    <cfRule type="duplicateValues" dxfId="460" priority="2683" stopIfTrue="1"/>
  </conditionalFormatting>
  <conditionalFormatting sqref="G2294">
    <cfRule type="duplicateValues" dxfId="459" priority="2640" stopIfTrue="1"/>
    <cfRule type="duplicateValues" dxfId="458" priority="2641" stopIfTrue="1"/>
    <cfRule type="duplicateValues" dxfId="457" priority="2642" stopIfTrue="1"/>
  </conditionalFormatting>
  <conditionalFormatting sqref="G2318">
    <cfRule type="duplicateValues" dxfId="456" priority="2635" stopIfTrue="1"/>
  </conditionalFormatting>
  <conditionalFormatting sqref="G2318">
    <cfRule type="duplicateValues" dxfId="455" priority="2632" stopIfTrue="1"/>
    <cfRule type="duplicateValues" dxfId="454" priority="2633" stopIfTrue="1"/>
    <cfRule type="duplicateValues" dxfId="453" priority="2634" stopIfTrue="1"/>
  </conditionalFormatting>
  <conditionalFormatting sqref="G2319">
    <cfRule type="duplicateValues" dxfId="452" priority="2627" stopIfTrue="1"/>
  </conditionalFormatting>
  <conditionalFormatting sqref="G2319">
    <cfRule type="duplicateValues" dxfId="451" priority="2624" stopIfTrue="1"/>
    <cfRule type="duplicateValues" dxfId="450" priority="2625" stopIfTrue="1"/>
    <cfRule type="duplicateValues" dxfId="449" priority="2626" stopIfTrue="1"/>
  </conditionalFormatting>
  <conditionalFormatting sqref="G2320">
    <cfRule type="duplicateValues" dxfId="448" priority="2619" stopIfTrue="1"/>
  </conditionalFormatting>
  <conditionalFormatting sqref="G2320">
    <cfRule type="duplicateValues" dxfId="447" priority="2616" stopIfTrue="1"/>
    <cfRule type="duplicateValues" dxfId="446" priority="2617" stopIfTrue="1"/>
    <cfRule type="duplicateValues" dxfId="445" priority="2618" stopIfTrue="1"/>
  </conditionalFormatting>
  <conditionalFormatting sqref="G2322">
    <cfRule type="duplicateValues" dxfId="444" priority="2611" stopIfTrue="1"/>
  </conditionalFormatting>
  <conditionalFormatting sqref="G2322">
    <cfRule type="duplicateValues" dxfId="443" priority="2608" stopIfTrue="1"/>
    <cfRule type="duplicateValues" dxfId="442" priority="2609" stopIfTrue="1"/>
    <cfRule type="duplicateValues" dxfId="441" priority="2610" stopIfTrue="1"/>
  </conditionalFormatting>
  <conditionalFormatting sqref="G2321">
    <cfRule type="duplicateValues" dxfId="440" priority="2603" stopIfTrue="1"/>
  </conditionalFormatting>
  <conditionalFormatting sqref="G2321">
    <cfRule type="duplicateValues" dxfId="439" priority="2600" stopIfTrue="1"/>
    <cfRule type="duplicateValues" dxfId="438" priority="2601" stopIfTrue="1"/>
    <cfRule type="duplicateValues" dxfId="437" priority="2602" stopIfTrue="1"/>
  </conditionalFormatting>
  <conditionalFormatting sqref="G2329">
    <cfRule type="duplicateValues" dxfId="436" priority="2594" stopIfTrue="1"/>
    <cfRule type="duplicateValues" dxfId="435" priority="2595" stopIfTrue="1"/>
    <cfRule type="duplicateValues" dxfId="434" priority="2596" stopIfTrue="1"/>
  </conditionalFormatting>
  <conditionalFormatting sqref="G2333">
    <cfRule type="duplicateValues" dxfId="433" priority="2588" stopIfTrue="1"/>
    <cfRule type="duplicateValues" dxfId="432" priority="2589" stopIfTrue="1"/>
    <cfRule type="duplicateValues" dxfId="431" priority="2590" stopIfTrue="1"/>
  </conditionalFormatting>
  <conditionalFormatting sqref="G2299">
    <cfRule type="duplicateValues" dxfId="430" priority="2565" stopIfTrue="1"/>
    <cfRule type="duplicateValues" dxfId="429" priority="2566" stopIfTrue="1"/>
    <cfRule type="duplicateValues" dxfId="428" priority="2567" stopIfTrue="1"/>
  </conditionalFormatting>
  <conditionalFormatting sqref="G2291">
    <cfRule type="duplicateValues" dxfId="427" priority="2562" stopIfTrue="1"/>
    <cfRule type="duplicateValues" dxfId="426" priority="2563" stopIfTrue="1"/>
    <cfRule type="duplicateValues" dxfId="425" priority="2564" stopIfTrue="1"/>
  </conditionalFormatting>
  <conditionalFormatting sqref="G2290">
    <cfRule type="duplicateValues" dxfId="424" priority="2559" stopIfTrue="1"/>
    <cfRule type="duplicateValues" dxfId="423" priority="2560" stopIfTrue="1"/>
    <cfRule type="duplicateValues" dxfId="422" priority="2561" stopIfTrue="1"/>
  </conditionalFormatting>
  <conditionalFormatting sqref="G2292">
    <cfRule type="duplicateValues" dxfId="421" priority="2556" stopIfTrue="1"/>
    <cfRule type="duplicateValues" dxfId="420" priority="2557" stopIfTrue="1"/>
    <cfRule type="duplicateValues" dxfId="419" priority="2558" stopIfTrue="1"/>
  </conditionalFormatting>
  <conditionalFormatting sqref="G2323">
    <cfRule type="duplicateValues" dxfId="418" priority="2551" stopIfTrue="1"/>
  </conditionalFormatting>
  <conditionalFormatting sqref="G2323">
    <cfRule type="duplicateValues" dxfId="417" priority="2548" stopIfTrue="1"/>
    <cfRule type="duplicateValues" dxfId="416" priority="2549" stopIfTrue="1"/>
    <cfRule type="duplicateValues" dxfId="415" priority="2550" stopIfTrue="1"/>
  </conditionalFormatting>
  <conditionalFormatting sqref="G2325">
    <cfRule type="duplicateValues" dxfId="414" priority="2543" stopIfTrue="1"/>
  </conditionalFormatting>
  <conditionalFormatting sqref="G2325">
    <cfRule type="duplicateValues" dxfId="413" priority="2540" stopIfTrue="1"/>
    <cfRule type="duplicateValues" dxfId="412" priority="2541" stopIfTrue="1"/>
    <cfRule type="duplicateValues" dxfId="411" priority="2542" stopIfTrue="1"/>
  </conditionalFormatting>
  <conditionalFormatting sqref="G2327">
    <cfRule type="duplicateValues" dxfId="410" priority="2535" stopIfTrue="1"/>
  </conditionalFormatting>
  <conditionalFormatting sqref="G2327">
    <cfRule type="duplicateValues" dxfId="409" priority="2532" stopIfTrue="1"/>
    <cfRule type="duplicateValues" dxfId="408" priority="2533" stopIfTrue="1"/>
    <cfRule type="duplicateValues" dxfId="407" priority="2534" stopIfTrue="1"/>
  </conditionalFormatting>
  <conditionalFormatting sqref="G2328">
    <cfRule type="duplicateValues" dxfId="406" priority="2527" stopIfTrue="1"/>
  </conditionalFormatting>
  <conditionalFormatting sqref="G2328">
    <cfRule type="duplicateValues" dxfId="405" priority="2524" stopIfTrue="1"/>
    <cfRule type="duplicateValues" dxfId="404" priority="2525" stopIfTrue="1"/>
    <cfRule type="duplicateValues" dxfId="403" priority="2526" stopIfTrue="1"/>
  </conditionalFormatting>
  <conditionalFormatting sqref="G2331">
    <cfRule type="duplicateValues" dxfId="402" priority="2519" stopIfTrue="1"/>
  </conditionalFormatting>
  <conditionalFormatting sqref="G2331">
    <cfRule type="duplicateValues" dxfId="401" priority="2516" stopIfTrue="1"/>
    <cfRule type="duplicateValues" dxfId="400" priority="2517" stopIfTrue="1"/>
    <cfRule type="duplicateValues" dxfId="399" priority="2518" stopIfTrue="1"/>
  </conditionalFormatting>
  <conditionalFormatting sqref="G2332">
    <cfRule type="duplicateValues" dxfId="398" priority="2511" stopIfTrue="1"/>
  </conditionalFormatting>
  <conditionalFormatting sqref="G2332">
    <cfRule type="duplicateValues" dxfId="397" priority="2508" stopIfTrue="1"/>
    <cfRule type="duplicateValues" dxfId="396" priority="2509" stopIfTrue="1"/>
    <cfRule type="duplicateValues" dxfId="395" priority="2510" stopIfTrue="1"/>
  </conditionalFormatting>
  <conditionalFormatting sqref="G2334">
    <cfRule type="duplicateValues" dxfId="394" priority="2503" stopIfTrue="1"/>
  </conditionalFormatting>
  <conditionalFormatting sqref="G2334">
    <cfRule type="duplicateValues" dxfId="393" priority="2500" stopIfTrue="1"/>
    <cfRule type="duplicateValues" dxfId="392" priority="2501" stopIfTrue="1"/>
    <cfRule type="duplicateValues" dxfId="391" priority="2502" stopIfTrue="1"/>
  </conditionalFormatting>
  <conditionalFormatting sqref="G2337">
    <cfRule type="duplicateValues" dxfId="390" priority="2495" stopIfTrue="1"/>
  </conditionalFormatting>
  <conditionalFormatting sqref="G2337">
    <cfRule type="duplicateValues" dxfId="389" priority="2492" stopIfTrue="1"/>
    <cfRule type="duplicateValues" dxfId="388" priority="2493" stopIfTrue="1"/>
    <cfRule type="duplicateValues" dxfId="387" priority="2494" stopIfTrue="1"/>
  </conditionalFormatting>
  <conditionalFormatting sqref="I2360:I2362">
    <cfRule type="duplicateValues" dxfId="386" priority="1159" stopIfTrue="1"/>
  </conditionalFormatting>
  <conditionalFormatting sqref="I2360:I2362">
    <cfRule type="duplicateValues" dxfId="385" priority="1156" stopIfTrue="1"/>
    <cfRule type="duplicateValues" dxfId="384" priority="1157" stopIfTrue="1"/>
    <cfRule type="duplicateValues" dxfId="383" priority="1158" stopIfTrue="1"/>
  </conditionalFormatting>
  <conditionalFormatting sqref="I2363">
    <cfRule type="duplicateValues" dxfId="382" priority="1155" stopIfTrue="1"/>
  </conditionalFormatting>
  <conditionalFormatting sqref="I2363">
    <cfRule type="duplicateValues" dxfId="381" priority="1152" stopIfTrue="1"/>
    <cfRule type="duplicateValues" dxfId="380" priority="1153" stopIfTrue="1"/>
    <cfRule type="duplicateValues" dxfId="379" priority="1154" stopIfTrue="1"/>
  </conditionalFormatting>
  <conditionalFormatting sqref="I2365">
    <cfRule type="duplicateValues" dxfId="378" priority="1151" stopIfTrue="1"/>
  </conditionalFormatting>
  <conditionalFormatting sqref="I2365">
    <cfRule type="duplicateValues" dxfId="377" priority="1148" stopIfTrue="1"/>
    <cfRule type="duplicateValues" dxfId="376" priority="1149" stopIfTrue="1"/>
    <cfRule type="duplicateValues" dxfId="375" priority="1150" stopIfTrue="1"/>
  </conditionalFormatting>
  <conditionalFormatting sqref="I2374">
    <cfRule type="duplicateValues" dxfId="374" priority="1147" stopIfTrue="1"/>
  </conditionalFormatting>
  <conditionalFormatting sqref="I2374">
    <cfRule type="duplicateValues" dxfId="373" priority="1144" stopIfTrue="1"/>
    <cfRule type="duplicateValues" dxfId="372" priority="1145" stopIfTrue="1"/>
    <cfRule type="duplicateValues" dxfId="371" priority="1146" stopIfTrue="1"/>
  </conditionalFormatting>
  <conditionalFormatting sqref="I2364">
    <cfRule type="duplicateValues" dxfId="370" priority="1143" stopIfTrue="1"/>
  </conditionalFormatting>
  <conditionalFormatting sqref="I2364">
    <cfRule type="duplicateValues" dxfId="369" priority="1140" stopIfTrue="1"/>
    <cfRule type="duplicateValues" dxfId="368" priority="1141" stopIfTrue="1"/>
    <cfRule type="duplicateValues" dxfId="367" priority="1142" stopIfTrue="1"/>
  </conditionalFormatting>
  <conditionalFormatting sqref="I2366">
    <cfRule type="duplicateValues" dxfId="366" priority="1101" stopIfTrue="1"/>
  </conditionalFormatting>
  <conditionalFormatting sqref="I2366">
    <cfRule type="duplicateValues" dxfId="365" priority="1098" stopIfTrue="1"/>
    <cfRule type="duplicateValues" dxfId="364" priority="1099" stopIfTrue="1"/>
    <cfRule type="duplicateValues" dxfId="363" priority="1100" stopIfTrue="1"/>
  </conditionalFormatting>
  <conditionalFormatting sqref="I2373">
    <cfRule type="duplicateValues" dxfId="362" priority="1093" stopIfTrue="1"/>
  </conditionalFormatting>
  <conditionalFormatting sqref="I2373">
    <cfRule type="duplicateValues" dxfId="361" priority="1090" stopIfTrue="1"/>
    <cfRule type="duplicateValues" dxfId="360" priority="1091" stopIfTrue="1"/>
    <cfRule type="duplicateValues" dxfId="359" priority="1092" stopIfTrue="1"/>
  </conditionalFormatting>
  <conditionalFormatting sqref="F87">
    <cfRule type="duplicateValues" dxfId="358" priority="797" stopIfTrue="1"/>
  </conditionalFormatting>
  <conditionalFormatting sqref="F87">
    <cfRule type="duplicateValues" dxfId="357" priority="794" stopIfTrue="1"/>
    <cfRule type="duplicateValues" dxfId="356" priority="795" stopIfTrue="1"/>
    <cfRule type="duplicateValues" dxfId="355" priority="796" stopIfTrue="1"/>
  </conditionalFormatting>
  <conditionalFormatting sqref="F88">
    <cfRule type="duplicateValues" dxfId="354" priority="801" stopIfTrue="1"/>
  </conditionalFormatting>
  <conditionalFormatting sqref="F88">
    <cfRule type="duplicateValues" dxfId="353" priority="798" stopIfTrue="1"/>
    <cfRule type="duplicateValues" dxfId="352" priority="799" stopIfTrue="1"/>
    <cfRule type="duplicateValues" dxfId="351" priority="800" stopIfTrue="1"/>
  </conditionalFormatting>
  <conditionalFormatting sqref="F239">
    <cfRule type="duplicateValues" dxfId="350" priority="793" stopIfTrue="1"/>
  </conditionalFormatting>
  <conditionalFormatting sqref="F239">
    <cfRule type="duplicateValues" dxfId="349" priority="790" stopIfTrue="1"/>
    <cfRule type="duplicateValues" dxfId="348" priority="791" stopIfTrue="1"/>
    <cfRule type="duplicateValues" dxfId="347" priority="792" stopIfTrue="1"/>
  </conditionalFormatting>
  <conditionalFormatting sqref="F280">
    <cfRule type="duplicateValues" dxfId="346" priority="786" stopIfTrue="1"/>
  </conditionalFormatting>
  <conditionalFormatting sqref="F280">
    <cfRule type="duplicateValues" dxfId="345" priority="787" stopIfTrue="1"/>
    <cfRule type="duplicateValues" dxfId="344" priority="788" stopIfTrue="1"/>
    <cfRule type="duplicateValues" dxfId="343" priority="789" stopIfTrue="1"/>
  </conditionalFormatting>
  <conditionalFormatting sqref="G2196:G2200">
    <cfRule type="duplicateValues" dxfId="342" priority="5943" stopIfTrue="1"/>
    <cfRule type="duplicateValues" dxfId="341" priority="5944" stopIfTrue="1"/>
    <cfRule type="duplicateValues" dxfId="340" priority="5945" stopIfTrue="1"/>
  </conditionalFormatting>
  <conditionalFormatting sqref="B823:B830">
    <cfRule type="expression" dxfId="339" priority="515">
      <formula>$Q615=2</formula>
    </cfRule>
    <cfRule type="expression" dxfId="338" priority="516">
      <formula>$Q615=1</formula>
    </cfRule>
  </conditionalFormatting>
  <conditionalFormatting sqref="B831:B834">
    <cfRule type="expression" dxfId="337" priority="517">
      <formula>$Q615=2</formula>
    </cfRule>
    <cfRule type="expression" dxfId="336" priority="518">
      <formula>$Q615=1</formula>
    </cfRule>
  </conditionalFormatting>
  <conditionalFormatting sqref="G2187">
    <cfRule type="duplicateValues" dxfId="335" priority="5946" stopIfTrue="1"/>
  </conditionalFormatting>
  <conditionalFormatting sqref="G2187">
    <cfRule type="duplicateValues" dxfId="334" priority="5947" stopIfTrue="1"/>
    <cfRule type="duplicateValues" dxfId="333" priority="5948" stopIfTrue="1"/>
    <cfRule type="duplicateValues" dxfId="332" priority="5949" stopIfTrue="1"/>
  </conditionalFormatting>
  <conditionalFormatting sqref="I276">
    <cfRule type="duplicateValues" dxfId="331" priority="394" stopIfTrue="1"/>
  </conditionalFormatting>
  <conditionalFormatting sqref="I276">
    <cfRule type="duplicateValues" dxfId="330" priority="391" stopIfTrue="1"/>
    <cfRule type="duplicateValues" dxfId="329" priority="392" stopIfTrue="1"/>
    <cfRule type="duplicateValues" dxfId="328" priority="393" stopIfTrue="1"/>
  </conditionalFormatting>
  <conditionalFormatting sqref="I279">
    <cfRule type="duplicateValues" dxfId="327" priority="390" stopIfTrue="1"/>
  </conditionalFormatting>
  <conditionalFormatting sqref="I279">
    <cfRule type="duplicateValues" dxfId="326" priority="387" stopIfTrue="1"/>
    <cfRule type="duplicateValues" dxfId="325" priority="388" stopIfTrue="1"/>
    <cfRule type="duplicateValues" dxfId="324" priority="389" stopIfTrue="1"/>
  </conditionalFormatting>
  <conditionalFormatting sqref="F442">
    <cfRule type="duplicateValues" dxfId="323" priority="383" stopIfTrue="1"/>
  </conditionalFormatting>
  <conditionalFormatting sqref="F442">
    <cfRule type="duplicateValues" dxfId="322" priority="384" stopIfTrue="1"/>
    <cfRule type="duplicateValues" dxfId="321" priority="385" stopIfTrue="1"/>
    <cfRule type="duplicateValues" dxfId="320" priority="386" stopIfTrue="1"/>
  </conditionalFormatting>
  <conditionalFormatting sqref="F446">
    <cfRule type="duplicateValues" dxfId="319" priority="379" stopIfTrue="1"/>
  </conditionalFormatting>
  <conditionalFormatting sqref="F446">
    <cfRule type="duplicateValues" dxfId="318" priority="380" stopIfTrue="1"/>
    <cfRule type="duplicateValues" dxfId="317" priority="381" stopIfTrue="1"/>
    <cfRule type="duplicateValues" dxfId="316" priority="382" stopIfTrue="1"/>
  </conditionalFormatting>
  <conditionalFormatting sqref="F1722">
    <cfRule type="duplicateValues" dxfId="315" priority="378" stopIfTrue="1"/>
  </conditionalFormatting>
  <conditionalFormatting sqref="F1722">
    <cfRule type="duplicateValues" dxfId="314" priority="375" stopIfTrue="1"/>
    <cfRule type="duplicateValues" dxfId="313" priority="376" stopIfTrue="1"/>
    <cfRule type="duplicateValues" dxfId="312" priority="377" stopIfTrue="1"/>
  </conditionalFormatting>
  <conditionalFormatting sqref="F1723">
    <cfRule type="duplicateValues" dxfId="311" priority="374" stopIfTrue="1"/>
  </conditionalFormatting>
  <conditionalFormatting sqref="F1723">
    <cfRule type="duplicateValues" dxfId="310" priority="371" stopIfTrue="1"/>
    <cfRule type="duplicateValues" dxfId="309" priority="372" stopIfTrue="1"/>
    <cfRule type="duplicateValues" dxfId="308" priority="373" stopIfTrue="1"/>
  </conditionalFormatting>
  <conditionalFormatting sqref="F1724">
    <cfRule type="duplicateValues" dxfId="307" priority="370" stopIfTrue="1"/>
  </conditionalFormatting>
  <conditionalFormatting sqref="F1724">
    <cfRule type="duplicateValues" dxfId="306" priority="367" stopIfTrue="1"/>
    <cfRule type="duplicateValues" dxfId="305" priority="368" stopIfTrue="1"/>
    <cfRule type="duplicateValues" dxfId="304" priority="369" stopIfTrue="1"/>
  </conditionalFormatting>
  <conditionalFormatting sqref="F1725">
    <cfRule type="duplicateValues" dxfId="303" priority="366" stopIfTrue="1"/>
  </conditionalFormatting>
  <conditionalFormatting sqref="F1725">
    <cfRule type="duplicateValues" dxfId="302" priority="363" stopIfTrue="1"/>
    <cfRule type="duplicateValues" dxfId="301" priority="364" stopIfTrue="1"/>
    <cfRule type="duplicateValues" dxfId="300" priority="365" stopIfTrue="1"/>
  </conditionalFormatting>
  <conditionalFormatting sqref="F1732">
    <cfRule type="duplicateValues" dxfId="299" priority="362" stopIfTrue="1"/>
  </conditionalFormatting>
  <conditionalFormatting sqref="F1732">
    <cfRule type="duplicateValues" dxfId="298" priority="359" stopIfTrue="1"/>
    <cfRule type="duplicateValues" dxfId="297" priority="360" stopIfTrue="1"/>
    <cfRule type="duplicateValues" dxfId="296" priority="361" stopIfTrue="1"/>
  </conditionalFormatting>
  <conditionalFormatting sqref="F1733">
    <cfRule type="duplicateValues" dxfId="295" priority="358" stopIfTrue="1"/>
  </conditionalFormatting>
  <conditionalFormatting sqref="F1733">
    <cfRule type="duplicateValues" dxfId="294" priority="355" stopIfTrue="1"/>
    <cfRule type="duplicateValues" dxfId="293" priority="356" stopIfTrue="1"/>
    <cfRule type="duplicateValues" dxfId="292" priority="357" stopIfTrue="1"/>
  </conditionalFormatting>
  <conditionalFormatting sqref="F1734">
    <cfRule type="duplicateValues" dxfId="291" priority="354" stopIfTrue="1"/>
  </conditionalFormatting>
  <conditionalFormatting sqref="F1734">
    <cfRule type="duplicateValues" dxfId="290" priority="351" stopIfTrue="1"/>
    <cfRule type="duplicateValues" dxfId="289" priority="352" stopIfTrue="1"/>
    <cfRule type="duplicateValues" dxfId="288" priority="353" stopIfTrue="1"/>
  </conditionalFormatting>
  <conditionalFormatting sqref="F1735">
    <cfRule type="duplicateValues" dxfId="287" priority="350" stopIfTrue="1"/>
  </conditionalFormatting>
  <conditionalFormatting sqref="F1735">
    <cfRule type="duplicateValues" dxfId="286" priority="347" stopIfTrue="1"/>
    <cfRule type="duplicateValues" dxfId="285" priority="348" stopIfTrue="1"/>
    <cfRule type="duplicateValues" dxfId="284" priority="349" stopIfTrue="1"/>
  </conditionalFormatting>
  <conditionalFormatting sqref="F1736">
    <cfRule type="duplicateValues" dxfId="283" priority="346" stopIfTrue="1"/>
  </conditionalFormatting>
  <conditionalFormatting sqref="F1736">
    <cfRule type="duplicateValues" dxfId="282" priority="343" stopIfTrue="1"/>
    <cfRule type="duplicateValues" dxfId="281" priority="344" stopIfTrue="1"/>
    <cfRule type="duplicateValues" dxfId="280" priority="345" stopIfTrue="1"/>
  </conditionalFormatting>
  <conditionalFormatting sqref="F1742">
    <cfRule type="duplicateValues" dxfId="279" priority="342" stopIfTrue="1"/>
  </conditionalFormatting>
  <conditionalFormatting sqref="F1742">
    <cfRule type="duplicateValues" dxfId="278" priority="339" stopIfTrue="1"/>
    <cfRule type="duplicateValues" dxfId="277" priority="340" stopIfTrue="1"/>
    <cfRule type="duplicateValues" dxfId="276" priority="341" stopIfTrue="1"/>
  </conditionalFormatting>
  <conditionalFormatting sqref="F1743">
    <cfRule type="duplicateValues" dxfId="275" priority="338" stopIfTrue="1"/>
  </conditionalFormatting>
  <conditionalFormatting sqref="F1743">
    <cfRule type="duplicateValues" dxfId="274" priority="335" stopIfTrue="1"/>
    <cfRule type="duplicateValues" dxfId="273" priority="336" stopIfTrue="1"/>
    <cfRule type="duplicateValues" dxfId="272" priority="337" stopIfTrue="1"/>
  </conditionalFormatting>
  <conditionalFormatting sqref="F1744">
    <cfRule type="duplicateValues" dxfId="271" priority="334" stopIfTrue="1"/>
  </conditionalFormatting>
  <conditionalFormatting sqref="F1744">
    <cfRule type="duplicateValues" dxfId="270" priority="331" stopIfTrue="1"/>
    <cfRule type="duplicateValues" dxfId="269" priority="332" stopIfTrue="1"/>
    <cfRule type="duplicateValues" dxfId="268" priority="333" stopIfTrue="1"/>
  </conditionalFormatting>
  <conditionalFormatting sqref="F1745">
    <cfRule type="duplicateValues" dxfId="267" priority="330" stopIfTrue="1"/>
  </conditionalFormatting>
  <conditionalFormatting sqref="F1745">
    <cfRule type="duplicateValues" dxfId="266" priority="327" stopIfTrue="1"/>
    <cfRule type="duplicateValues" dxfId="265" priority="328" stopIfTrue="1"/>
    <cfRule type="duplicateValues" dxfId="264" priority="329" stopIfTrue="1"/>
  </conditionalFormatting>
  <conditionalFormatting sqref="F1752">
    <cfRule type="duplicateValues" dxfId="263" priority="326" stopIfTrue="1"/>
  </conditionalFormatting>
  <conditionalFormatting sqref="F1752">
    <cfRule type="duplicateValues" dxfId="262" priority="323" stopIfTrue="1"/>
    <cfRule type="duplicateValues" dxfId="261" priority="324" stopIfTrue="1"/>
    <cfRule type="duplicateValues" dxfId="260" priority="325" stopIfTrue="1"/>
  </conditionalFormatting>
  <conditionalFormatting sqref="F1753">
    <cfRule type="duplicateValues" dxfId="259" priority="322" stopIfTrue="1"/>
  </conditionalFormatting>
  <conditionalFormatting sqref="F1753">
    <cfRule type="duplicateValues" dxfId="258" priority="319" stopIfTrue="1"/>
    <cfRule type="duplicateValues" dxfId="257" priority="320" stopIfTrue="1"/>
    <cfRule type="duplicateValues" dxfId="256" priority="321" stopIfTrue="1"/>
  </conditionalFormatting>
  <conditionalFormatting sqref="F1754">
    <cfRule type="duplicateValues" dxfId="255" priority="318" stopIfTrue="1"/>
  </conditionalFormatting>
  <conditionalFormatting sqref="F1754">
    <cfRule type="duplicateValues" dxfId="254" priority="315" stopIfTrue="1"/>
    <cfRule type="duplicateValues" dxfId="253" priority="316" stopIfTrue="1"/>
    <cfRule type="duplicateValues" dxfId="252" priority="317" stopIfTrue="1"/>
  </conditionalFormatting>
  <conditionalFormatting sqref="F1755">
    <cfRule type="duplicateValues" dxfId="251" priority="314" stopIfTrue="1"/>
  </conditionalFormatting>
  <conditionalFormatting sqref="F1755">
    <cfRule type="duplicateValues" dxfId="250" priority="311" stopIfTrue="1"/>
    <cfRule type="duplicateValues" dxfId="249" priority="312" stopIfTrue="1"/>
    <cfRule type="duplicateValues" dxfId="248" priority="313" stopIfTrue="1"/>
  </conditionalFormatting>
  <conditionalFormatting sqref="F1756">
    <cfRule type="duplicateValues" dxfId="247" priority="310" stopIfTrue="1"/>
  </conditionalFormatting>
  <conditionalFormatting sqref="F1756">
    <cfRule type="duplicateValues" dxfId="246" priority="307" stopIfTrue="1"/>
    <cfRule type="duplicateValues" dxfId="245" priority="308" stopIfTrue="1"/>
    <cfRule type="duplicateValues" dxfId="244" priority="309" stopIfTrue="1"/>
  </conditionalFormatting>
  <conditionalFormatting sqref="F1761">
    <cfRule type="duplicateValues" dxfId="243" priority="306" stopIfTrue="1"/>
  </conditionalFormatting>
  <conditionalFormatting sqref="F1761">
    <cfRule type="duplicateValues" dxfId="242" priority="303" stopIfTrue="1"/>
    <cfRule type="duplicateValues" dxfId="241" priority="304" stopIfTrue="1"/>
    <cfRule type="duplicateValues" dxfId="240" priority="305" stopIfTrue="1"/>
  </conditionalFormatting>
  <conditionalFormatting sqref="F1766">
    <cfRule type="duplicateValues" dxfId="239" priority="302" stopIfTrue="1"/>
  </conditionalFormatting>
  <conditionalFormatting sqref="F1766">
    <cfRule type="duplicateValues" dxfId="238" priority="299" stopIfTrue="1"/>
    <cfRule type="duplicateValues" dxfId="237" priority="300" stopIfTrue="1"/>
    <cfRule type="duplicateValues" dxfId="236" priority="301" stopIfTrue="1"/>
  </conditionalFormatting>
  <conditionalFormatting sqref="F1724">
    <cfRule type="duplicateValues" dxfId="235" priority="298" stopIfTrue="1"/>
  </conditionalFormatting>
  <conditionalFormatting sqref="F1724">
    <cfRule type="duplicateValues" dxfId="234" priority="295" stopIfTrue="1"/>
    <cfRule type="duplicateValues" dxfId="233" priority="296" stopIfTrue="1"/>
    <cfRule type="duplicateValues" dxfId="232" priority="297" stopIfTrue="1"/>
  </conditionalFormatting>
  <conditionalFormatting sqref="E1370">
    <cfRule type="duplicateValues" dxfId="231" priority="291" stopIfTrue="1"/>
  </conditionalFormatting>
  <conditionalFormatting sqref="E1370">
    <cfRule type="duplicateValues" dxfId="230" priority="292" stopIfTrue="1"/>
    <cfRule type="duplicateValues" dxfId="229" priority="293" stopIfTrue="1"/>
    <cfRule type="duplicateValues" dxfId="228" priority="294" stopIfTrue="1"/>
  </conditionalFormatting>
  <conditionalFormatting sqref="F1370">
    <cfRule type="duplicateValues" dxfId="227" priority="283" stopIfTrue="1"/>
  </conditionalFormatting>
  <conditionalFormatting sqref="F1370">
    <cfRule type="duplicateValues" dxfId="226" priority="284" stopIfTrue="1"/>
    <cfRule type="duplicateValues" dxfId="225" priority="285" stopIfTrue="1"/>
    <cfRule type="duplicateValues" dxfId="224" priority="286" stopIfTrue="1"/>
  </conditionalFormatting>
  <conditionalFormatting sqref="F1361">
    <cfRule type="duplicateValues" dxfId="223" priority="287" stopIfTrue="1"/>
  </conditionalFormatting>
  <conditionalFormatting sqref="F1361">
    <cfRule type="duplicateValues" dxfId="222" priority="288" stopIfTrue="1"/>
    <cfRule type="duplicateValues" dxfId="221" priority="289" stopIfTrue="1"/>
    <cfRule type="duplicateValues" dxfId="220" priority="290" stopIfTrue="1"/>
  </conditionalFormatting>
  <conditionalFormatting sqref="F1362">
    <cfRule type="duplicateValues" dxfId="219" priority="280" stopIfTrue="1"/>
    <cfRule type="duplicateValues" dxfId="218" priority="281" stopIfTrue="1"/>
    <cfRule type="duplicateValues" dxfId="217" priority="282" stopIfTrue="1"/>
  </conditionalFormatting>
  <conditionalFormatting sqref="F1364">
    <cfRule type="duplicateValues" dxfId="216" priority="276" stopIfTrue="1"/>
  </conditionalFormatting>
  <conditionalFormatting sqref="F1364">
    <cfRule type="duplicateValues" dxfId="215" priority="277" stopIfTrue="1"/>
    <cfRule type="duplicateValues" dxfId="214" priority="278" stopIfTrue="1"/>
    <cfRule type="duplicateValues" dxfId="213" priority="279" stopIfTrue="1"/>
  </conditionalFormatting>
  <conditionalFormatting sqref="F1369">
    <cfRule type="duplicateValues" dxfId="212" priority="272" stopIfTrue="1"/>
  </conditionalFormatting>
  <conditionalFormatting sqref="F1369">
    <cfRule type="duplicateValues" dxfId="211" priority="273" stopIfTrue="1"/>
    <cfRule type="duplicateValues" dxfId="210" priority="274" stopIfTrue="1"/>
    <cfRule type="duplicateValues" dxfId="209" priority="275" stopIfTrue="1"/>
  </conditionalFormatting>
  <conditionalFormatting sqref="F1371">
    <cfRule type="duplicateValues" dxfId="208" priority="268" stopIfTrue="1"/>
  </conditionalFormatting>
  <conditionalFormatting sqref="F1371">
    <cfRule type="duplicateValues" dxfId="207" priority="269" stopIfTrue="1"/>
    <cfRule type="duplicateValues" dxfId="206" priority="270" stopIfTrue="1"/>
    <cfRule type="duplicateValues" dxfId="205" priority="271" stopIfTrue="1"/>
  </conditionalFormatting>
  <conditionalFormatting sqref="F1372">
    <cfRule type="duplicateValues" dxfId="204" priority="265" stopIfTrue="1"/>
    <cfRule type="duplicateValues" dxfId="203" priority="266" stopIfTrue="1"/>
    <cfRule type="duplicateValues" dxfId="202" priority="267" stopIfTrue="1"/>
  </conditionalFormatting>
  <conditionalFormatting sqref="F1373">
    <cfRule type="duplicateValues" dxfId="201" priority="261" stopIfTrue="1"/>
  </conditionalFormatting>
  <conditionalFormatting sqref="F1373">
    <cfRule type="duplicateValues" dxfId="200" priority="262" stopIfTrue="1"/>
    <cfRule type="duplicateValues" dxfId="199" priority="263" stopIfTrue="1"/>
    <cfRule type="duplicateValues" dxfId="198" priority="264" stopIfTrue="1"/>
  </conditionalFormatting>
  <conditionalFormatting sqref="F1375">
    <cfRule type="duplicateValues" dxfId="197" priority="257" stopIfTrue="1"/>
  </conditionalFormatting>
  <conditionalFormatting sqref="F1375">
    <cfRule type="duplicateValues" dxfId="196" priority="258" stopIfTrue="1"/>
    <cfRule type="duplicateValues" dxfId="195" priority="259" stopIfTrue="1"/>
    <cfRule type="duplicateValues" dxfId="194" priority="260" stopIfTrue="1"/>
  </conditionalFormatting>
  <conditionalFormatting sqref="F1360">
    <cfRule type="duplicateValues" dxfId="193" priority="237" stopIfTrue="1"/>
  </conditionalFormatting>
  <conditionalFormatting sqref="F1360">
    <cfRule type="duplicateValues" dxfId="192" priority="238" stopIfTrue="1"/>
    <cfRule type="duplicateValues" dxfId="191" priority="239" stopIfTrue="1"/>
    <cfRule type="duplicateValues" dxfId="190" priority="240" stopIfTrue="1"/>
  </conditionalFormatting>
  <conditionalFormatting sqref="F1363">
    <cfRule type="duplicateValues" dxfId="189" priority="233" stopIfTrue="1"/>
  </conditionalFormatting>
  <conditionalFormatting sqref="F1363">
    <cfRule type="duplicateValues" dxfId="188" priority="234" stopIfTrue="1"/>
    <cfRule type="duplicateValues" dxfId="187" priority="235" stopIfTrue="1"/>
    <cfRule type="duplicateValues" dxfId="186" priority="236" stopIfTrue="1"/>
  </conditionalFormatting>
  <conditionalFormatting sqref="F1367">
    <cfRule type="duplicateValues" dxfId="185" priority="229" stopIfTrue="1"/>
  </conditionalFormatting>
  <conditionalFormatting sqref="F1367">
    <cfRule type="duplicateValues" dxfId="184" priority="230" stopIfTrue="1"/>
    <cfRule type="duplicateValues" dxfId="183" priority="231" stopIfTrue="1"/>
    <cfRule type="duplicateValues" dxfId="182" priority="232" stopIfTrue="1"/>
  </conditionalFormatting>
  <conditionalFormatting sqref="F1365">
    <cfRule type="duplicateValues" dxfId="181" priority="225" stopIfTrue="1"/>
  </conditionalFormatting>
  <conditionalFormatting sqref="F1365">
    <cfRule type="duplicateValues" dxfId="180" priority="226" stopIfTrue="1"/>
    <cfRule type="duplicateValues" dxfId="179" priority="227" stopIfTrue="1"/>
    <cfRule type="duplicateValues" dxfId="178" priority="228" stopIfTrue="1"/>
  </conditionalFormatting>
  <conditionalFormatting sqref="F1368">
    <cfRule type="duplicateValues" dxfId="177" priority="221" stopIfTrue="1"/>
  </conditionalFormatting>
  <conditionalFormatting sqref="F1368">
    <cfRule type="duplicateValues" dxfId="176" priority="222" stopIfTrue="1"/>
    <cfRule type="duplicateValues" dxfId="175" priority="223" stopIfTrue="1"/>
    <cfRule type="duplicateValues" dxfId="174" priority="224" stopIfTrue="1"/>
  </conditionalFormatting>
  <conditionalFormatting sqref="F1366">
    <cfRule type="duplicateValues" dxfId="173" priority="217" stopIfTrue="1"/>
  </conditionalFormatting>
  <conditionalFormatting sqref="F1366">
    <cfRule type="duplicateValues" dxfId="172" priority="218" stopIfTrue="1"/>
    <cfRule type="duplicateValues" dxfId="171" priority="219" stopIfTrue="1"/>
    <cfRule type="duplicateValues" dxfId="170" priority="220" stopIfTrue="1"/>
  </conditionalFormatting>
  <conditionalFormatting sqref="F1374">
    <cfRule type="duplicateValues" dxfId="169" priority="213" stopIfTrue="1"/>
  </conditionalFormatting>
  <conditionalFormatting sqref="F1374">
    <cfRule type="duplicateValues" dxfId="168" priority="214" stopIfTrue="1"/>
    <cfRule type="duplicateValues" dxfId="167" priority="215" stopIfTrue="1"/>
    <cfRule type="duplicateValues" dxfId="166" priority="216" stopIfTrue="1"/>
  </conditionalFormatting>
  <conditionalFormatting sqref="F1376">
    <cfRule type="duplicateValues" dxfId="165" priority="209" stopIfTrue="1"/>
  </conditionalFormatting>
  <conditionalFormatting sqref="F1376">
    <cfRule type="duplicateValues" dxfId="164" priority="210" stopIfTrue="1"/>
    <cfRule type="duplicateValues" dxfId="163" priority="211" stopIfTrue="1"/>
    <cfRule type="duplicateValues" dxfId="162" priority="212" stopIfTrue="1"/>
  </conditionalFormatting>
  <conditionalFormatting sqref="F1377">
    <cfRule type="duplicateValues" dxfId="161" priority="205" stopIfTrue="1"/>
  </conditionalFormatting>
  <conditionalFormatting sqref="F1377">
    <cfRule type="duplicateValues" dxfId="160" priority="206" stopIfTrue="1"/>
    <cfRule type="duplicateValues" dxfId="159" priority="207" stopIfTrue="1"/>
    <cfRule type="duplicateValues" dxfId="158" priority="208" stopIfTrue="1"/>
  </conditionalFormatting>
  <conditionalFormatting sqref="F1378">
    <cfRule type="duplicateValues" dxfId="157" priority="201" stopIfTrue="1"/>
  </conditionalFormatting>
  <conditionalFormatting sqref="F1378">
    <cfRule type="duplicateValues" dxfId="156" priority="202" stopIfTrue="1"/>
    <cfRule type="duplicateValues" dxfId="155" priority="203" stopIfTrue="1"/>
    <cfRule type="duplicateValues" dxfId="154" priority="204" stopIfTrue="1"/>
  </conditionalFormatting>
  <conditionalFormatting sqref="F1381">
    <cfRule type="duplicateValues" dxfId="153" priority="197" stopIfTrue="1"/>
  </conditionalFormatting>
  <conditionalFormatting sqref="F1381">
    <cfRule type="duplicateValues" dxfId="152" priority="198" stopIfTrue="1"/>
    <cfRule type="duplicateValues" dxfId="151" priority="199" stopIfTrue="1"/>
    <cfRule type="duplicateValues" dxfId="150" priority="200" stopIfTrue="1"/>
  </conditionalFormatting>
  <conditionalFormatting sqref="F1379">
    <cfRule type="duplicateValues" dxfId="149" priority="193" stopIfTrue="1"/>
  </conditionalFormatting>
  <conditionalFormatting sqref="F1379">
    <cfRule type="duplicateValues" dxfId="148" priority="194" stopIfTrue="1"/>
    <cfRule type="duplicateValues" dxfId="147" priority="195" stopIfTrue="1"/>
    <cfRule type="duplicateValues" dxfId="146" priority="196" stopIfTrue="1"/>
  </conditionalFormatting>
  <conditionalFormatting sqref="F1380">
    <cfRule type="duplicateValues" dxfId="145" priority="189" stopIfTrue="1"/>
  </conditionalFormatting>
  <conditionalFormatting sqref="F1380">
    <cfRule type="duplicateValues" dxfId="144" priority="190" stopIfTrue="1"/>
    <cfRule type="duplicateValues" dxfId="143" priority="191" stopIfTrue="1"/>
    <cfRule type="duplicateValues" dxfId="142" priority="192" stopIfTrue="1"/>
  </conditionalFormatting>
  <conditionalFormatting sqref="H2371">
    <cfRule type="duplicateValues" dxfId="141" priority="173" stopIfTrue="1"/>
  </conditionalFormatting>
  <conditionalFormatting sqref="H2371">
    <cfRule type="duplicateValues" dxfId="140" priority="174" stopIfTrue="1"/>
    <cfRule type="duplicateValues" dxfId="139" priority="175" stopIfTrue="1"/>
    <cfRule type="duplicateValues" dxfId="138" priority="176" stopIfTrue="1"/>
  </conditionalFormatting>
  <conditionalFormatting sqref="H2373">
    <cfRule type="duplicateValues" dxfId="137" priority="177" stopIfTrue="1"/>
  </conditionalFormatting>
  <conditionalFormatting sqref="H2373">
    <cfRule type="duplicateValues" dxfId="136" priority="178" stopIfTrue="1"/>
    <cfRule type="duplicateValues" dxfId="135" priority="179" stopIfTrue="1"/>
    <cfRule type="duplicateValues" dxfId="134" priority="180" stopIfTrue="1"/>
  </conditionalFormatting>
  <conditionalFormatting sqref="H2374">
    <cfRule type="duplicateValues" dxfId="133" priority="181" stopIfTrue="1"/>
  </conditionalFormatting>
  <conditionalFormatting sqref="H2374">
    <cfRule type="duplicateValues" dxfId="132" priority="182" stopIfTrue="1"/>
    <cfRule type="duplicateValues" dxfId="131" priority="183" stopIfTrue="1"/>
    <cfRule type="duplicateValues" dxfId="130" priority="184" stopIfTrue="1"/>
  </conditionalFormatting>
  <conditionalFormatting sqref="H2372">
    <cfRule type="duplicateValues" dxfId="129" priority="185" stopIfTrue="1"/>
  </conditionalFormatting>
  <conditionalFormatting sqref="H2372">
    <cfRule type="duplicateValues" dxfId="128" priority="186" stopIfTrue="1"/>
    <cfRule type="duplicateValues" dxfId="127" priority="187" stopIfTrue="1"/>
    <cfRule type="duplicateValues" dxfId="126" priority="188" stopIfTrue="1"/>
  </conditionalFormatting>
  <conditionalFormatting sqref="H2363">
    <cfRule type="duplicateValues" dxfId="125" priority="147" stopIfTrue="1"/>
  </conditionalFormatting>
  <conditionalFormatting sqref="H2363">
    <cfRule type="duplicateValues" dxfId="124" priority="148" stopIfTrue="1"/>
    <cfRule type="duplicateValues" dxfId="123" priority="149" stopIfTrue="1"/>
    <cfRule type="duplicateValues" dxfId="122" priority="150" stopIfTrue="1"/>
  </conditionalFormatting>
  <conditionalFormatting sqref="H2365">
    <cfRule type="duplicateValues" dxfId="121" priority="151" stopIfTrue="1"/>
  </conditionalFormatting>
  <conditionalFormatting sqref="H2365">
    <cfRule type="duplicateValues" dxfId="120" priority="152" stopIfTrue="1"/>
    <cfRule type="duplicateValues" dxfId="119" priority="153" stopIfTrue="1"/>
    <cfRule type="duplicateValues" dxfId="118" priority="154" stopIfTrue="1"/>
  </conditionalFormatting>
  <conditionalFormatting sqref="H2366">
    <cfRule type="duplicateValues" dxfId="117" priority="155" stopIfTrue="1"/>
  </conditionalFormatting>
  <conditionalFormatting sqref="H2366">
    <cfRule type="duplicateValues" dxfId="116" priority="156" stopIfTrue="1"/>
    <cfRule type="duplicateValues" dxfId="115" priority="157" stopIfTrue="1"/>
    <cfRule type="duplicateValues" dxfId="114" priority="158" stopIfTrue="1"/>
  </conditionalFormatting>
  <conditionalFormatting sqref="H2374">
    <cfRule type="duplicateValues" dxfId="113" priority="159" stopIfTrue="1"/>
  </conditionalFormatting>
  <conditionalFormatting sqref="H2374">
    <cfRule type="duplicateValues" dxfId="112" priority="160" stopIfTrue="1"/>
    <cfRule type="duplicateValues" dxfId="111" priority="161" stopIfTrue="1"/>
    <cfRule type="duplicateValues" dxfId="110" priority="162" stopIfTrue="1"/>
  </conditionalFormatting>
  <conditionalFormatting sqref="H2364">
    <cfRule type="duplicateValues" dxfId="109" priority="163" stopIfTrue="1"/>
  </conditionalFormatting>
  <conditionalFormatting sqref="H2364">
    <cfRule type="duplicateValues" dxfId="108" priority="164" stopIfTrue="1"/>
    <cfRule type="duplicateValues" dxfId="107" priority="165" stopIfTrue="1"/>
    <cfRule type="duplicateValues" dxfId="106" priority="166" stopIfTrue="1"/>
  </conditionalFormatting>
  <conditionalFormatting sqref="H2377">
    <cfRule type="duplicateValues" dxfId="105" priority="167" stopIfTrue="1"/>
    <cfRule type="duplicateValues" dxfId="104" priority="168" stopIfTrue="1"/>
    <cfRule type="duplicateValues" dxfId="103" priority="169" stopIfTrue="1"/>
  </conditionalFormatting>
  <conditionalFormatting sqref="H2378">
    <cfRule type="duplicateValues" dxfId="102" priority="170" stopIfTrue="1"/>
    <cfRule type="duplicateValues" dxfId="101" priority="171" stopIfTrue="1"/>
    <cfRule type="duplicateValues" dxfId="100" priority="172" stopIfTrue="1"/>
  </conditionalFormatting>
  <conditionalFormatting sqref="F2374 F2377:F2380">
    <cfRule type="duplicateValues" dxfId="99" priority="143" stopIfTrue="1"/>
  </conditionalFormatting>
  <conditionalFormatting sqref="F2374 F2377:F2380">
    <cfRule type="duplicateValues" dxfId="98" priority="144" stopIfTrue="1"/>
    <cfRule type="duplicateValues" dxfId="97" priority="145" stopIfTrue="1"/>
    <cfRule type="duplicateValues" dxfId="96" priority="146" stopIfTrue="1"/>
  </conditionalFormatting>
  <conditionalFormatting sqref="F2374">
    <cfRule type="duplicateValues" dxfId="95" priority="139" stopIfTrue="1"/>
  </conditionalFormatting>
  <conditionalFormatting sqref="F2374">
    <cfRule type="duplicateValues" dxfId="94" priority="140" stopIfTrue="1"/>
    <cfRule type="duplicateValues" dxfId="93" priority="141" stopIfTrue="1"/>
    <cfRule type="duplicateValues" dxfId="92" priority="142" stopIfTrue="1"/>
  </conditionalFormatting>
  <conditionalFormatting sqref="F2376">
    <cfRule type="duplicateValues" dxfId="91" priority="131" stopIfTrue="1"/>
  </conditionalFormatting>
  <conditionalFormatting sqref="F2376">
    <cfRule type="duplicateValues" dxfId="90" priority="132" stopIfTrue="1"/>
    <cfRule type="duplicateValues" dxfId="89" priority="133" stopIfTrue="1"/>
    <cfRule type="duplicateValues" dxfId="88" priority="134" stopIfTrue="1"/>
  </conditionalFormatting>
  <conditionalFormatting sqref="F2381">
    <cfRule type="duplicateValues" dxfId="87" priority="127" stopIfTrue="1"/>
  </conditionalFormatting>
  <conditionalFormatting sqref="F2381">
    <cfRule type="duplicateValues" dxfId="86" priority="128" stopIfTrue="1"/>
    <cfRule type="duplicateValues" dxfId="85" priority="129" stopIfTrue="1"/>
    <cfRule type="duplicateValues" dxfId="84" priority="130" stopIfTrue="1"/>
  </conditionalFormatting>
  <conditionalFormatting sqref="O792:O816 B792:B816">
    <cfRule type="expression" dxfId="83" priority="125">
      <formula>$Q585=2</formula>
    </cfRule>
    <cfRule type="expression" dxfId="82" priority="126">
      <formula>$Q585=1</formula>
    </cfRule>
  </conditionalFormatting>
  <conditionalFormatting sqref="F1350">
    <cfRule type="duplicateValues" dxfId="81" priority="121" stopIfTrue="1"/>
  </conditionalFormatting>
  <conditionalFormatting sqref="F1350">
    <cfRule type="duplicateValues" dxfId="80" priority="122" stopIfTrue="1"/>
    <cfRule type="duplicateValues" dxfId="79" priority="123" stopIfTrue="1"/>
    <cfRule type="duplicateValues" dxfId="78" priority="124" stopIfTrue="1"/>
  </conditionalFormatting>
  <conditionalFormatting sqref="G1396">
    <cfRule type="duplicateValues" dxfId="77" priority="120" stopIfTrue="1"/>
  </conditionalFormatting>
  <conditionalFormatting sqref="G1396">
    <cfRule type="duplicateValues" dxfId="76" priority="117" stopIfTrue="1"/>
    <cfRule type="duplicateValues" dxfId="75" priority="118" stopIfTrue="1"/>
    <cfRule type="duplicateValues" dxfId="74" priority="119" stopIfTrue="1"/>
  </conditionalFormatting>
  <conditionalFormatting sqref="F1395">
    <cfRule type="duplicateValues" dxfId="73" priority="113" stopIfTrue="1"/>
  </conditionalFormatting>
  <conditionalFormatting sqref="F1395">
    <cfRule type="duplicateValues" dxfId="72" priority="114" stopIfTrue="1"/>
    <cfRule type="duplicateValues" dxfId="71" priority="115" stopIfTrue="1"/>
    <cfRule type="duplicateValues" dxfId="70" priority="116" stopIfTrue="1"/>
  </conditionalFormatting>
  <conditionalFormatting sqref="F1396">
    <cfRule type="duplicateValues" dxfId="69" priority="109" stopIfTrue="1"/>
  </conditionalFormatting>
  <conditionalFormatting sqref="F1396">
    <cfRule type="duplicateValues" dxfId="68" priority="110" stopIfTrue="1"/>
    <cfRule type="duplicateValues" dxfId="67" priority="111" stopIfTrue="1"/>
    <cfRule type="duplicateValues" dxfId="66" priority="112" stopIfTrue="1"/>
  </conditionalFormatting>
  <conditionalFormatting sqref="O823:O830">
    <cfRule type="expression" dxfId="65" priority="105">
      <formula>$Q615=2</formula>
    </cfRule>
    <cfRule type="expression" dxfId="64" priority="106">
      <formula>$Q615=1</formula>
    </cfRule>
  </conditionalFormatting>
  <conditionalFormatting sqref="O831:O834">
    <cfRule type="expression" dxfId="63" priority="107">
      <formula>$Q615=2</formula>
    </cfRule>
    <cfRule type="expression" dxfId="62" priority="108">
      <formula>$Q615=1</formula>
    </cfRule>
  </conditionalFormatting>
  <conditionalFormatting sqref="G2335">
    <cfRule type="duplicateValues" dxfId="61" priority="102" stopIfTrue="1"/>
  </conditionalFormatting>
  <conditionalFormatting sqref="G2335">
    <cfRule type="duplicateValues" dxfId="60" priority="99" stopIfTrue="1"/>
    <cfRule type="duplicateValues" dxfId="59" priority="100" stopIfTrue="1"/>
    <cfRule type="duplicateValues" dxfId="58" priority="101" stopIfTrue="1"/>
  </conditionalFormatting>
  <conditionalFormatting sqref="G2336">
    <cfRule type="duplicateValues" dxfId="57" priority="98" stopIfTrue="1"/>
  </conditionalFormatting>
  <conditionalFormatting sqref="G2336">
    <cfRule type="duplicateValues" dxfId="56" priority="95" stopIfTrue="1"/>
    <cfRule type="duplicateValues" dxfId="55" priority="96" stopIfTrue="1"/>
    <cfRule type="duplicateValues" dxfId="54" priority="97" stopIfTrue="1"/>
  </conditionalFormatting>
  <conditionalFormatting sqref="I2375">
    <cfRule type="duplicateValues" dxfId="53" priority="94" stopIfTrue="1"/>
  </conditionalFormatting>
  <conditionalFormatting sqref="I2375">
    <cfRule type="duplicateValues" dxfId="52" priority="91" stopIfTrue="1"/>
    <cfRule type="duplicateValues" dxfId="51" priority="92" stopIfTrue="1"/>
    <cfRule type="duplicateValues" dxfId="50" priority="93" stopIfTrue="1"/>
  </conditionalFormatting>
  <conditionalFormatting sqref="H2375">
    <cfRule type="duplicateValues" dxfId="49" priority="87" stopIfTrue="1"/>
  </conditionalFormatting>
  <conditionalFormatting sqref="H2375">
    <cfRule type="duplicateValues" dxfId="48" priority="88" stopIfTrue="1"/>
    <cfRule type="duplicateValues" dxfId="47" priority="89" stopIfTrue="1"/>
    <cfRule type="duplicateValues" dxfId="46" priority="90" stopIfTrue="1"/>
  </conditionalFormatting>
  <conditionalFormatting sqref="H2375">
    <cfRule type="duplicateValues" dxfId="45" priority="83" stopIfTrue="1"/>
  </conditionalFormatting>
  <conditionalFormatting sqref="H2375">
    <cfRule type="duplicateValues" dxfId="44" priority="84" stopIfTrue="1"/>
    <cfRule type="duplicateValues" dxfId="43" priority="85" stopIfTrue="1"/>
    <cfRule type="duplicateValues" dxfId="42" priority="86" stopIfTrue="1"/>
  </conditionalFormatting>
  <conditionalFormatting sqref="F2375">
    <cfRule type="duplicateValues" dxfId="41" priority="79" stopIfTrue="1"/>
  </conditionalFormatting>
  <conditionalFormatting sqref="F2375">
    <cfRule type="duplicateValues" dxfId="40" priority="80" stopIfTrue="1"/>
    <cfRule type="duplicateValues" dxfId="39" priority="81" stopIfTrue="1"/>
    <cfRule type="duplicateValues" dxfId="38" priority="82" stopIfTrue="1"/>
  </conditionalFormatting>
  <conditionalFormatting sqref="F2375">
    <cfRule type="duplicateValues" dxfId="37" priority="75" stopIfTrue="1"/>
  </conditionalFormatting>
  <conditionalFormatting sqref="F2375">
    <cfRule type="duplicateValues" dxfId="36" priority="76" stopIfTrue="1"/>
    <cfRule type="duplicateValues" dxfId="35" priority="77" stopIfTrue="1"/>
    <cfRule type="duplicateValues" dxfId="34" priority="78" stopIfTrue="1"/>
  </conditionalFormatting>
  <conditionalFormatting sqref="I6">
    <cfRule type="duplicateValues" dxfId="33" priority="74" stopIfTrue="1"/>
  </conditionalFormatting>
  <conditionalFormatting sqref="I6">
    <cfRule type="duplicateValues" dxfId="32" priority="71" stopIfTrue="1"/>
    <cfRule type="duplicateValues" dxfId="31" priority="72" stopIfTrue="1"/>
    <cfRule type="duplicateValues" dxfId="30" priority="73" stopIfTrue="1"/>
  </conditionalFormatting>
  <conditionalFormatting sqref="F1613">
    <cfRule type="duplicateValues" dxfId="29" priority="51" stopIfTrue="1"/>
  </conditionalFormatting>
  <conditionalFormatting sqref="F1613">
    <cfRule type="duplicateValues" dxfId="28" priority="52" stopIfTrue="1"/>
    <cfRule type="duplicateValues" dxfId="27" priority="53" stopIfTrue="1"/>
    <cfRule type="duplicateValues" dxfId="26" priority="54" stopIfTrue="1"/>
  </conditionalFormatting>
  <conditionalFormatting sqref="F1614">
    <cfRule type="duplicateValues" dxfId="25" priority="47" stopIfTrue="1"/>
  </conditionalFormatting>
  <conditionalFormatting sqref="F1614">
    <cfRule type="duplicateValues" dxfId="24" priority="48" stopIfTrue="1"/>
    <cfRule type="duplicateValues" dxfId="23" priority="49" stopIfTrue="1"/>
    <cfRule type="duplicateValues" dxfId="22" priority="50" stopIfTrue="1"/>
  </conditionalFormatting>
  <conditionalFormatting sqref="F1615">
    <cfRule type="duplicateValues" dxfId="21" priority="43" stopIfTrue="1"/>
  </conditionalFormatting>
  <conditionalFormatting sqref="F1615">
    <cfRule type="duplicateValues" dxfId="20" priority="44" stopIfTrue="1"/>
    <cfRule type="duplicateValues" dxfId="19" priority="45" stopIfTrue="1"/>
    <cfRule type="duplicateValues" dxfId="18" priority="46" stopIfTrue="1"/>
  </conditionalFormatting>
  <conditionalFormatting sqref="F1616">
    <cfRule type="duplicateValues" dxfId="17" priority="39" stopIfTrue="1"/>
  </conditionalFormatting>
  <conditionalFormatting sqref="F1616">
    <cfRule type="duplicateValues" dxfId="16" priority="40" stopIfTrue="1"/>
    <cfRule type="duplicateValues" dxfId="15" priority="41" stopIfTrue="1"/>
    <cfRule type="duplicateValues" dxfId="14" priority="42" stopIfTrue="1"/>
  </conditionalFormatting>
  <conditionalFormatting sqref="F1611">
    <cfRule type="duplicateValues" dxfId="13" priority="31" stopIfTrue="1"/>
  </conditionalFormatting>
  <conditionalFormatting sqref="F1611">
    <cfRule type="duplicateValues" dxfId="12" priority="32" stopIfTrue="1"/>
    <cfRule type="duplicateValues" dxfId="11" priority="33" stopIfTrue="1"/>
    <cfRule type="duplicateValues" dxfId="10" priority="34" stopIfTrue="1"/>
  </conditionalFormatting>
  <conditionalFormatting sqref="G1400">
    <cfRule type="duplicateValues" dxfId="9" priority="28" stopIfTrue="1"/>
    <cfRule type="duplicateValues" dxfId="8" priority="29" stopIfTrue="1"/>
    <cfRule type="duplicateValues" dxfId="7" priority="30" stopIfTrue="1"/>
  </conditionalFormatting>
  <conditionalFormatting sqref="G1399">
    <cfRule type="duplicateValues" dxfId="6" priority="27" stopIfTrue="1"/>
  </conditionalFormatting>
  <conditionalFormatting sqref="G1399">
    <cfRule type="duplicateValues" dxfId="5" priority="24" stopIfTrue="1"/>
    <cfRule type="duplicateValues" dxfId="4" priority="25" stopIfTrue="1"/>
    <cfRule type="duplicateValues" dxfId="3" priority="26" stopIfTrue="1"/>
  </conditionalFormatting>
  <conditionalFormatting sqref="G866">
    <cfRule type="duplicateValues" dxfId="2" priority="21" stopIfTrue="1"/>
    <cfRule type="duplicateValues" dxfId="1" priority="22" stopIfTrue="1"/>
    <cfRule type="duplicateValues" dxfId="0" priority="23" stopIfTrue="1"/>
  </conditionalFormatting>
  <dataValidations count="82">
    <dataValidation type="list" allowBlank="1" showInputMessage="1" showErrorMessage="1" sqref="N1382 G1382:I1382 I1384:I1389 G1384:H1388 N1360:N1362 G1360:J1362 N1366:N1368 G1366:J1368 N758 G758:J758">
      <formula1>INDIRECT($AR756)</formula1>
    </dataValidation>
    <dataValidation type="list" allowBlank="1" showInputMessage="1" showErrorMessage="1" sqref="I1398 J1381:J1387 G1381:I1381 N1381 I1396 N1383:N1390 G1398 G1369:J1370 N1369:N1370 J1395:J1398 J1400:J1401">
      <formula1>INDIRECT($AR1369)</formula1>
    </dataValidation>
    <dataValidation type="list" allowBlank="1" showInputMessage="1" showErrorMessage="1" sqref="G1141:H1141 I1425:I1427 G1425:I1426 I1397 N1130:N1193 N1197:N1208 N1427 J1427 N2188 I2188:J2188 N1124:N1125 N1081:N1086">
      <formula1>INDIRECT($AW1078)</formula1>
    </dataValidation>
    <dataValidation type="list" allowBlank="1" showInputMessage="1" showErrorMessage="1" sqref="I1408:I1415">
      <formula1>INDIRECT($AU1406)</formula1>
    </dataValidation>
    <dataValidation type="list" allowBlank="1" showInputMessage="1" showErrorMessage="1" sqref="I1408:I1415">
      <formula1>INDIRECT($AN1406)</formula1>
    </dataValidation>
    <dataValidation type="list" allowBlank="1" showInputMessage="1" showErrorMessage="1" sqref="N2187 I2187 I1395 I1040 I1618 G1396:I1396 I1008 I982 I1060 I1056 I1011:I1012 I979 I1130 I1107 I1075 I1069 I1063 I1049 I1031 I1024:I1025 I1020:I1021 I1015:I1016 I1004 I987:I994 I1038 I1222:I1223 I1238 I1260:I1261 I1198 I1212 H1398 N1039 N1248 N1226 N1129 N1036:N1037 N961 I961:J961 N964:N966 I964:J966 N969:N972 I969:J972 N976:N978 I976:J978 N980:N981 I980:J981 N983:N986 I983:J986 N989:N991 I989:J991 N993 I993:J993 N995:N996 I995:J996 N998:N1000 I998:J1000 N1003 I1003:J1003 N1005:N1006 I1005:J1006 N1009 I1009:J1009 N1014:N1015 I1014:J1015 N1019:N1020 I1019:J1020 N1023 I1023:J1023 N1027 I1027:J1027 N1030 I1030:J1030 N1034 N1045 N1048 N1059 N1062 N1068 N1074 N1106 N974 I974:J974 N1011 I1011:J1011 N1364 G1364:J1364">
      <formula1>INDIRECT(#REF!)</formula1>
    </dataValidation>
    <dataValidation type="list" allowBlank="1" showInputMessage="1" showErrorMessage="1" sqref="I1219 I1239:I1254 I1231:I1236 I1258">
      <formula1>INDIRECT($AL1217)</formula1>
    </dataValidation>
    <dataValidation type="list" allowBlank="1" showInputMessage="1" showErrorMessage="1" sqref="I1127:I1129 I1104:I1106 I1072:I1074 I1066:I1068 I1061:I1062 I1054:I1055 I1057 I1043:I1048 I1001:I1003 I997 I944:I956 I1032:I1035 I1022 I1026:I1030 I1213:I1218 I1198:I1209 I1039">
      <formula1>INDIRECT($W941)</formula1>
    </dataValidation>
    <dataValidation type="list" allowBlank="1" showInputMessage="1" showErrorMessage="1" sqref="G1350:I1350 G1383:I1383 N1365 I1365:J1365 N1371:N1380 G1371:J1380">
      <formula1>INDIRECT($AR1349)</formula1>
    </dataValidation>
    <dataValidation type="list" allowBlank="1" showInputMessage="1" showErrorMessage="1" sqref="I1407 G1407:H1409 G1421:I1424 I1428:I1429 J1428 I1416:I1424 N1407:N1417 G1418:I1419 J1416:J1417 G1445:I1445 G1429:H1430 G1412:H1413 N1032 N1127:N1128 N1420 J1420 N1428:N1430">
      <formula1>INDIRECT($AW1030)</formula1>
    </dataValidation>
    <dataValidation type="list" allowBlank="1" showInputMessage="1" showErrorMessage="1" sqref="G1410:H1411 I1416:I1417 G1420:I1420 G1414:H1417 I1032:J1032 N1038 N962:N963 I962:J963 N1024:N1026 I1024:J1026 N957:N960 I959:J960 N967:N968 I967:J968 N975 I975:J975 N979 I979:J979 N997 I997:J997 N1001:N1002 I1001:J1002 N1012 I1012:J1012 N1022 I1022:J1022 N1028:N1029 I1028:J1029 N1032:N1033 N1035 N1043:N1044 N1046:N1047 N1054:N1057 N1060:N1061 N1066:N1067 N1072:N1073 N1104:N1105 N1127:N1128">
      <formula1>INDIRECT($AP955)</formula1>
    </dataValidation>
    <dataValidation type="list" allowBlank="1" showInputMessage="1" showErrorMessage="1" sqref="I1224:I1230 I1262:I1281">
      <formula1>INDIRECT($AL1221)</formula1>
    </dataValidation>
    <dataValidation type="list" allowBlank="1" showInputMessage="1" showErrorMessage="1" sqref="I1254">
      <formula1>INDIRECT($AL1218)</formula1>
    </dataValidation>
    <dataValidation type="list" allowBlank="1" showInputMessage="1" showErrorMessage="1" sqref="H648:H672">
      <formula1>INDIRECT(W573)</formula1>
    </dataValidation>
    <dataValidation type="list" allowBlank="1" showInputMessage="1" showErrorMessage="1" sqref="H595:H615">
      <formula1>INDIRECT(W651)</formula1>
    </dataValidation>
    <dataValidation type="list" allowBlank="1" showInputMessage="1" showErrorMessage="1" sqref="I1237 I1259 I1220:I1221">
      <formula1>INDIRECT($AL1219)</formula1>
    </dataValidation>
    <dataValidation type="list" allowBlank="1" showInputMessage="1" showErrorMessage="1" sqref="I1108:I1126 I1076:I1103 I1070:I1071 I1064:I1065 I1050:I1053 I1017 I1198 I1131:I1193 I1041:I1042">
      <formula1>INDIRECT($W1013)</formula1>
    </dataValidation>
    <dataValidation type="list" allowBlank="1" showInputMessage="1" showErrorMessage="1" sqref="I1058:I1059 I1018:I1019 I1013:I1014 I1009:I1010 I1007 I995 I983 I980 I975 I967:I968 I957:I960 I1023 I962:I963 I1210:I1211 I1036:I1037">
      <formula1>INDIRECT($W955)</formula1>
    </dataValidation>
    <dataValidation type="list" allowBlank="1" showInputMessage="1" showErrorMessage="1" sqref="I1005 I998 I985:I986 I981 I973">
      <formula1>INDIRECT($W972)</formula1>
    </dataValidation>
    <dataValidation type="list" allowBlank="1" showInputMessage="1" showErrorMessage="1" sqref="J1388:J1390">
      <formula1>INDIRECT($AP1388)</formula1>
    </dataValidation>
    <dataValidation type="list" allowBlank="1" showInputMessage="1" showErrorMessage="1" sqref="N1261:N1264 N1257:N1258">
      <formula1>INDIRECT($AP1206)</formula1>
    </dataValidation>
    <dataValidation type="list" allowBlank="1" showInputMessage="1" showErrorMessage="1" sqref="N1261:N1264 N1257:N1258">
      <formula1>INDIRECT($AW1206)</formula1>
    </dataValidation>
    <dataValidation type="list" allowBlank="1" showInputMessage="1" showErrorMessage="1" sqref="I1255:I1257">
      <formula1>INDIRECT($AL1251)</formula1>
    </dataValidation>
    <dataValidation type="list" allowBlank="1" showInputMessage="1" showErrorMessage="1" sqref="J1254">
      <formula1>INDIRECT($AW1211)</formula1>
    </dataValidation>
    <dataValidation type="list" allowBlank="1" showInputMessage="1" showErrorMessage="1" sqref="J1254">
      <formula1>INDIRECT($AP1211)</formula1>
    </dataValidation>
    <dataValidation type="list" allowBlank="1" showInputMessage="1" showErrorMessage="1" sqref="H544:H594 H348">
      <formula1>INDIRECT(W401)</formula1>
    </dataValidation>
    <dataValidation type="list" allowBlank="1" showInputMessage="1" showErrorMessage="1" sqref="H616:H647">
      <formula1>INDIRECT(W544)</formula1>
    </dataValidation>
    <dataValidation type="list" allowBlank="1" showInputMessage="1" showErrorMessage="1" sqref="I1213">
      <formula1>INDIRECT($AD1210)</formula1>
    </dataValidation>
    <dataValidation type="list" allowBlank="1" showInputMessage="1" showErrorMessage="1" sqref="I1194:I1197">
      <formula1>INDIRECT($W1189)</formula1>
    </dataValidation>
    <dataValidation type="list" allowBlank="1" showInputMessage="1" showErrorMessage="1" sqref="N1130:N1140 N1040:N1042 N1142:N1193 N1197:N1208 N944:N956 N992 I992:J992 N1004 I1004:J1004 N1016:N1017 I1016:J1017 N1021 I1021:J1021 N1031 I1031:J1031 N1049:N1053 N1063:N1065 N1069:N1071 N1075:N1080 N1087:N1103 N1107:N1126">
      <formula1>INDIRECT($AP941)</formula1>
    </dataValidation>
    <dataValidation type="list" allowBlank="1" showInputMessage="1" showErrorMessage="1" sqref="N1209 N1194:N1196">
      <formula1>INDIRECT($AW1190)</formula1>
    </dataValidation>
    <dataValidation type="list" allowBlank="1" showInputMessage="1" showErrorMessage="1" sqref="G1282:J1283 N1282:N1283 K1282:M1282">
      <formula1>INDIRECT($AP1206)</formula1>
    </dataValidation>
    <dataValidation type="list" allowBlank="1" showInputMessage="1" showErrorMessage="1" sqref="N1231:N1232 N1214:N1219">
      <formula1>INDIRECT($AW1205)</formula1>
    </dataValidation>
    <dataValidation type="list" allowBlank="1" showInputMessage="1" showErrorMessage="1" sqref="N1242:N1243 N1213">
      <formula1>INDIRECT($AW1205)</formula1>
    </dataValidation>
    <dataValidation type="list" allowBlank="1" showInputMessage="1" showErrorMessage="1" sqref="N1220 N1212">
      <formula1>INDIRECT($AW1205)</formula1>
    </dataValidation>
    <dataValidation type="list" allowBlank="1" showInputMessage="1" showErrorMessage="1" sqref="N1210 N1221">
      <formula1>INDIRECT($AW1205)</formula1>
    </dataValidation>
    <dataValidation type="list" allowBlank="1" showInputMessage="1" showErrorMessage="1" sqref="N1209 N1194:N1196">
      <formula1>INDIRECT($AP1190)</formula1>
    </dataValidation>
    <dataValidation type="list" allowBlank="1" showInputMessage="1" showErrorMessage="1" sqref="N1231:N1232 N1214:N1219">
      <formula1>INDIRECT($AP1205)</formula1>
    </dataValidation>
    <dataValidation type="list" allowBlank="1" showInputMessage="1" showErrorMessage="1" sqref="N1242:N1243 N1213">
      <formula1>INDIRECT($AP1205)</formula1>
    </dataValidation>
    <dataValidation type="list" allowBlank="1" showInputMessage="1" showErrorMessage="1" sqref="N1220 N1212">
      <formula1>INDIRECT($AP1205)</formula1>
    </dataValidation>
    <dataValidation type="list" allowBlank="1" showInputMessage="1" showErrorMessage="1" sqref="N1210 N1221">
      <formula1>INDIRECT($AP1205)</formula1>
    </dataValidation>
    <dataValidation type="list" allowBlank="1" showInputMessage="1" showErrorMessage="1" sqref="I1282:J1283 N1282:N1283 K1282:M1282">
      <formula1>INDIRECT($AW1206)</formula1>
    </dataValidation>
    <dataValidation type="list" allowBlank="1" showInputMessage="1" showErrorMessage="1" sqref="N1265:N1266">
      <formula1>INDIRECT($AP1213)</formula1>
    </dataValidation>
    <dataValidation type="list" allowBlank="1" showInputMessage="1" showErrorMessage="1" sqref="N1265:N1266">
      <formula1>INDIRECT($AW1213)</formula1>
    </dataValidation>
    <dataValidation type="list" allowBlank="1" showInputMessage="1" showErrorMessage="1" sqref="N1233:N1241">
      <formula1>INDIRECT($AP1206)</formula1>
    </dataValidation>
    <dataValidation type="list" allowBlank="1" showInputMessage="1" showErrorMessage="1" sqref="N1233:N1241">
      <formula1>INDIRECT($AW1206)</formula1>
    </dataValidation>
    <dataValidation type="list" allowBlank="1" showInputMessage="1" showErrorMessage="1" sqref="N1058 N973 I973:J973 N982 I982:J982 N987:N988 I987:J988 N994 I994:J994 N1007:N1008 I1007:J1008 N1010 I1010:J1010 N1013 I1013:J1013 N1018 I1018:J1018">
      <formula1>INDIRECT($AP972)</formula1>
    </dataValidation>
    <dataValidation type="list" allowBlank="1" showInputMessage="1" showErrorMessage="1" sqref="N1268">
      <formula1>INDIRECT($AP1213)</formula1>
    </dataValidation>
    <dataValidation type="list" allowBlank="1" showInputMessage="1" showErrorMessage="1" sqref="N1268">
      <formula1>INDIRECT($AW1213)</formula1>
    </dataValidation>
    <dataValidation type="list" allowBlank="1" showInputMessage="1" showErrorMessage="1" sqref="N1267">
      <formula1>INDIRECT($AP1214)</formula1>
    </dataValidation>
    <dataValidation type="list" allowBlank="1" showInputMessage="1" showErrorMessage="1" sqref="N1267">
      <formula1>INDIRECT($AW1214)</formula1>
    </dataValidation>
    <dataValidation type="list" allowBlank="1" showInputMessage="1" showErrorMessage="1" sqref="N1211">
      <formula1>INDIRECT($AW1205)</formula1>
    </dataValidation>
    <dataValidation type="list" allowBlank="1" showInputMessage="1" showErrorMessage="1" sqref="N1211">
      <formula1>INDIRECT($AP1205)</formula1>
    </dataValidation>
    <dataValidation type="list" allowBlank="1" showInputMessage="1" showErrorMessage="1" sqref="N1244:N1247">
      <formula1>INDIRECT($AP1206)</formula1>
    </dataValidation>
    <dataValidation type="list" allowBlank="1" showInputMessage="1" showErrorMessage="1" sqref="N1249:N1254">
      <formula1>INDIRECT($AP1210)</formula1>
    </dataValidation>
    <dataValidation type="list" allowBlank="1" showInputMessage="1" showErrorMessage="1" sqref="N1244:N1247">
      <formula1>INDIRECT($AW1206)</formula1>
    </dataValidation>
    <dataValidation type="list" allowBlank="1" showInputMessage="1" showErrorMessage="1" sqref="N1249:N1254">
      <formula1>INDIRECT($AW1210)</formula1>
    </dataValidation>
    <dataValidation type="list" allowBlank="1" showInputMessage="1" showErrorMessage="1" sqref="N1222:N1225">
      <formula1>INDIRECT($AP1206)</formula1>
    </dataValidation>
    <dataValidation type="list" allowBlank="1" showInputMessage="1" showErrorMessage="1" sqref="N1227:N1230">
      <formula1>INDIRECT($AP1210)</formula1>
    </dataValidation>
    <dataValidation type="list" allowBlank="1" showInputMessage="1" showErrorMessage="1" sqref="N1222:N1225">
      <formula1>INDIRECT($AW1206)</formula1>
    </dataValidation>
    <dataValidation type="list" allowBlank="1" showInputMessage="1" showErrorMessage="1" sqref="N1227:N1230">
      <formula1>INDIRECT($AW1210)</formula1>
    </dataValidation>
    <dataValidation type="list" allowBlank="1" showInputMessage="1" showErrorMessage="1" sqref="N1259:N1260">
      <formula1>INDIRECT($AP1209)</formula1>
    </dataValidation>
    <dataValidation type="list" allowBlank="1" showInputMessage="1" showErrorMessage="1" sqref="N1259:N1260">
      <formula1>INDIRECT($AW1209)</formula1>
    </dataValidation>
    <dataValidation type="list" allowBlank="1" showInputMessage="1" showErrorMessage="1" sqref="N1255:N1256">
      <formula1>INDIRECT($AW1245)</formula1>
    </dataValidation>
    <dataValidation type="list" allowBlank="1" showInputMessage="1" showErrorMessage="1" sqref="N1255:N1256">
      <formula1>INDIRECT($AP1245)</formula1>
    </dataValidation>
    <dataValidation type="list" allowBlank="1" showInputMessage="1" showErrorMessage="1" sqref="N1272">
      <formula1>INDIRECT($AP1214)</formula1>
    </dataValidation>
    <dataValidation type="list" allowBlank="1" showInputMessage="1" showErrorMessage="1" sqref="N1272">
      <formula1>INDIRECT($AW1214)</formula1>
    </dataValidation>
    <dataValidation type="list" allowBlank="1" showInputMessage="1" showErrorMessage="1" sqref="N1269:N1270">
      <formula1>INDIRECT($AP1213)</formula1>
    </dataValidation>
    <dataValidation type="list" allowBlank="1" showInputMessage="1" showErrorMessage="1" sqref="N1271">
      <formula1>INDIRECT($AP1214)</formula1>
    </dataValidation>
    <dataValidation type="list" allowBlank="1" showInputMessage="1" showErrorMessage="1" sqref="N1269:N1270">
      <formula1>INDIRECT($AW1213)</formula1>
    </dataValidation>
    <dataValidation type="list" allowBlank="1" showInputMessage="1" showErrorMessage="1" sqref="N1271">
      <formula1>INDIRECT($AW1214)</formula1>
    </dataValidation>
    <dataValidation type="list" allowBlank="1" showInputMessage="1" showErrorMessage="1" sqref="N1278:N1281">
      <formula1>INDIRECT($AP1215)</formula1>
    </dataValidation>
    <dataValidation type="list" allowBlank="1" showInputMessage="1" showErrorMessage="1" sqref="N1278:N1281">
      <formula1>INDIRECT($AW1215)</formula1>
    </dataValidation>
    <dataValidation type="list" allowBlank="1" showInputMessage="1" showErrorMessage="1" sqref="N1273:N1274">
      <formula1>INDIRECT($AP1214)</formula1>
    </dataValidation>
    <dataValidation type="list" allowBlank="1" showInputMessage="1" showErrorMessage="1" sqref="N1273:N1274">
      <formula1>INDIRECT($AW1214)</formula1>
    </dataValidation>
    <dataValidation type="list" allowBlank="1" showInputMessage="1" showErrorMessage="1" sqref="N1275:N1276">
      <formula1>INDIRECT($AP1215)</formula1>
    </dataValidation>
    <dataValidation type="list" allowBlank="1" showInputMessage="1" showErrorMessage="1" sqref="N1277">
      <formula1>INDIRECT($AP1216)</formula1>
    </dataValidation>
    <dataValidation type="list" allowBlank="1" showInputMessage="1" showErrorMessage="1" sqref="N1275:N1276">
      <formula1>INDIRECT($AW1215)</formula1>
    </dataValidation>
    <dataValidation type="list" allowBlank="1" showInputMessage="1" showErrorMessage="1" sqref="N1277">
      <formula1>INDIRECT($AW1216)</formula1>
    </dataValidation>
    <dataValidation type="list" allowBlank="1" showInputMessage="1" showErrorMessage="1" sqref="H360">
      <formula1>INDIRECT(W276)</formula1>
    </dataValidation>
    <dataValidation type="list" allowBlank="1" showInputMessage="1" showErrorMessage="1" sqref="K1445">
      <formula1>INDIRECT($AX1443)</formula1>
    </dataValidation>
    <dataValidation type="list" allowBlank="1" showInputMessage="1" showErrorMessage="1" sqref="H862">
      <formula1>INDIRECT(W916)</formula1>
    </dataValidation>
  </dataValidations>
  <pageMargins left="0.61" right="0.17" top="0.75" bottom="1.29" header="0.3" footer="1.05"/>
  <pageSetup paperSize="9" scale="38" orientation="portrait" r:id="rId1"/>
  <headerFooter>
    <oddHeader>&amp;CProposed Year 2020  Revised Capital Budget</oddHeader>
    <oddFooter>Page &amp;P of &amp;N</oddFooter>
  </headerFooter>
  <rowBreaks count="81" manualBreakCount="81">
    <brk id="48" max="11" man="1"/>
    <brk id="96" max="11" man="1"/>
    <brk id="147" max="11" man="1"/>
    <brk id="212" max="11" man="1"/>
    <brk id="261" max="11" man="1"/>
    <brk id="321" max="11" man="1"/>
    <brk id="374" max="11" man="1"/>
    <brk id="410" max="11" man="1"/>
    <brk id="456" max="11" man="1"/>
    <brk id="495" max="11" man="1"/>
    <brk id="539" max="11" man="1"/>
    <brk id="563" max="11" man="1"/>
    <brk id="587" max="11" man="1"/>
    <brk id="610" max="11" man="1"/>
    <brk id="634" max="11" man="1"/>
    <brk id="666" max="11" man="1"/>
    <brk id="685" max="11" man="1"/>
    <brk id="710" max="11" man="1"/>
    <brk id="739" max="11" man="1"/>
    <brk id="786" max="11" man="1"/>
    <brk id="835" max="11" man="1"/>
    <brk id="891" max="11" man="1"/>
    <brk id="922" max="11" man="1"/>
    <brk id="959" max="11" man="1"/>
    <brk id="987" max="11" man="1"/>
    <brk id="1015" max="11" man="1"/>
    <brk id="1036" max="11" man="1"/>
    <brk id="1065" max="11" man="1"/>
    <brk id="1094" max="11" man="1"/>
    <brk id="1122" max="11" man="1"/>
    <brk id="1147" max="11" man="1"/>
    <brk id="1173" max="11" man="1"/>
    <brk id="1201" max="11" man="1"/>
    <brk id="1241" max="11" man="1"/>
    <brk id="1282" max="11" man="1"/>
    <brk id="1314" max="11" man="1"/>
    <brk id="1341" max="11" man="1"/>
    <brk id="1355" max="11" man="1"/>
    <brk id="1391" max="11" man="1"/>
    <brk id="1432" max="11" man="1"/>
    <brk id="1466" max="11" man="1"/>
    <brk id="1496" max="11" man="1"/>
    <brk id="1528" max="11" man="1"/>
    <brk id="1552" max="11" man="1"/>
    <brk id="1578" max="11" man="1"/>
    <brk id="1606" max="11" man="1"/>
    <brk id="1649" max="11" man="1"/>
    <brk id="1696" max="11" man="1"/>
    <brk id="1740" max="11" man="1"/>
    <brk id="1768" max="11" man="1"/>
    <brk id="1791" max="11" man="1"/>
    <brk id="1809" max="11" man="1"/>
    <brk id="1826" max="11" man="1"/>
    <brk id="1843" max="11" man="1"/>
    <brk id="1856" max="11" man="1"/>
    <brk id="1871" max="11" man="1"/>
    <brk id="1885" max="11" man="1"/>
    <brk id="1899" max="11" man="1"/>
    <brk id="1915" max="11" man="1"/>
    <brk id="1927" max="11" man="1"/>
    <brk id="1940" max="11" man="1"/>
    <brk id="1953" max="11" man="1"/>
    <brk id="1965" max="11" man="1"/>
    <brk id="1981" max="11" man="1"/>
    <brk id="1994" max="11" man="1"/>
    <brk id="2008" max="11" man="1"/>
    <brk id="2023" max="11" man="1"/>
    <brk id="2035" max="11" man="1"/>
    <brk id="2047" max="11" man="1"/>
    <brk id="2063" max="11" man="1"/>
    <brk id="2077" max="11" man="1"/>
    <brk id="2089" max="11" man="1"/>
    <brk id="2098" max="11" man="1"/>
    <brk id="2117" max="11" man="1"/>
    <brk id="2133" max="11" man="1"/>
    <brk id="2169" max="11" man="1"/>
    <brk id="2208" max="11" man="1"/>
    <brk id="2232" max="11" man="1"/>
    <brk id="2264" max="11" man="1"/>
    <brk id="2302" max="11" man="1"/>
    <brk id="2336"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topLeftCell="A31" zoomScale="80" zoomScaleSheetLayoutView="80" workbookViewId="0">
      <selection activeCell="C33" sqref="C33"/>
    </sheetView>
  </sheetViews>
  <sheetFormatPr defaultRowHeight="23.25" x14ac:dyDescent="0.35"/>
  <cols>
    <col min="2" max="2" width="80.85546875" customWidth="1"/>
    <col min="3" max="3" width="32.140625" style="17" customWidth="1"/>
    <col min="4" max="4" width="0.42578125" style="17" hidden="1" customWidth="1"/>
    <col min="5" max="5" width="32.7109375" style="17" customWidth="1"/>
    <col min="6" max="6" width="34.5703125" customWidth="1"/>
    <col min="7" max="7" width="33.140625" customWidth="1"/>
  </cols>
  <sheetData>
    <row r="1" spans="2:6" x14ac:dyDescent="0.35">
      <c r="B1" s="1" t="s">
        <v>1038</v>
      </c>
      <c r="E1" s="9"/>
    </row>
    <row r="2" spans="2:6" ht="69.75" customHeight="1" x14ac:dyDescent="0.25">
      <c r="B2" s="192" t="s">
        <v>1010</v>
      </c>
      <c r="C2" s="192" t="s">
        <v>1005</v>
      </c>
      <c r="D2" s="192" t="s">
        <v>4597</v>
      </c>
      <c r="E2" s="192" t="s">
        <v>1011</v>
      </c>
    </row>
    <row r="3" spans="2:6" x14ac:dyDescent="0.35">
      <c r="B3" s="2" t="s">
        <v>1012</v>
      </c>
      <c r="C3" s="18"/>
      <c r="D3" s="18"/>
      <c r="E3" s="10"/>
    </row>
    <row r="4" spans="2:6" x14ac:dyDescent="0.35">
      <c r="B4" s="2" t="s">
        <v>1013</v>
      </c>
      <c r="C4" s="11">
        <f>SUM(C5:C9)</f>
        <v>342376781658.69342</v>
      </c>
      <c r="D4" s="11">
        <f>SUM(D5:D9)</f>
        <v>336913044198.57007</v>
      </c>
      <c r="E4" s="10">
        <v>304356290990</v>
      </c>
    </row>
    <row r="5" spans="2:6" ht="32.25" customHeight="1" x14ac:dyDescent="0.35">
      <c r="B5" s="3" t="s">
        <v>1014</v>
      </c>
      <c r="C5" s="12">
        <f>'[4]A. Macro-Fiscal Framework'!$C$17+'[4]A. Macro-Fiscal Framework'!$C$16</f>
        <v>232941405656.57007</v>
      </c>
      <c r="D5" s="12">
        <f>'[5]A. Macro-Fiscal Framework'!$C$16+'[5]A. Macro-Fiscal Framework'!$C$17</f>
        <v>232941405656.57007</v>
      </c>
      <c r="E5" s="12">
        <v>217894748193</v>
      </c>
    </row>
    <row r="6" spans="2:6" x14ac:dyDescent="0.35">
      <c r="B6" s="3" t="s">
        <v>1015</v>
      </c>
      <c r="C6" s="18"/>
      <c r="D6" s="18"/>
      <c r="E6" s="12">
        <v>0</v>
      </c>
    </row>
    <row r="7" spans="2:6" x14ac:dyDescent="0.35">
      <c r="B7" s="3" t="s">
        <v>1016</v>
      </c>
      <c r="C7" s="12">
        <f>'[5]A. Macro-Fiscal Framework'!$C$18</f>
        <v>22958761951</v>
      </c>
      <c r="D7" s="12">
        <f>'[5]A. Macro-Fiscal Framework'!$C$18</f>
        <v>22958761951</v>
      </c>
      <c r="E7" s="12">
        <v>13051179721</v>
      </c>
    </row>
    <row r="8" spans="2:6" x14ac:dyDescent="0.35">
      <c r="B8" s="3" t="s">
        <v>1017</v>
      </c>
      <c r="C8" s="12">
        <f>'[6]Macro-Econ Framework'!$B$19</f>
        <v>71012876590.123367</v>
      </c>
      <c r="D8" s="12">
        <f>'[5]A. Macro-Fiscal Framework'!$C$19</f>
        <v>71012876591</v>
      </c>
      <c r="E8" s="12">
        <v>73410363076</v>
      </c>
    </row>
    <row r="9" spans="2:6" x14ac:dyDescent="0.35">
      <c r="B9" s="3" t="s">
        <v>1018</v>
      </c>
      <c r="C9" s="12">
        <f>'[6]Macro-Econ Framework'!$B$20+5468737461-5000000</f>
        <v>15463737461</v>
      </c>
      <c r="D9" s="12">
        <f>'[5]A. Macro-Fiscal Framework'!$C$20</f>
        <v>10000000000</v>
      </c>
      <c r="E9" s="12">
        <v>0</v>
      </c>
    </row>
    <row r="10" spans="2:6" ht="39" customHeight="1" x14ac:dyDescent="0.35">
      <c r="B10" s="3"/>
      <c r="C10" s="18"/>
      <c r="D10" s="18"/>
      <c r="E10" s="12"/>
    </row>
    <row r="11" spans="2:6" x14ac:dyDescent="0.35">
      <c r="B11" s="2" t="s">
        <v>1019</v>
      </c>
      <c r="C11" s="10">
        <f>SUM(C12:C14)</f>
        <v>171549384315</v>
      </c>
      <c r="D11" s="10">
        <f>SUM(D12:D14)</f>
        <v>164530884210.40213</v>
      </c>
      <c r="E11" s="10">
        <v>157096029252.22</v>
      </c>
    </row>
    <row r="12" spans="2:6" x14ac:dyDescent="0.35">
      <c r="B12" s="3" t="s">
        <v>1020</v>
      </c>
      <c r="C12" s="18">
        <f>84217405755-125000000</f>
        <v>84092405755</v>
      </c>
      <c r="D12" s="18">
        <f>'[5]A. Macro-Fiscal Framework'!$C$25</f>
        <v>82205978037.522461</v>
      </c>
      <c r="E12" s="12">
        <v>65736621938.220001</v>
      </c>
    </row>
    <row r="13" spans="2:6" ht="24.75" customHeight="1" x14ac:dyDescent="0.35">
      <c r="B13" s="4" t="s">
        <v>3607</v>
      </c>
      <c r="C13" s="18">
        <v>27368927191</v>
      </c>
      <c r="D13" s="18">
        <f>'[5]A. Macro-Fiscal Framework'!$C$24</f>
        <v>21556597397.879669</v>
      </c>
      <c r="E13" s="12">
        <v>36115490246</v>
      </c>
    </row>
    <row r="14" spans="2:6" x14ac:dyDescent="0.35">
      <c r="B14" s="3" t="s">
        <v>1021</v>
      </c>
      <c r="C14" s="18">
        <v>60088051369</v>
      </c>
      <c r="D14" s="18">
        <f>'[5]A. Macro-Fiscal Framework'!$C$26</f>
        <v>60768308775</v>
      </c>
      <c r="E14" s="12">
        <v>55243917068</v>
      </c>
    </row>
    <row r="15" spans="2:6" x14ac:dyDescent="0.35">
      <c r="B15" s="3"/>
      <c r="C15" s="18"/>
      <c r="D15" s="18"/>
      <c r="E15" s="12"/>
    </row>
    <row r="16" spans="2:6" x14ac:dyDescent="0.35">
      <c r="B16" s="2" t="s">
        <v>1022</v>
      </c>
      <c r="C16" s="10">
        <f>C4-C11</f>
        <v>170827397343.69342</v>
      </c>
      <c r="D16" s="10">
        <f>D4-D11</f>
        <v>172382159988.16794</v>
      </c>
      <c r="E16" s="10">
        <v>147260261737.78</v>
      </c>
      <c r="F16" s="140">
        <f>C11+C23</f>
        <v>394561526614.20203</v>
      </c>
    </row>
    <row r="17" spans="1:7" ht="18.75" customHeight="1" x14ac:dyDescent="0.35">
      <c r="B17" s="3"/>
      <c r="C17" s="18"/>
      <c r="D17" s="18"/>
      <c r="E17" s="12"/>
    </row>
    <row r="18" spans="1:7" x14ac:dyDescent="0.35">
      <c r="B18" s="2" t="s">
        <v>1023</v>
      </c>
      <c r="C18" s="12">
        <f>SUM(C19:C21)</f>
        <v>46814017703</v>
      </c>
      <c r="D18" s="12">
        <f>SUM(D19:D21)</f>
        <v>43814017703</v>
      </c>
      <c r="E18" s="10">
        <v>86022380188.080566</v>
      </c>
    </row>
    <row r="19" spans="1:7" x14ac:dyDescent="0.35">
      <c r="B19" s="3" t="s">
        <v>1024</v>
      </c>
      <c r="C19" s="18"/>
      <c r="D19" s="18"/>
      <c r="E19" s="12">
        <v>0</v>
      </c>
    </row>
    <row r="20" spans="1:7" x14ac:dyDescent="0.35">
      <c r="B20" s="3" t="s">
        <v>1025</v>
      </c>
      <c r="C20" s="18">
        <f>'[4]A. Macro-Fiscal Framework'!$C$34+'[4]A. Macro-Fiscal Framework'!$C$45</f>
        <v>46814017703</v>
      </c>
      <c r="D20" s="18">
        <f>'[5]A. Macro-Fiscal Framework'!$C$34+'[5]A. Macro-Fiscal Framework'!$C$45</f>
        <v>43814017703</v>
      </c>
      <c r="E20" s="12">
        <v>86022380188.080566</v>
      </c>
    </row>
    <row r="21" spans="1:7" x14ac:dyDescent="0.35">
      <c r="B21" s="3" t="s">
        <v>1026</v>
      </c>
      <c r="C21" s="18"/>
      <c r="D21" s="18"/>
      <c r="E21" s="12">
        <v>0</v>
      </c>
    </row>
    <row r="22" spans="1:7" x14ac:dyDescent="0.35">
      <c r="B22" s="3"/>
      <c r="C22" s="18"/>
      <c r="D22" s="18"/>
      <c r="E22" s="12"/>
    </row>
    <row r="23" spans="1:7" x14ac:dyDescent="0.35">
      <c r="B23" s="2" t="s">
        <v>1027</v>
      </c>
      <c r="C23" s="107">
        <f>C43</f>
        <v>223012142299.20203</v>
      </c>
      <c r="D23" s="107">
        <f>'[5]A. Macro-Fiscal Framework'!$C$41</f>
        <v>199350525481.23944</v>
      </c>
      <c r="E23" s="10">
        <v>233282641925.8606</v>
      </c>
    </row>
    <row r="24" spans="1:7" x14ac:dyDescent="0.35">
      <c r="B24" s="3"/>
      <c r="C24" s="18"/>
      <c r="D24" s="18"/>
      <c r="E24" s="12"/>
    </row>
    <row r="25" spans="1:7" x14ac:dyDescent="0.35">
      <c r="B25" s="2" t="s">
        <v>1028</v>
      </c>
      <c r="C25" s="10">
        <f>C18+C4</f>
        <v>389190799361.69342</v>
      </c>
      <c r="D25" s="10">
        <f>D18+D4</f>
        <v>380727061901.57007</v>
      </c>
      <c r="E25" s="10">
        <v>390378671178.08057</v>
      </c>
      <c r="G25" s="140">
        <f>C26-C25</f>
        <v>5370727252.508606</v>
      </c>
    </row>
    <row r="26" spans="1:7" x14ac:dyDescent="0.35">
      <c r="B26" s="2" t="s">
        <v>1029</v>
      </c>
      <c r="C26" s="10">
        <f>C11+C43</f>
        <v>394561526614.20203</v>
      </c>
      <c r="D26" s="10">
        <v>0</v>
      </c>
      <c r="E26" s="10">
        <v>390378671178.08057</v>
      </c>
      <c r="F26" s="140">
        <f>C26-C25</f>
        <v>5370727252.508606</v>
      </c>
      <c r="G26" s="140">
        <f>C25-C26</f>
        <v>-5370727252.508606</v>
      </c>
    </row>
    <row r="27" spans="1:7" x14ac:dyDescent="0.35">
      <c r="B27" s="2" t="s">
        <v>1030</v>
      </c>
      <c r="C27" s="10">
        <v>389190799361.69342</v>
      </c>
      <c r="D27" s="10"/>
      <c r="E27" s="10">
        <v>0</v>
      </c>
      <c r="G27" s="140">
        <f>C4+C20</f>
        <v>389190799361.69342</v>
      </c>
    </row>
    <row r="28" spans="1:7" x14ac:dyDescent="0.35">
      <c r="B28" s="5"/>
      <c r="F28" s="17">
        <f>C28-125000000</f>
        <v>-125000000</v>
      </c>
      <c r="G28" s="13">
        <f>C28-F28</f>
        <v>125000000</v>
      </c>
    </row>
    <row r="29" spans="1:7" ht="48" customHeight="1" x14ac:dyDescent="0.25">
      <c r="A29" s="192" t="s">
        <v>1053</v>
      </c>
      <c r="B29" s="192" t="s">
        <v>1031</v>
      </c>
      <c r="C29" s="193" t="s">
        <v>1005</v>
      </c>
      <c r="D29" s="193" t="s">
        <v>4597</v>
      </c>
      <c r="E29" s="193" t="s">
        <v>1011</v>
      </c>
    </row>
    <row r="30" spans="1:7" ht="48" customHeight="1" x14ac:dyDescent="0.25">
      <c r="A30" s="199"/>
      <c r="B30" s="199"/>
      <c r="C30" s="200"/>
      <c r="D30" s="548"/>
      <c r="E30" s="200"/>
    </row>
    <row r="31" spans="1:7" ht="33.75" customHeight="1" x14ac:dyDescent="0.35">
      <c r="A31" s="6" t="s">
        <v>1189</v>
      </c>
      <c r="B31" s="6" t="s">
        <v>4603</v>
      </c>
      <c r="C31" s="18">
        <f>CAPEX!J385</f>
        <v>12433527399.788239</v>
      </c>
      <c r="D31" s="735">
        <f>'[5]A. Macro-Fiscal Framework'!$C$41+'[5]A. Macro-Fiscal Framework'!$C$38</f>
        <v>216196177691.16794</v>
      </c>
      <c r="E31" s="14">
        <v>19983414037.799999</v>
      </c>
    </row>
    <row r="32" spans="1:7" ht="51" customHeight="1" x14ac:dyDescent="0.35">
      <c r="A32" s="547"/>
      <c r="B32" s="7"/>
      <c r="C32" s="18"/>
      <c r="D32" s="736"/>
      <c r="E32" s="14"/>
    </row>
    <row r="33" spans="1:5" ht="34.5" customHeight="1" x14ac:dyDescent="0.35">
      <c r="A33" s="6" t="s">
        <v>1191</v>
      </c>
      <c r="B33" s="6" t="s">
        <v>1032</v>
      </c>
      <c r="C33" s="18">
        <f>CAPEX!J1432-1000000</f>
        <v>113076933239.38101</v>
      </c>
      <c r="D33" s="736"/>
      <c r="E33" s="14">
        <v>131064846284.1891</v>
      </c>
    </row>
    <row r="34" spans="1:5" ht="38.25" customHeight="1" x14ac:dyDescent="0.35">
      <c r="A34" s="547"/>
      <c r="B34" s="7"/>
      <c r="C34" s="18"/>
      <c r="D34" s="736"/>
      <c r="E34" s="14"/>
    </row>
    <row r="35" spans="1:5" ht="33" customHeight="1" x14ac:dyDescent="0.35">
      <c r="A35" s="6" t="s">
        <v>1193</v>
      </c>
      <c r="B35" s="6" t="s">
        <v>1033</v>
      </c>
      <c r="C35" s="18">
        <f>CAPEX!J1520</f>
        <v>1901703128</v>
      </c>
      <c r="D35" s="736"/>
      <c r="E35" s="14">
        <v>3445848935</v>
      </c>
    </row>
    <row r="36" spans="1:5" ht="31.5" customHeight="1" x14ac:dyDescent="0.35">
      <c r="A36" s="6"/>
      <c r="B36" s="6"/>
      <c r="C36" s="18"/>
      <c r="D36" s="736"/>
      <c r="E36" s="14"/>
    </row>
    <row r="37" spans="1:5" ht="34.5" customHeight="1" x14ac:dyDescent="0.35">
      <c r="A37" s="6" t="s">
        <v>1195</v>
      </c>
      <c r="B37" s="6" t="s">
        <v>1034</v>
      </c>
      <c r="C37" s="18">
        <f>CAPEX!J1620</f>
        <v>43564320016.07</v>
      </c>
      <c r="D37" s="736"/>
      <c r="E37" s="14">
        <v>31000000000</v>
      </c>
    </row>
    <row r="38" spans="1:5" ht="32.25" customHeight="1" x14ac:dyDescent="0.35">
      <c r="A38" s="6"/>
      <c r="B38" s="6"/>
      <c r="C38" s="18"/>
      <c r="D38" s="736"/>
      <c r="E38" s="14"/>
    </row>
    <row r="39" spans="1:5" ht="31.5" customHeight="1" x14ac:dyDescent="0.35">
      <c r="A39" s="6" t="s">
        <v>1196</v>
      </c>
      <c r="B39" s="6" t="s">
        <v>1035</v>
      </c>
      <c r="C39" s="18">
        <f>CAPEX!J2383</f>
        <v>49035658515.962753</v>
      </c>
      <c r="D39" s="736"/>
      <c r="E39" s="14">
        <v>44788532668.871506</v>
      </c>
    </row>
    <row r="40" spans="1:5" ht="36.75" customHeight="1" x14ac:dyDescent="0.35">
      <c r="A40" s="6"/>
      <c r="B40" s="6"/>
      <c r="C40" s="18"/>
      <c r="D40" s="736"/>
      <c r="E40" s="14"/>
    </row>
    <row r="41" spans="1:5" x14ac:dyDescent="0.35">
      <c r="A41" s="6" t="s">
        <v>4728</v>
      </c>
      <c r="B41" s="7" t="s">
        <v>1036</v>
      </c>
      <c r="C41" s="15">
        <v>3000000000</v>
      </c>
      <c r="D41" s="737"/>
      <c r="E41" s="15">
        <v>3000000000</v>
      </c>
    </row>
    <row r="42" spans="1:5" x14ac:dyDescent="0.35">
      <c r="A42" s="547"/>
      <c r="B42" s="7"/>
      <c r="C42" s="18"/>
      <c r="D42" s="18"/>
      <c r="E42" s="15"/>
    </row>
    <row r="43" spans="1:5" ht="21" customHeight="1" x14ac:dyDescent="0.3">
      <c r="A43" s="547"/>
      <c r="B43" s="7" t="s">
        <v>1008</v>
      </c>
      <c r="C43" s="15">
        <f>SUM(C31:C42)</f>
        <v>223012142299.20203</v>
      </c>
      <c r="D43" s="15">
        <f>D31+D11</f>
        <v>380727061901.57007</v>
      </c>
      <c r="E43" s="15">
        <v>233282641925.8606</v>
      </c>
    </row>
    <row r="44" spans="1:5" hidden="1" x14ac:dyDescent="0.35">
      <c r="B44" s="8" t="s">
        <v>1037</v>
      </c>
      <c r="C44" s="15">
        <f>C23+C11</f>
        <v>394561526614.20203</v>
      </c>
      <c r="D44" s="15"/>
      <c r="E44" s="10">
        <v>390378671178.08057</v>
      </c>
    </row>
    <row r="49" spans="6:8" x14ac:dyDescent="0.35">
      <c r="F49" s="17">
        <f>C43+C11</f>
        <v>394561526614.20203</v>
      </c>
      <c r="G49" s="17"/>
      <c r="H49" s="17"/>
    </row>
    <row r="50" spans="6:8" x14ac:dyDescent="0.35">
      <c r="F50" s="17">
        <f>C44-F49</f>
        <v>0</v>
      </c>
      <c r="G50" s="17"/>
      <c r="H50" s="17"/>
    </row>
  </sheetData>
  <mergeCells count="1">
    <mergeCell ref="D31:D41"/>
  </mergeCells>
  <pageMargins left="0.7" right="0.7" top="0.75" bottom="0.75" header="0.3" footer="0.3"/>
  <pageSetup paperSize="9" scale="56" orientation="portrait" r:id="rId1"/>
  <rowBreaks count="1" manualBreakCount="1">
    <brk id="27"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25" zoomScale="71" zoomScaleSheetLayoutView="71" workbookViewId="0">
      <selection activeCell="G37" sqref="G37"/>
    </sheetView>
  </sheetViews>
  <sheetFormatPr defaultRowHeight="23.25" x14ac:dyDescent="0.35"/>
  <cols>
    <col min="1" max="1" width="9.140625" style="198"/>
    <col min="2" max="2" width="39.5703125" style="224" customWidth="1"/>
    <col min="3" max="3" width="39" style="196" customWidth="1"/>
    <col min="4" max="4" width="7.5703125" style="196" customWidth="1"/>
    <col min="5" max="5" width="21" style="196" hidden="1" customWidth="1"/>
    <col min="6" max="6" width="25.7109375" style="196" customWidth="1"/>
    <col min="7" max="7" width="38.5703125" style="196" customWidth="1"/>
    <col min="8" max="8" width="34.5703125" style="198" customWidth="1"/>
    <col min="9" max="9" width="33.140625" style="198" customWidth="1"/>
    <col min="10" max="16384" width="9.140625" style="198"/>
  </cols>
  <sheetData>
    <row r="1" spans="1:7" x14ac:dyDescent="0.35">
      <c r="B1" s="216"/>
      <c r="G1" s="197"/>
    </row>
    <row r="2" spans="1:7" ht="69.75" customHeight="1" x14ac:dyDescent="0.25">
      <c r="A2" s="199" t="s">
        <v>1053</v>
      </c>
      <c r="B2" s="217" t="s">
        <v>1081</v>
      </c>
      <c r="C2" s="200" t="s">
        <v>4611</v>
      </c>
      <c r="D2" s="200" t="s">
        <v>4615</v>
      </c>
      <c r="E2" s="200" t="s">
        <v>1891</v>
      </c>
      <c r="F2" s="200"/>
      <c r="G2" s="200" t="s">
        <v>4613</v>
      </c>
    </row>
    <row r="3" spans="1:7" x14ac:dyDescent="0.35">
      <c r="A3" s="208"/>
      <c r="B3" s="218" t="s">
        <v>4610</v>
      </c>
      <c r="C3" s="172"/>
      <c r="D3" s="172"/>
      <c r="E3" s="172"/>
      <c r="F3" s="172"/>
      <c r="G3" s="201"/>
    </row>
    <row r="4" spans="1:7" x14ac:dyDescent="0.35">
      <c r="A4" s="208"/>
      <c r="B4" s="215">
        <v>50000000</v>
      </c>
      <c r="C4" s="172"/>
      <c r="D4" s="172"/>
      <c r="E4" s="172"/>
      <c r="F4" s="172"/>
      <c r="G4" s="201"/>
    </row>
    <row r="5" spans="1:7" x14ac:dyDescent="0.35">
      <c r="A5" s="208"/>
      <c r="B5" s="226" t="s">
        <v>4634</v>
      </c>
      <c r="C5" s="172"/>
      <c r="D5" s="172"/>
      <c r="E5" s="172"/>
      <c r="F5" s="172"/>
      <c r="G5" s="201"/>
    </row>
    <row r="6" spans="1:7" x14ac:dyDescent="0.35">
      <c r="A6" s="208"/>
      <c r="B6" s="215">
        <v>300000000</v>
      </c>
      <c r="C6" s="172"/>
      <c r="D6" s="172"/>
      <c r="E6" s="172"/>
      <c r="F6" s="172"/>
      <c r="G6" s="201"/>
    </row>
    <row r="7" spans="1:7" x14ac:dyDescent="0.35">
      <c r="A7" s="208"/>
      <c r="B7" s="226" t="s">
        <v>4614</v>
      </c>
      <c r="C7" s="172"/>
      <c r="D7" s="172"/>
      <c r="E7" s="172"/>
      <c r="F7" s="172"/>
      <c r="G7" s="201"/>
    </row>
    <row r="8" spans="1:7" x14ac:dyDescent="0.35">
      <c r="A8" s="208"/>
      <c r="B8" s="215">
        <v>100000000</v>
      </c>
      <c r="C8" s="172"/>
      <c r="D8" s="172"/>
      <c r="E8" s="172"/>
      <c r="F8" s="172"/>
      <c r="G8" s="201"/>
    </row>
    <row r="9" spans="1:7" x14ac:dyDescent="0.35">
      <c r="A9" s="208"/>
      <c r="B9" s="227" t="s">
        <v>4635</v>
      </c>
      <c r="C9" s="172"/>
      <c r="D9" s="172"/>
      <c r="E9" s="172"/>
      <c r="F9" s="172"/>
      <c r="G9" s="201"/>
    </row>
    <row r="10" spans="1:7" x14ac:dyDescent="0.35">
      <c r="A10" s="208"/>
      <c r="B10" s="218">
        <v>200000000</v>
      </c>
      <c r="C10" s="172"/>
      <c r="D10" s="172"/>
      <c r="E10" s="172"/>
      <c r="F10" s="172"/>
      <c r="G10" s="201"/>
    </row>
    <row r="11" spans="1:7" x14ac:dyDescent="0.35">
      <c r="A11" s="208"/>
      <c r="B11" s="227" t="s">
        <v>4636</v>
      </c>
      <c r="C11" s="172"/>
      <c r="D11" s="172"/>
      <c r="E11" s="172"/>
      <c r="F11" s="172"/>
      <c r="G11" s="201"/>
    </row>
    <row r="12" spans="1:7" x14ac:dyDescent="0.35">
      <c r="A12" s="208"/>
      <c r="B12" s="218">
        <v>200000000</v>
      </c>
      <c r="C12" s="172"/>
      <c r="D12" s="172"/>
      <c r="E12" s="172"/>
      <c r="F12" s="172"/>
      <c r="G12" s="201"/>
    </row>
    <row r="13" spans="1:7" x14ac:dyDescent="0.35">
      <c r="A13" s="208"/>
      <c r="B13" s="227" t="s">
        <v>4637</v>
      </c>
      <c r="C13" s="172"/>
      <c r="D13" s="172"/>
      <c r="E13" s="172"/>
      <c r="F13" s="172"/>
      <c r="G13" s="201"/>
    </row>
    <row r="14" spans="1:7" x14ac:dyDescent="0.35">
      <c r="A14" s="208"/>
      <c r="B14" s="218">
        <v>90000000</v>
      </c>
      <c r="C14" s="172" t="s">
        <v>4638</v>
      </c>
      <c r="E14" s="172"/>
      <c r="F14" s="172"/>
      <c r="G14" s="201"/>
    </row>
    <row r="15" spans="1:7" x14ac:dyDescent="0.35">
      <c r="A15" s="208"/>
      <c r="B15" s="227" t="s">
        <v>4639</v>
      </c>
      <c r="C15" s="172"/>
      <c r="D15" s="172"/>
      <c r="E15" s="172"/>
      <c r="F15" s="172"/>
      <c r="G15" s="201"/>
    </row>
    <row r="16" spans="1:7" x14ac:dyDescent="0.35">
      <c r="A16" s="208"/>
      <c r="B16" s="218">
        <v>70000000</v>
      </c>
      <c r="C16" s="172"/>
      <c r="D16" s="172"/>
      <c r="E16" s="172"/>
      <c r="F16" s="172"/>
      <c r="G16" s="201"/>
    </row>
    <row r="17" spans="1:7" x14ac:dyDescent="0.35">
      <c r="A17" s="208"/>
      <c r="B17" s="227" t="s">
        <v>4640</v>
      </c>
      <c r="C17" s="172"/>
      <c r="D17" s="172"/>
      <c r="E17" s="172"/>
      <c r="F17" s="172"/>
      <c r="G17" s="201"/>
    </row>
    <row r="18" spans="1:7" x14ac:dyDescent="0.35">
      <c r="A18" s="208"/>
      <c r="B18" s="218">
        <v>150000000</v>
      </c>
      <c r="C18" s="172"/>
      <c r="D18" s="172"/>
      <c r="E18" s="172"/>
      <c r="F18" s="172"/>
      <c r="G18" s="201"/>
    </row>
    <row r="19" spans="1:7" x14ac:dyDescent="0.35">
      <c r="A19" s="208"/>
      <c r="B19" s="227" t="s">
        <v>4641</v>
      </c>
      <c r="C19" s="172"/>
      <c r="D19" s="172"/>
      <c r="E19" s="172"/>
      <c r="F19" s="172"/>
      <c r="G19" s="201"/>
    </row>
    <row r="20" spans="1:7" x14ac:dyDescent="0.35">
      <c r="A20" s="208"/>
      <c r="B20" s="218">
        <v>80000000</v>
      </c>
      <c r="C20" s="172"/>
      <c r="D20" s="172"/>
      <c r="E20" s="172"/>
      <c r="F20" s="172"/>
      <c r="G20" s="201"/>
    </row>
    <row r="21" spans="1:7" x14ac:dyDescent="0.35">
      <c r="A21" s="208"/>
      <c r="B21" s="218" t="s">
        <v>4642</v>
      </c>
      <c r="C21" s="172"/>
      <c r="D21" s="172"/>
      <c r="E21" s="172"/>
      <c r="F21" s="172"/>
      <c r="G21" s="201"/>
    </row>
    <row r="22" spans="1:7" x14ac:dyDescent="0.35">
      <c r="A22" s="208"/>
      <c r="B22" s="218">
        <v>80000000</v>
      </c>
      <c r="C22" s="202"/>
      <c r="D22" s="202"/>
      <c r="E22" s="202"/>
      <c r="F22" s="202"/>
      <c r="G22" s="201" t="s">
        <v>4612</v>
      </c>
    </row>
    <row r="23" spans="1:7" x14ac:dyDescent="0.35">
      <c r="A23" s="208"/>
      <c r="B23" s="218" t="s">
        <v>4643</v>
      </c>
      <c r="C23" s="202"/>
      <c r="D23" s="202"/>
      <c r="E23" s="202"/>
      <c r="F23" s="202"/>
      <c r="G23" s="201"/>
    </row>
    <row r="24" spans="1:7" x14ac:dyDescent="0.35">
      <c r="A24" s="208"/>
      <c r="B24" s="218">
        <v>500000000</v>
      </c>
      <c r="C24" s="202"/>
      <c r="D24" s="202"/>
      <c r="E24" s="202"/>
      <c r="F24" s="202"/>
      <c r="G24" s="201"/>
    </row>
    <row r="25" spans="1:7" ht="71.25" customHeight="1" x14ac:dyDescent="0.35">
      <c r="A25" s="208"/>
      <c r="B25" s="225">
        <f>SUM(B4:B24)+1300000000</f>
        <v>3120000000</v>
      </c>
      <c r="C25" s="168" t="s">
        <v>973</v>
      </c>
      <c r="D25" s="168">
        <v>12000000</v>
      </c>
      <c r="E25" s="203"/>
      <c r="F25" s="203"/>
      <c r="G25" s="203"/>
    </row>
    <row r="26" spans="1:7" x14ac:dyDescent="0.35">
      <c r="A26" s="208"/>
      <c r="B26" s="219" t="s">
        <v>4617</v>
      </c>
      <c r="C26" s="172"/>
      <c r="D26" s="172"/>
      <c r="E26" s="172"/>
      <c r="F26" s="172"/>
      <c r="G26" s="203" t="s">
        <v>4618</v>
      </c>
    </row>
    <row r="27" spans="1:7" x14ac:dyDescent="0.35">
      <c r="A27" s="208"/>
      <c r="B27" s="219" t="s">
        <v>4619</v>
      </c>
      <c r="C27" s="203"/>
      <c r="D27" s="203"/>
      <c r="E27" s="203"/>
      <c r="F27" s="203"/>
      <c r="G27" s="203" t="s">
        <v>4620</v>
      </c>
    </row>
    <row r="28" spans="1:7" ht="73.5" customHeight="1" x14ac:dyDescent="0.35">
      <c r="A28" s="208"/>
      <c r="B28" s="219" t="s">
        <v>4621</v>
      </c>
      <c r="C28" s="168" t="str">
        <f>CAPEX!B395</f>
        <v>Acquisition/Compensation of acquired lands</v>
      </c>
      <c r="D28" s="203"/>
      <c r="E28" s="203"/>
      <c r="F28" s="203"/>
      <c r="G28" s="203"/>
    </row>
    <row r="29" spans="1:7" x14ac:dyDescent="0.35">
      <c r="A29" s="208"/>
      <c r="B29" s="219" t="s">
        <v>4622</v>
      </c>
      <c r="C29" s="203"/>
      <c r="D29" s="203"/>
      <c r="E29" s="203"/>
      <c r="F29" s="203"/>
      <c r="G29" s="203"/>
    </row>
    <row r="30" spans="1:7" ht="45.75" customHeight="1" x14ac:dyDescent="0.35">
      <c r="A30" s="208"/>
      <c r="B30" s="219" t="s">
        <v>4624</v>
      </c>
      <c r="C30" s="172"/>
      <c r="D30" s="172"/>
      <c r="E30" s="172"/>
      <c r="F30" s="172"/>
      <c r="G30" s="168" t="s">
        <v>4652</v>
      </c>
    </row>
    <row r="31" spans="1:7" ht="46.5" x14ac:dyDescent="0.35">
      <c r="A31" s="208"/>
      <c r="B31" s="219" t="s">
        <v>4625</v>
      </c>
      <c r="C31" s="201"/>
      <c r="D31" s="201"/>
      <c r="E31" s="201"/>
      <c r="F31" s="201"/>
      <c r="G31" s="168" t="s">
        <v>4627</v>
      </c>
    </row>
    <row r="32" spans="1:7" x14ac:dyDescent="0.35">
      <c r="A32" s="208"/>
      <c r="B32" s="219" t="s">
        <v>4628</v>
      </c>
      <c r="C32" s="172"/>
      <c r="D32" s="172"/>
      <c r="E32" s="172"/>
      <c r="F32" s="172"/>
      <c r="G32" s="203">
        <v>98000000</v>
      </c>
    </row>
    <row r="33" spans="1:9" ht="24.75" customHeight="1" x14ac:dyDescent="0.35">
      <c r="A33" s="208"/>
      <c r="B33" s="220" t="s">
        <v>4629</v>
      </c>
      <c r="C33" s="172"/>
      <c r="D33" s="172"/>
      <c r="E33" s="172"/>
      <c r="F33" s="172"/>
      <c r="G33" s="203"/>
    </row>
    <row r="34" spans="1:9" x14ac:dyDescent="0.35">
      <c r="A34" s="208"/>
      <c r="B34" s="219" t="s">
        <v>4630</v>
      </c>
      <c r="C34" s="172"/>
      <c r="D34" s="172"/>
      <c r="E34" s="172"/>
      <c r="F34" s="172"/>
      <c r="G34" s="203"/>
    </row>
    <row r="35" spans="1:9" x14ac:dyDescent="0.35">
      <c r="A35" s="208"/>
      <c r="B35" s="219" t="s">
        <v>4631</v>
      </c>
      <c r="C35" s="172"/>
      <c r="D35" s="172"/>
      <c r="E35" s="172"/>
      <c r="F35" s="172"/>
      <c r="G35" s="203"/>
    </row>
    <row r="36" spans="1:9" x14ac:dyDescent="0.35">
      <c r="A36" s="208"/>
      <c r="B36" s="219" t="s">
        <v>4632</v>
      </c>
      <c r="C36" s="201"/>
      <c r="D36" s="201"/>
      <c r="E36" s="201"/>
      <c r="F36" s="201"/>
      <c r="G36" s="201"/>
    </row>
    <row r="37" spans="1:9" ht="66" customHeight="1" x14ac:dyDescent="0.35">
      <c r="A37" s="208"/>
      <c r="B37" s="219" t="s">
        <v>4633</v>
      </c>
      <c r="C37" s="172"/>
      <c r="D37" s="172"/>
      <c r="E37" s="172"/>
      <c r="F37" s="172"/>
      <c r="G37" s="168" t="s">
        <v>4657</v>
      </c>
    </row>
    <row r="38" spans="1:9" x14ac:dyDescent="0.35">
      <c r="A38" s="208"/>
      <c r="B38" s="218"/>
      <c r="C38" s="203"/>
      <c r="D38" s="203"/>
      <c r="E38" s="203"/>
      <c r="F38" s="203"/>
      <c r="G38" s="201"/>
    </row>
    <row r="39" spans="1:9" x14ac:dyDescent="0.35">
      <c r="A39" s="208"/>
      <c r="B39" s="219"/>
      <c r="C39" s="172"/>
      <c r="D39" s="172"/>
      <c r="E39" s="172"/>
      <c r="F39" s="172"/>
      <c r="G39" s="203"/>
    </row>
    <row r="40" spans="1:9" x14ac:dyDescent="0.35">
      <c r="A40" s="208"/>
      <c r="B40" s="219"/>
      <c r="C40" s="172"/>
      <c r="D40" s="172"/>
      <c r="E40" s="172"/>
      <c r="F40" s="172"/>
      <c r="G40" s="203"/>
    </row>
    <row r="41" spans="1:9" x14ac:dyDescent="0.35">
      <c r="A41" s="208"/>
      <c r="B41" s="219"/>
      <c r="C41" s="172"/>
      <c r="D41" s="172"/>
      <c r="E41" s="172"/>
      <c r="F41" s="172"/>
      <c r="G41" s="203"/>
    </row>
    <row r="42" spans="1:9" x14ac:dyDescent="0.35">
      <c r="A42" s="208"/>
      <c r="B42" s="219"/>
      <c r="C42" s="172"/>
      <c r="D42" s="172"/>
      <c r="E42" s="172"/>
      <c r="F42" s="172"/>
      <c r="G42" s="203"/>
    </row>
    <row r="43" spans="1:9" x14ac:dyDescent="0.35">
      <c r="A43" s="208"/>
      <c r="B43" s="218"/>
      <c r="C43" s="204"/>
      <c r="D43" s="204"/>
      <c r="E43" s="204"/>
      <c r="F43" s="204"/>
      <c r="G43" s="201"/>
    </row>
    <row r="44" spans="1:9" x14ac:dyDescent="0.35">
      <c r="A44" s="208"/>
      <c r="B44" s="219"/>
      <c r="C44" s="172"/>
      <c r="D44" s="172"/>
      <c r="E44" s="172"/>
      <c r="F44" s="172"/>
      <c r="G44" s="203"/>
    </row>
    <row r="45" spans="1:9" x14ac:dyDescent="0.35">
      <c r="A45" s="208"/>
      <c r="B45" s="218"/>
      <c r="C45" s="201"/>
      <c r="D45" s="201"/>
      <c r="E45" s="201"/>
      <c r="F45" s="201"/>
      <c r="G45" s="201"/>
      <c r="I45" s="205"/>
    </row>
    <row r="46" spans="1:9" x14ac:dyDescent="0.35">
      <c r="A46" s="208"/>
      <c r="B46" s="218"/>
      <c r="C46" s="201"/>
      <c r="D46" s="201"/>
      <c r="E46" s="201"/>
      <c r="F46" s="201"/>
      <c r="G46" s="201"/>
      <c r="I46" s="205"/>
    </row>
    <row r="47" spans="1:9" x14ac:dyDescent="0.35">
      <c r="A47" s="208"/>
      <c r="B47" s="218"/>
      <c r="C47" s="201"/>
      <c r="D47" s="201"/>
      <c r="E47" s="201"/>
      <c r="F47" s="201"/>
      <c r="G47" s="201"/>
      <c r="I47" s="205"/>
    </row>
    <row r="48" spans="1:9" x14ac:dyDescent="0.35">
      <c r="A48" s="208"/>
      <c r="B48" s="221"/>
      <c r="G48" s="206"/>
    </row>
    <row r="49" spans="1:7" ht="48" customHeight="1" x14ac:dyDescent="0.25">
      <c r="A49" s="208"/>
      <c r="B49" s="217"/>
      <c r="C49" s="200"/>
      <c r="D49" s="200"/>
      <c r="E49" s="200"/>
      <c r="F49" s="200"/>
      <c r="G49" s="200"/>
    </row>
    <row r="50" spans="1:7" x14ac:dyDescent="0.35">
      <c r="A50" s="208"/>
      <c r="B50" s="222"/>
      <c r="C50" s="172"/>
      <c r="D50" s="209"/>
      <c r="E50" s="738"/>
      <c r="F50" s="212"/>
      <c r="G50" s="179"/>
    </row>
    <row r="51" spans="1:7" x14ac:dyDescent="0.35">
      <c r="A51" s="208"/>
      <c r="B51" s="222"/>
      <c r="C51" s="172"/>
      <c r="D51" s="210"/>
      <c r="E51" s="739"/>
      <c r="F51" s="213"/>
      <c r="G51" s="179"/>
    </row>
    <row r="52" spans="1:7" x14ac:dyDescent="0.35">
      <c r="A52" s="208"/>
      <c r="B52" s="222"/>
      <c r="C52" s="172"/>
      <c r="D52" s="210"/>
      <c r="E52" s="739"/>
      <c r="F52" s="213"/>
      <c r="G52" s="179"/>
    </row>
    <row r="53" spans="1:7" ht="13.5" customHeight="1" x14ac:dyDescent="0.35">
      <c r="A53" s="208"/>
      <c r="B53" s="222"/>
      <c r="C53" s="172"/>
      <c r="D53" s="210"/>
      <c r="E53" s="739"/>
      <c r="F53" s="213"/>
      <c r="G53" s="179"/>
    </row>
    <row r="54" spans="1:7" x14ac:dyDescent="0.35">
      <c r="A54" s="208"/>
      <c r="B54" s="222"/>
      <c r="C54" s="172"/>
      <c r="D54" s="210"/>
      <c r="E54" s="739"/>
      <c r="F54" s="213"/>
      <c r="G54" s="179"/>
    </row>
    <row r="55" spans="1:7" ht="13.5" customHeight="1" x14ac:dyDescent="0.35">
      <c r="A55" s="208"/>
      <c r="B55" s="222"/>
      <c r="C55" s="172"/>
      <c r="D55" s="210"/>
      <c r="E55" s="739"/>
      <c r="F55" s="213"/>
      <c r="G55" s="179"/>
    </row>
    <row r="56" spans="1:7" x14ac:dyDescent="0.35">
      <c r="A56" s="208"/>
      <c r="B56" s="222"/>
      <c r="C56" s="172"/>
      <c r="D56" s="210"/>
      <c r="E56" s="739"/>
      <c r="F56" s="213"/>
      <c r="G56" s="179"/>
    </row>
    <row r="57" spans="1:7" ht="9.75" customHeight="1" x14ac:dyDescent="0.35">
      <c r="A57" s="208"/>
      <c r="B57" s="222"/>
      <c r="C57" s="172"/>
      <c r="D57" s="210"/>
      <c r="E57" s="739"/>
      <c r="F57" s="213"/>
      <c r="G57" s="179"/>
    </row>
    <row r="58" spans="1:7" x14ac:dyDescent="0.35">
      <c r="A58" s="208"/>
      <c r="B58" s="222"/>
      <c r="C58" s="172"/>
      <c r="D58" s="210"/>
      <c r="E58" s="739"/>
      <c r="F58" s="213"/>
      <c r="G58" s="179"/>
    </row>
    <row r="59" spans="1:7" ht="13.5" customHeight="1" x14ac:dyDescent="0.35">
      <c r="A59" s="208"/>
      <c r="B59" s="222"/>
      <c r="C59" s="172"/>
      <c r="D59" s="210"/>
      <c r="E59" s="739"/>
      <c r="F59" s="213"/>
      <c r="G59" s="179"/>
    </row>
    <row r="60" spans="1:7" x14ac:dyDescent="0.35">
      <c r="A60" s="208"/>
      <c r="B60" s="222"/>
      <c r="C60" s="207"/>
      <c r="D60" s="211"/>
      <c r="E60" s="740"/>
      <c r="F60" s="214"/>
      <c r="G60" s="207"/>
    </row>
    <row r="61" spans="1:7" x14ac:dyDescent="0.35">
      <c r="A61" s="208"/>
      <c r="B61" s="222"/>
      <c r="C61" s="172"/>
      <c r="D61" s="172"/>
      <c r="E61" s="172"/>
      <c r="F61" s="172"/>
      <c r="G61" s="207"/>
    </row>
    <row r="62" spans="1:7" x14ac:dyDescent="0.35">
      <c r="A62" s="208"/>
      <c r="B62" s="222"/>
      <c r="C62" s="207"/>
      <c r="D62" s="207"/>
      <c r="E62" s="207"/>
      <c r="F62" s="207"/>
      <c r="G62" s="207"/>
    </row>
    <row r="63" spans="1:7" x14ac:dyDescent="0.35">
      <c r="A63" s="208"/>
      <c r="B63" s="223"/>
      <c r="C63" s="207"/>
      <c r="D63" s="207"/>
      <c r="E63" s="207"/>
      <c r="F63" s="207"/>
      <c r="G63" s="174"/>
    </row>
  </sheetData>
  <mergeCells count="1">
    <mergeCell ref="E50:E60"/>
  </mergeCells>
  <pageMargins left="0.7" right="0.7" top="0.75" bottom="0.75" header="0.3" footer="0.3"/>
  <pageSetup scale="39" orientation="portrait" r:id="rId1"/>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1"/>
  <sheetViews>
    <sheetView view="pageBreakPreview" topLeftCell="A13" zoomScale="85" zoomScaleSheetLayoutView="85" workbookViewId="0">
      <selection activeCell="B24" sqref="B24"/>
    </sheetView>
  </sheetViews>
  <sheetFormatPr defaultRowHeight="23.25" x14ac:dyDescent="0.35"/>
  <cols>
    <col min="1" max="1" width="9.140625" style="94"/>
    <col min="2" max="2" width="63.28515625" customWidth="1"/>
    <col min="3" max="3" width="32.42578125" style="632" customWidth="1"/>
    <col min="4" max="4" width="33.140625" style="17" customWidth="1"/>
    <col min="5" max="5" width="0.42578125" style="17" hidden="1" customWidth="1"/>
    <col min="6" max="6" width="32.28515625" style="17" customWidth="1"/>
    <col min="7" max="7" width="32.42578125" style="17" customWidth="1"/>
    <col min="8" max="8" width="34.5703125" customWidth="1"/>
    <col min="9" max="9" width="33.140625" customWidth="1"/>
  </cols>
  <sheetData>
    <row r="1" spans="1:9" x14ac:dyDescent="0.35">
      <c r="B1" s="1" t="s">
        <v>5142</v>
      </c>
      <c r="C1" s="638"/>
      <c r="G1" s="9"/>
    </row>
    <row r="2" spans="1:9" x14ac:dyDescent="0.35">
      <c r="B2" s="5"/>
      <c r="C2" s="13"/>
      <c r="H2" s="17">
        <f>D2-125000000</f>
        <v>-125000000</v>
      </c>
      <c r="I2" s="13">
        <f>D2-H2</f>
        <v>125000000</v>
      </c>
    </row>
    <row r="3" spans="1:9" ht="71.25" customHeight="1" x14ac:dyDescent="0.25">
      <c r="A3" s="192" t="s">
        <v>1053</v>
      </c>
      <c r="B3" s="192" t="s">
        <v>1031</v>
      </c>
      <c r="C3" s="193" t="s">
        <v>5140</v>
      </c>
      <c r="D3" s="193" t="s">
        <v>4862</v>
      </c>
      <c r="E3" s="193" t="s">
        <v>4597</v>
      </c>
      <c r="F3" s="193" t="s">
        <v>5132</v>
      </c>
      <c r="G3" s="193" t="s">
        <v>1011</v>
      </c>
    </row>
    <row r="4" spans="1:9" ht="48" customHeight="1" x14ac:dyDescent="0.25">
      <c r="A4" s="199"/>
      <c r="B4" s="199"/>
      <c r="C4" s="200"/>
      <c r="D4" s="200"/>
      <c r="E4" s="548"/>
      <c r="F4" s="548"/>
      <c r="G4" s="200"/>
    </row>
    <row r="5" spans="1:9" s="563" customFormat="1" ht="33.75" customHeight="1" x14ac:dyDescent="0.4">
      <c r="A5" s="559" t="s">
        <v>1189</v>
      </c>
      <c r="B5" s="559" t="s">
        <v>4603</v>
      </c>
      <c r="C5" s="560">
        <f>C78</f>
        <v>9348779312.2900009</v>
      </c>
      <c r="D5" s="560">
        <v>12433527399.78824</v>
      </c>
      <c r="E5" s="560">
        <v>216196177691.16794</v>
      </c>
      <c r="F5" s="560">
        <f>CAPEX!L385</f>
        <v>4360000000</v>
      </c>
      <c r="G5" s="560">
        <v>19983414037.799999</v>
      </c>
      <c r="H5" s="562">
        <v>12374527399.78824</v>
      </c>
    </row>
    <row r="6" spans="1:9" s="563" customFormat="1" ht="77.25" customHeight="1" x14ac:dyDescent="0.4">
      <c r="A6" s="564"/>
      <c r="B6" s="565"/>
      <c r="C6" s="570"/>
      <c r="D6" s="560"/>
      <c r="E6" s="560"/>
      <c r="F6" s="560"/>
      <c r="G6" s="560"/>
    </row>
    <row r="7" spans="1:9" s="563" customFormat="1" ht="34.5" customHeight="1" x14ac:dyDescent="0.4">
      <c r="A7" s="559" t="s">
        <v>1191</v>
      </c>
      <c r="B7" s="559" t="s">
        <v>1032</v>
      </c>
      <c r="C7" s="561">
        <f>C102</f>
        <v>62955671643.080002</v>
      </c>
      <c r="D7" s="560">
        <v>113077933239.38103</v>
      </c>
      <c r="E7" s="560"/>
      <c r="F7" s="560">
        <f>CAPEX!L1432</f>
        <v>25087061614</v>
      </c>
      <c r="G7" s="560">
        <v>131064846284.1891</v>
      </c>
      <c r="H7" s="566">
        <f>110340000294.591</f>
        <v>110340000294.591</v>
      </c>
      <c r="I7" s="567">
        <f>H7-D7</f>
        <v>-2737932944.7900238</v>
      </c>
    </row>
    <row r="8" spans="1:9" s="563" customFormat="1" ht="63.75" customHeight="1" x14ac:dyDescent="0.4">
      <c r="A8" s="564"/>
      <c r="B8" s="565"/>
      <c r="C8" s="570"/>
      <c r="D8" s="560"/>
      <c r="E8" s="560"/>
      <c r="F8" s="560"/>
      <c r="G8" s="560"/>
    </row>
    <row r="9" spans="1:9" s="563" customFormat="1" ht="33" customHeight="1" x14ac:dyDescent="0.4">
      <c r="A9" s="559" t="s">
        <v>1193</v>
      </c>
      <c r="B9" s="559" t="s">
        <v>1033</v>
      </c>
      <c r="C9" s="561">
        <f>'Summary (3)'!C110</f>
        <v>865000000</v>
      </c>
      <c r="D9" s="560">
        <v>1901703128</v>
      </c>
      <c r="E9" s="560"/>
      <c r="F9" s="560">
        <f>CAPEX!L1520</f>
        <v>0</v>
      </c>
      <c r="G9" s="560">
        <v>3445848935</v>
      </c>
      <c r="H9" s="568">
        <v>1533908821</v>
      </c>
    </row>
    <row r="10" spans="1:9" s="563" customFormat="1" ht="57" customHeight="1" x14ac:dyDescent="0.4">
      <c r="A10" s="559"/>
      <c r="B10" s="559"/>
      <c r="C10" s="561"/>
      <c r="D10" s="560"/>
      <c r="E10" s="560"/>
      <c r="G10" s="560"/>
    </row>
    <row r="11" spans="1:9" s="563" customFormat="1" ht="34.5" customHeight="1" x14ac:dyDescent="0.4">
      <c r="A11" s="559" t="s">
        <v>1195</v>
      </c>
      <c r="B11" s="559" t="s">
        <v>1034</v>
      </c>
      <c r="C11" s="561">
        <f>C116</f>
        <v>27455060007.029999</v>
      </c>
      <c r="D11" s="560">
        <v>43564320016.07</v>
      </c>
      <c r="E11" s="560"/>
      <c r="F11" s="560">
        <f>CAPEX!L1620</f>
        <v>1705000000</v>
      </c>
      <c r="G11" s="560">
        <v>31000000000</v>
      </c>
      <c r="H11" s="569">
        <v>43714320016.07</v>
      </c>
      <c r="I11" s="569">
        <v>43714320016.07</v>
      </c>
    </row>
    <row r="12" spans="1:9" s="563" customFormat="1" ht="62.25" customHeight="1" x14ac:dyDescent="0.4">
      <c r="A12" s="559"/>
      <c r="B12" s="559"/>
      <c r="C12" s="561"/>
      <c r="D12" s="560"/>
      <c r="E12" s="560"/>
      <c r="F12" s="560"/>
      <c r="G12" s="560"/>
    </row>
    <row r="13" spans="1:9" s="563" customFormat="1" ht="31.5" customHeight="1" x14ac:dyDescent="0.4">
      <c r="A13" s="559" t="s">
        <v>1196</v>
      </c>
      <c r="B13" s="559" t="s">
        <v>1035</v>
      </c>
      <c r="C13" s="561">
        <f>C134</f>
        <v>26757155380</v>
      </c>
      <c r="D13" s="560">
        <v>49343425570.962753</v>
      </c>
      <c r="E13" s="560"/>
      <c r="F13" s="560">
        <f>CAPEX!L2383</f>
        <v>9917303804.25</v>
      </c>
      <c r="G13" s="560">
        <v>44788532668.871506</v>
      </c>
      <c r="H13" s="568">
        <v>46679658515.092758</v>
      </c>
    </row>
    <row r="14" spans="1:9" s="563" customFormat="1" ht="36.75" customHeight="1" x14ac:dyDescent="0.4">
      <c r="A14" s="559"/>
      <c r="B14" s="559"/>
      <c r="C14" s="561"/>
      <c r="D14" s="560"/>
      <c r="E14" s="560"/>
      <c r="F14" s="560"/>
      <c r="G14" s="560"/>
    </row>
    <row r="15" spans="1:9" s="563" customFormat="1" ht="26.25" x14ac:dyDescent="0.4">
      <c r="A15" s="559" t="s">
        <v>4728</v>
      </c>
      <c r="B15" s="565" t="s">
        <v>1036</v>
      </c>
      <c r="C15" s="560">
        <v>2500000000</v>
      </c>
      <c r="D15" s="560">
        <v>3000000000</v>
      </c>
      <c r="E15" s="560"/>
      <c r="F15" s="560">
        <v>1000000000</v>
      </c>
      <c r="G15" s="560">
        <v>3000000000</v>
      </c>
    </row>
    <row r="16" spans="1:9" s="563" customFormat="1" ht="26.25" x14ac:dyDescent="0.4">
      <c r="A16" s="564"/>
      <c r="B16" s="565"/>
      <c r="C16" s="570"/>
      <c r="D16" s="560"/>
      <c r="E16" s="560"/>
      <c r="F16" s="560"/>
      <c r="G16" s="570"/>
    </row>
    <row r="17" spans="1:9" s="563" customFormat="1" ht="36.75" customHeight="1" x14ac:dyDescent="0.4">
      <c r="A17" s="564"/>
      <c r="B17" s="565" t="s">
        <v>1008</v>
      </c>
      <c r="C17" s="570">
        <f>SUM(C5:C16)</f>
        <v>129881666342.39999</v>
      </c>
      <c r="D17" s="570">
        <f t="shared" ref="D17:F17" si="0">SUM(D5:D16)</f>
        <v>223320909354.20203</v>
      </c>
      <c r="E17" s="570">
        <f t="shared" si="0"/>
        <v>216196177691.16794</v>
      </c>
      <c r="F17" s="570">
        <f t="shared" si="0"/>
        <v>42069365418.25</v>
      </c>
      <c r="G17" s="570">
        <v>233282641925.8606</v>
      </c>
      <c r="H17" s="567"/>
      <c r="I17" s="562">
        <f>D17-D48</f>
        <v>223320909354.20203</v>
      </c>
    </row>
    <row r="18" spans="1:9" ht="39.75" hidden="1" customHeight="1" x14ac:dyDescent="0.35">
      <c r="B18" s="8" t="s">
        <v>1037</v>
      </c>
      <c r="C18" s="639"/>
      <c r="D18" s="555" t="e">
        <f>#REF!+#REF!</f>
        <v>#REF!</v>
      </c>
      <c r="E18" s="15"/>
      <c r="F18" s="15"/>
      <c r="G18" s="10">
        <v>390378671178.08057</v>
      </c>
    </row>
    <row r="19" spans="1:9" ht="24.75" hidden="1" customHeight="1" x14ac:dyDescent="0.35">
      <c r="B19" s="557"/>
      <c r="C19" s="570">
        <v>129881666342.39999</v>
      </c>
      <c r="D19" s="686"/>
      <c r="E19" s="556"/>
      <c r="F19" s="556"/>
      <c r="G19" s="558"/>
      <c r="H19" s="140"/>
    </row>
    <row r="20" spans="1:9" ht="25.5" hidden="1" x14ac:dyDescent="0.35">
      <c r="B20" s="557"/>
      <c r="C20" s="640"/>
      <c r="D20" s="570">
        <v>223320909354.20203</v>
      </c>
      <c r="E20" s="570">
        <v>223320909354.20203</v>
      </c>
      <c r="F20" s="570">
        <v>223320909354.20203</v>
      </c>
      <c r="G20" s="558"/>
    </row>
    <row r="21" spans="1:9" x14ac:dyDescent="0.35">
      <c r="B21" s="557"/>
      <c r="C21" s="640"/>
      <c r="D21" s="556"/>
      <c r="E21" s="556"/>
      <c r="F21" s="556"/>
      <c r="G21" s="558"/>
    </row>
    <row r="22" spans="1:9" x14ac:dyDescent="0.35">
      <c r="B22" s="557"/>
      <c r="C22" s="640"/>
      <c r="D22" s="556"/>
      <c r="E22" s="556"/>
      <c r="F22" s="556"/>
      <c r="G22" s="558"/>
    </row>
    <row r="23" spans="1:9" x14ac:dyDescent="0.35">
      <c r="B23" s="557"/>
      <c r="C23" s="640"/>
      <c r="D23" s="556"/>
      <c r="E23" s="556"/>
      <c r="F23" s="556"/>
      <c r="G23" s="558"/>
    </row>
    <row r="24" spans="1:9" x14ac:dyDescent="0.35">
      <c r="B24" s="557"/>
      <c r="C24" s="640"/>
      <c r="D24" s="556"/>
      <c r="E24" s="556"/>
      <c r="F24" s="556"/>
      <c r="G24" s="558"/>
    </row>
    <row r="25" spans="1:9" x14ac:dyDescent="0.35">
      <c r="B25" s="557"/>
      <c r="C25" s="640"/>
      <c r="D25" s="556"/>
      <c r="E25" s="556"/>
      <c r="F25" s="556"/>
      <c r="G25" s="558"/>
    </row>
    <row r="26" spans="1:9" x14ac:dyDescent="0.35">
      <c r="B26" s="557"/>
      <c r="C26" s="640"/>
      <c r="D26" s="556"/>
      <c r="E26" s="556"/>
      <c r="F26" s="556"/>
      <c r="G26" s="558"/>
    </row>
    <row r="27" spans="1:9" x14ac:dyDescent="0.35">
      <c r="B27" s="557"/>
      <c r="C27" s="640"/>
      <c r="D27" s="556"/>
      <c r="E27" s="556"/>
      <c r="F27" s="556"/>
      <c r="G27" s="558"/>
    </row>
    <row r="28" spans="1:9" x14ac:dyDescent="0.35">
      <c r="B28" s="557"/>
      <c r="C28" s="640"/>
      <c r="D28" s="556"/>
      <c r="E28" s="556"/>
      <c r="F28" s="556"/>
      <c r="G28" s="558"/>
    </row>
    <row r="29" spans="1:9" x14ac:dyDescent="0.35">
      <c r="B29" s="557"/>
      <c r="C29" s="640"/>
      <c r="D29" s="556"/>
      <c r="E29" s="556"/>
      <c r="F29" s="556"/>
      <c r="G29" s="558"/>
    </row>
    <row r="30" spans="1:9" x14ac:dyDescent="0.35">
      <c r="B30" s="557"/>
      <c r="C30" s="640"/>
      <c r="D30" s="556"/>
      <c r="E30" s="556"/>
      <c r="F30" s="556"/>
      <c r="G30" s="558"/>
    </row>
    <row r="31" spans="1:9" x14ac:dyDescent="0.35">
      <c r="B31" s="557"/>
      <c r="C31" s="640"/>
      <c r="D31" s="556"/>
      <c r="E31" s="556"/>
      <c r="F31" s="556"/>
      <c r="G31" s="558"/>
    </row>
    <row r="32" spans="1:9" x14ac:dyDescent="0.35">
      <c r="B32" s="557"/>
      <c r="C32" s="640"/>
      <c r="D32" s="556"/>
      <c r="E32" s="556"/>
      <c r="F32" s="556"/>
      <c r="G32" s="558"/>
    </row>
    <row r="33" spans="1:8" x14ac:dyDescent="0.35">
      <c r="B33" s="557"/>
      <c r="C33" s="640"/>
      <c r="D33" s="556"/>
      <c r="E33" s="556"/>
      <c r="F33" s="556"/>
      <c r="G33" s="558"/>
    </row>
    <row r="34" spans="1:8" x14ac:dyDescent="0.35">
      <c r="B34" s="557"/>
      <c r="C34" s="640"/>
      <c r="D34" s="556"/>
      <c r="E34" s="556"/>
      <c r="F34" s="556"/>
      <c r="G34" s="558"/>
    </row>
    <row r="35" spans="1:8" x14ac:dyDescent="0.35">
      <c r="B35" s="557"/>
      <c r="C35" s="640"/>
      <c r="D35" s="556"/>
      <c r="E35" s="556"/>
      <c r="F35" s="556"/>
      <c r="G35" s="558"/>
    </row>
    <row r="36" spans="1:8" x14ac:dyDescent="0.35">
      <c r="B36" s="557"/>
      <c r="C36" s="640"/>
      <c r="D36" s="556"/>
      <c r="E36" s="556"/>
      <c r="F36" s="556"/>
      <c r="G36" s="558"/>
    </row>
    <row r="37" spans="1:8" x14ac:dyDescent="0.35">
      <c r="B37" s="557"/>
      <c r="C37" s="640"/>
      <c r="D37" s="556"/>
      <c r="E37" s="556"/>
      <c r="F37" s="556"/>
      <c r="G37" s="558"/>
    </row>
    <row r="38" spans="1:8" x14ac:dyDescent="0.35">
      <c r="B38" s="557"/>
      <c r="C38" s="640"/>
      <c r="D38" s="556"/>
      <c r="E38" s="556"/>
      <c r="F38" s="556"/>
      <c r="G38" s="558"/>
    </row>
    <row r="39" spans="1:8" x14ac:dyDescent="0.35">
      <c r="B39" s="557"/>
      <c r="C39" s="640"/>
      <c r="D39" s="556"/>
      <c r="E39" s="556"/>
      <c r="F39" s="556"/>
      <c r="G39" s="558"/>
    </row>
    <row r="40" spans="1:8" x14ac:dyDescent="0.35">
      <c r="B40" s="557"/>
      <c r="C40" s="640"/>
      <c r="D40" s="556"/>
      <c r="E40" s="556"/>
      <c r="F40" s="556"/>
      <c r="G40" s="558"/>
    </row>
    <row r="41" spans="1:8" x14ac:dyDescent="0.35">
      <c r="B41" s="557"/>
      <c r="C41" s="640"/>
      <c r="D41" s="556"/>
      <c r="E41" s="556"/>
      <c r="F41" s="556"/>
      <c r="G41" s="558"/>
    </row>
    <row r="42" spans="1:8" x14ac:dyDescent="0.35">
      <c r="B42" s="557"/>
      <c r="C42" s="640"/>
      <c r="D42" s="556"/>
      <c r="E42" s="556"/>
      <c r="F42" s="556"/>
      <c r="G42" s="558"/>
    </row>
    <row r="43" spans="1:8" x14ac:dyDescent="0.35">
      <c r="B43" s="557"/>
      <c r="C43" s="640"/>
      <c r="D43" s="556"/>
      <c r="E43" s="556"/>
      <c r="F43" s="556"/>
      <c r="G43" s="558"/>
    </row>
    <row r="44" spans="1:8" x14ac:dyDescent="0.35">
      <c r="B44" s="557"/>
      <c r="C44" s="640"/>
      <c r="D44" s="556"/>
      <c r="E44" s="556"/>
      <c r="F44" s="556"/>
      <c r="G44" s="558"/>
    </row>
    <row r="45" spans="1:8" x14ac:dyDescent="0.35">
      <c r="B45" s="557"/>
      <c r="C45" s="640"/>
      <c r="D45" s="556"/>
      <c r="E45" s="556"/>
      <c r="F45" s="556"/>
      <c r="G45" s="558"/>
    </row>
    <row r="46" spans="1:8" x14ac:dyDescent="0.35">
      <c r="B46" s="557"/>
      <c r="C46" s="640"/>
      <c r="D46" s="556"/>
      <c r="E46" s="556"/>
      <c r="F46" s="556"/>
      <c r="G46" s="558"/>
    </row>
    <row r="47" spans="1:8" x14ac:dyDescent="0.35">
      <c r="A47" s="742" t="s">
        <v>1189</v>
      </c>
      <c r="B47" s="742"/>
      <c r="C47" s="742"/>
      <c r="D47" s="742"/>
      <c r="E47" s="742"/>
      <c r="F47" s="742"/>
      <c r="G47" s="742"/>
    </row>
    <row r="48" spans="1:8" x14ac:dyDescent="0.35">
      <c r="D48" s="556"/>
      <c r="H48" s="140"/>
    </row>
    <row r="49" spans="1:16" x14ac:dyDescent="0.35">
      <c r="B49" s="743" t="s">
        <v>4729</v>
      </c>
      <c r="C49" s="743"/>
      <c r="D49" s="743"/>
      <c r="E49" s="743"/>
      <c r="F49" s="743"/>
      <c r="G49" s="743"/>
    </row>
    <row r="50" spans="1:16" x14ac:dyDescent="0.35">
      <c r="B50" s="550"/>
      <c r="C50" s="641"/>
    </row>
    <row r="51" spans="1:16" x14ac:dyDescent="0.35">
      <c r="B51" s="549" t="s">
        <v>4730</v>
      </c>
      <c r="C51" s="642"/>
    </row>
    <row r="52" spans="1:16" ht="68.25" customHeight="1" x14ac:dyDescent="0.35">
      <c r="B52" s="192" t="s">
        <v>1031</v>
      </c>
      <c r="C52" s="193" t="s">
        <v>5140</v>
      </c>
      <c r="D52" s="193" t="s">
        <v>4862</v>
      </c>
      <c r="E52" s="193" t="s">
        <v>4597</v>
      </c>
      <c r="F52" s="193"/>
      <c r="G52" s="193" t="s">
        <v>1011</v>
      </c>
    </row>
    <row r="53" spans="1:16" x14ac:dyDescent="0.35">
      <c r="A53" s="554"/>
      <c r="B53" s="551" t="s">
        <v>4717</v>
      </c>
      <c r="C53" s="552">
        <f>CAPEX!K31</f>
        <v>4523538217.29</v>
      </c>
      <c r="D53" s="552">
        <v>4683574631.29</v>
      </c>
      <c r="E53" s="551"/>
      <c r="F53" s="551"/>
      <c r="G53" s="574">
        <v>5649448607</v>
      </c>
      <c r="H53" s="551"/>
      <c r="I53" s="551"/>
      <c r="J53" s="551"/>
      <c r="K53" s="551"/>
      <c r="L53" s="551"/>
      <c r="M53" s="551"/>
      <c r="N53" s="551"/>
      <c r="O53" s="551"/>
      <c r="P53" s="551"/>
    </row>
    <row r="54" spans="1:16" x14ac:dyDescent="0.35">
      <c r="A54" s="554"/>
      <c r="B54" s="551" t="s">
        <v>1336</v>
      </c>
      <c r="C54" s="552">
        <f>CAPEX!K42</f>
        <v>13617093</v>
      </c>
      <c r="D54" s="17">
        <v>20000000</v>
      </c>
      <c r="G54" s="574">
        <v>25000000</v>
      </c>
      <c r="H54" s="17" t="e">
        <f>D17+#REF!</f>
        <v>#REF!</v>
      </c>
      <c r="I54" s="17"/>
      <c r="J54" s="17"/>
    </row>
    <row r="55" spans="1:16" x14ac:dyDescent="0.35">
      <c r="A55" s="554"/>
      <c r="B55" s="551" t="s">
        <v>1241</v>
      </c>
      <c r="C55" s="552">
        <f>CAPEX!K47</f>
        <v>1380000000</v>
      </c>
      <c r="D55" s="17">
        <v>1580909939.49824</v>
      </c>
      <c r="G55" s="574">
        <v>1100000000</v>
      </c>
      <c r="H55" s="17" t="e">
        <f>D18-H54</f>
        <v>#REF!</v>
      </c>
      <c r="I55" s="17"/>
      <c r="J55" s="17"/>
    </row>
    <row r="56" spans="1:16" x14ac:dyDescent="0.35">
      <c r="A56" s="554"/>
      <c r="B56" s="551" t="s">
        <v>4718</v>
      </c>
      <c r="C56" s="552">
        <f>CAPEX!K71</f>
        <v>120350000</v>
      </c>
      <c r="D56" s="17">
        <v>281414868</v>
      </c>
      <c r="G56" s="574">
        <v>171802700</v>
      </c>
    </row>
    <row r="57" spans="1:16" x14ac:dyDescent="0.35">
      <c r="A57" s="554"/>
      <c r="B57" s="551" t="s">
        <v>4716</v>
      </c>
      <c r="C57" s="552">
        <f>CAPEX!K124</f>
        <v>623872114</v>
      </c>
      <c r="D57" s="17">
        <v>1572009127</v>
      </c>
      <c r="G57" s="574">
        <v>2983437554</v>
      </c>
    </row>
    <row r="58" spans="1:16" x14ac:dyDescent="0.35">
      <c r="A58" s="554"/>
      <c r="B58" s="551" t="s">
        <v>4604</v>
      </c>
      <c r="C58" s="552">
        <f>CAPEX!K147</f>
        <v>1400000000</v>
      </c>
      <c r="D58" s="17">
        <v>1517500000</v>
      </c>
      <c r="G58" s="574">
        <v>322000000</v>
      </c>
    </row>
    <row r="59" spans="1:16" x14ac:dyDescent="0.35">
      <c r="A59" s="554"/>
      <c r="B59" s="551" t="s">
        <v>1096</v>
      </c>
      <c r="C59" s="552">
        <f>CAPEX!K159</f>
        <v>391313889</v>
      </c>
      <c r="D59" s="17">
        <v>883789000</v>
      </c>
      <c r="G59" s="574">
        <v>1217805530</v>
      </c>
    </row>
    <row r="60" spans="1:16" x14ac:dyDescent="0.35">
      <c r="A60" s="554"/>
      <c r="B60" s="551" t="s">
        <v>1116</v>
      </c>
      <c r="C60" s="552">
        <f>CAPEX!K174</f>
        <v>34030000</v>
      </c>
      <c r="D60" s="17">
        <v>52060662</v>
      </c>
      <c r="G60" s="574">
        <v>107540411</v>
      </c>
    </row>
    <row r="61" spans="1:16" x14ac:dyDescent="0.35">
      <c r="A61" s="554"/>
      <c r="B61" s="551" t="s">
        <v>1231</v>
      </c>
      <c r="C61" s="552">
        <f>CAPEX!K184</f>
        <v>20723000</v>
      </c>
      <c r="D61" s="17">
        <v>37648530</v>
      </c>
      <c r="G61" s="574">
        <v>22488432</v>
      </c>
    </row>
    <row r="62" spans="1:16" x14ac:dyDescent="0.35">
      <c r="A62" s="554"/>
      <c r="B62" s="551" t="s">
        <v>2743</v>
      </c>
      <c r="C62" s="552">
        <f>CAPEX!K196</f>
        <v>20030331</v>
      </c>
      <c r="D62" s="17">
        <v>36030331</v>
      </c>
      <c r="G62" s="574">
        <v>30000000</v>
      </c>
    </row>
    <row r="63" spans="1:16" x14ac:dyDescent="0.35">
      <c r="A63" s="554"/>
      <c r="B63" s="551" t="s">
        <v>1248</v>
      </c>
      <c r="C63" s="552">
        <f>CAPEX!K212</f>
        <v>20099947</v>
      </c>
      <c r="D63" s="17">
        <v>57576864</v>
      </c>
      <c r="G63" s="574">
        <v>39976864</v>
      </c>
    </row>
    <row r="64" spans="1:16" x14ac:dyDescent="0.35">
      <c r="A64" s="554"/>
      <c r="B64" s="551" t="s">
        <v>4599</v>
      </c>
      <c r="C64" s="552">
        <f>CAPEX!K228</f>
        <v>122007376</v>
      </c>
      <c r="D64" s="17">
        <v>350000000</v>
      </c>
      <c r="G64" s="574">
        <v>406544344</v>
      </c>
    </row>
    <row r="65" spans="1:7" x14ac:dyDescent="0.35">
      <c r="A65" s="554"/>
      <c r="B65" s="551" t="s">
        <v>1318</v>
      </c>
      <c r="C65" s="552">
        <f>CAPEX!K233</f>
        <v>34896044</v>
      </c>
      <c r="D65" s="17">
        <v>100030331</v>
      </c>
      <c r="G65" s="574">
        <v>40000000</v>
      </c>
    </row>
    <row r="66" spans="1:7" x14ac:dyDescent="0.35">
      <c r="A66" s="554"/>
      <c r="B66" s="551" t="s">
        <v>1319</v>
      </c>
      <c r="C66" s="552">
        <f>CAPEX!K251</f>
        <v>264000000</v>
      </c>
      <c r="D66" s="17">
        <v>401000000</v>
      </c>
      <c r="G66" s="574">
        <v>322825085</v>
      </c>
    </row>
    <row r="67" spans="1:7" x14ac:dyDescent="0.35">
      <c r="A67" s="554"/>
      <c r="B67" s="551" t="s">
        <v>4719</v>
      </c>
      <c r="C67" s="552">
        <f>CAPEX!K261</f>
        <v>96546829</v>
      </c>
      <c r="D67" s="17">
        <v>182121325</v>
      </c>
      <c r="G67" s="574">
        <v>206163000</v>
      </c>
    </row>
    <row r="68" spans="1:7" x14ac:dyDescent="0.35">
      <c r="A68" s="554"/>
      <c r="B68" s="551" t="s">
        <v>1232</v>
      </c>
      <c r="C68" s="552">
        <f>CAPEX!K271</f>
        <v>29457000</v>
      </c>
      <c r="D68" s="17">
        <v>49000000</v>
      </c>
      <c r="G68" s="574">
        <v>54976864</v>
      </c>
    </row>
    <row r="69" spans="1:7" x14ac:dyDescent="0.35">
      <c r="A69" s="554"/>
      <c r="B69" s="551" t="s">
        <v>1129</v>
      </c>
      <c r="C69" s="552">
        <f>CAPEX!K282</f>
        <v>20000000</v>
      </c>
      <c r="D69" s="17">
        <v>43236397</v>
      </c>
      <c r="G69" s="574">
        <v>19200000</v>
      </c>
    </row>
    <row r="70" spans="1:7" x14ac:dyDescent="0.35">
      <c r="A70" s="554"/>
      <c r="B70" s="551" t="s">
        <v>2532</v>
      </c>
      <c r="C70" s="552">
        <f>CAPEX!K296</f>
        <v>17000000</v>
      </c>
      <c r="D70" s="17">
        <v>30000000</v>
      </c>
      <c r="G70" s="574">
        <v>70000000</v>
      </c>
    </row>
    <row r="71" spans="1:7" x14ac:dyDescent="0.35">
      <c r="A71" s="554"/>
      <c r="B71" s="551" t="s">
        <v>2785</v>
      </c>
      <c r="C71" s="552">
        <f>CAPEX!K321</f>
        <v>17000000</v>
      </c>
      <c r="D71" s="17">
        <v>30000000</v>
      </c>
      <c r="G71" s="574">
        <v>73000000</v>
      </c>
    </row>
    <row r="72" spans="1:7" x14ac:dyDescent="0.35">
      <c r="A72" s="554"/>
      <c r="B72" s="551" t="s">
        <v>1102</v>
      </c>
      <c r="C72" s="552">
        <f>Sheet1!J46</f>
        <v>13523933</v>
      </c>
      <c r="D72" s="17">
        <v>37648530</v>
      </c>
      <c r="G72" s="574">
        <v>32488432</v>
      </c>
    </row>
    <row r="73" spans="1:7" x14ac:dyDescent="0.35">
      <c r="A73" s="554"/>
      <c r="B73" s="551" t="s">
        <v>1124</v>
      </c>
      <c r="C73" s="552">
        <f>CAPEX!K350</f>
        <v>52146018</v>
      </c>
      <c r="D73" s="17">
        <v>150000000</v>
      </c>
      <c r="G73" s="574">
        <v>33941034</v>
      </c>
    </row>
    <row r="74" spans="1:7" x14ac:dyDescent="0.35">
      <c r="A74" s="554"/>
      <c r="B74" s="551" t="s">
        <v>2801</v>
      </c>
      <c r="C74" s="552">
        <f>CAPEX!K363</f>
        <v>32729114</v>
      </c>
      <c r="D74" s="17">
        <v>93976864</v>
      </c>
      <c r="G74" s="574">
        <v>54976864</v>
      </c>
    </row>
    <row r="75" spans="1:7" x14ac:dyDescent="0.35">
      <c r="A75" s="554"/>
      <c r="B75" s="551" t="s">
        <v>1126</v>
      </c>
      <c r="C75" s="552">
        <f>CAPEX!K373</f>
        <v>20218407</v>
      </c>
      <c r="D75" s="17">
        <v>60000000</v>
      </c>
      <c r="G75" s="574">
        <v>40000000</v>
      </c>
    </row>
    <row r="76" spans="1:7" x14ac:dyDescent="0.35">
      <c r="A76" s="554"/>
      <c r="B76" s="551" t="s">
        <v>80</v>
      </c>
      <c r="C76" s="552">
        <f>CAPEX!K379</f>
        <v>31880000</v>
      </c>
      <c r="D76" s="17">
        <v>64000000</v>
      </c>
      <c r="G76" s="574">
        <v>50000000</v>
      </c>
    </row>
    <row r="77" spans="1:7" x14ac:dyDescent="0.35">
      <c r="A77" s="554"/>
      <c r="B77" s="551" t="s">
        <v>1217</v>
      </c>
      <c r="C77" s="552">
        <f>CAPEX!K384</f>
        <v>49800000</v>
      </c>
      <c r="D77" s="17">
        <v>120000000</v>
      </c>
      <c r="G77" s="574"/>
    </row>
    <row r="78" spans="1:7" x14ac:dyDescent="0.35">
      <c r="A78" s="554"/>
      <c r="B78" s="401" t="s">
        <v>1008</v>
      </c>
      <c r="C78" s="111">
        <f>SUM(C53:C77)</f>
        <v>9348779312.2900009</v>
      </c>
      <c r="D78" s="111">
        <f>SUM(D53:D77)</f>
        <v>12433527399.78824</v>
      </c>
      <c r="E78" s="111">
        <f t="shared" ref="E78" si="1">SUM(E53:E77)</f>
        <v>0</v>
      </c>
      <c r="F78" s="111"/>
      <c r="G78" s="111">
        <f>'[7]Summary (3)'!$E$77</f>
        <v>19983414038</v>
      </c>
    </row>
    <row r="80" spans="1:7" x14ac:dyDescent="0.35">
      <c r="B80" s="342" t="s">
        <v>4731</v>
      </c>
      <c r="C80" s="545"/>
    </row>
    <row r="81" spans="1:7" x14ac:dyDescent="0.35">
      <c r="A81" s="554"/>
      <c r="B81" s="551" t="s">
        <v>4600</v>
      </c>
      <c r="C81" s="552">
        <f>CAPEX!K418</f>
        <v>419056812</v>
      </c>
      <c r="D81" s="17">
        <v>1201400560</v>
      </c>
      <c r="G81" s="574">
        <v>1402568321</v>
      </c>
    </row>
    <row r="82" spans="1:7" x14ac:dyDescent="0.35">
      <c r="A82" s="554"/>
      <c r="B82" s="551" t="s">
        <v>317</v>
      </c>
      <c r="C82" s="552">
        <f>CAPEX!K427</f>
        <v>9500000</v>
      </c>
      <c r="D82" s="17">
        <v>12000000</v>
      </c>
      <c r="G82" s="574">
        <v>12000000</v>
      </c>
    </row>
    <row r="83" spans="1:7" x14ac:dyDescent="0.35">
      <c r="A83" s="554"/>
      <c r="B83" s="551" t="s">
        <v>2603</v>
      </c>
      <c r="C83" s="552">
        <f>CAPEX!K455</f>
        <v>911200000</v>
      </c>
      <c r="D83" s="17">
        <v>1351576295</v>
      </c>
      <c r="G83" s="574">
        <v>347754100</v>
      </c>
    </row>
    <row r="84" spans="1:7" x14ac:dyDescent="0.35">
      <c r="A84" s="554"/>
      <c r="B84" s="551" t="s">
        <v>4793</v>
      </c>
      <c r="C84" s="552">
        <f>CAPEX!K495</f>
        <v>3300000000</v>
      </c>
      <c r="D84" s="17">
        <v>2011246476</v>
      </c>
      <c r="G84" s="574">
        <v>2988000000</v>
      </c>
    </row>
    <row r="85" spans="1:7" x14ac:dyDescent="0.35">
      <c r="A85" s="554"/>
      <c r="B85" s="551" t="s">
        <v>1247</v>
      </c>
      <c r="C85" s="552">
        <f>CAPEX!K528</f>
        <v>5334424200</v>
      </c>
      <c r="D85" s="17">
        <v>5429606000</v>
      </c>
      <c r="G85" s="574">
        <v>3933422648</v>
      </c>
    </row>
    <row r="86" spans="1:7" x14ac:dyDescent="0.35">
      <c r="A86" s="554"/>
      <c r="B86" s="551" t="s">
        <v>2892</v>
      </c>
      <c r="C86" s="552">
        <f>CAPEX!K539</f>
        <v>1270000000</v>
      </c>
      <c r="D86" s="17">
        <v>500000000</v>
      </c>
      <c r="G86" s="574">
        <v>500000000</v>
      </c>
    </row>
    <row r="87" spans="1:7" x14ac:dyDescent="0.35">
      <c r="A87" s="554"/>
      <c r="B87" s="551" t="s">
        <v>1377</v>
      </c>
      <c r="C87" s="552">
        <f>CAPEX!K673</f>
        <v>1859000000.47</v>
      </c>
      <c r="D87" s="17">
        <v>3447324871.79</v>
      </c>
      <c r="G87" s="574">
        <v>5044343713</v>
      </c>
    </row>
    <row r="88" spans="1:7" x14ac:dyDescent="0.35">
      <c r="A88" s="554"/>
      <c r="B88" s="551" t="s">
        <v>1144</v>
      </c>
      <c r="C88" s="552">
        <f>CAPEX!K739</f>
        <v>97174545</v>
      </c>
      <c r="D88" s="17">
        <v>279972981.75</v>
      </c>
      <c r="G88" s="574">
        <v>975158261</v>
      </c>
    </row>
    <row r="89" spans="1:7" x14ac:dyDescent="0.35">
      <c r="A89" s="554"/>
      <c r="B89" s="551" t="s">
        <v>2894</v>
      </c>
      <c r="C89" s="552">
        <f>CAPEX!K765</f>
        <v>597000000</v>
      </c>
      <c r="D89" s="17">
        <v>2340606626</v>
      </c>
      <c r="G89" s="574">
        <v>1668278222</v>
      </c>
    </row>
    <row r="90" spans="1:7" x14ac:dyDescent="0.35">
      <c r="A90" s="554"/>
      <c r="B90" s="551" t="s">
        <v>2483</v>
      </c>
      <c r="C90" s="552">
        <f>CAPEX!K786</f>
        <v>227000000</v>
      </c>
      <c r="D90" s="17">
        <v>250000000</v>
      </c>
      <c r="G90" s="574">
        <v>50000000</v>
      </c>
    </row>
    <row r="91" spans="1:7" x14ac:dyDescent="0.35">
      <c r="A91" s="554"/>
      <c r="B91" s="551" t="s">
        <v>2534</v>
      </c>
      <c r="C91" s="552">
        <f>CAPEX!K818</f>
        <v>796500000</v>
      </c>
      <c r="D91" s="17">
        <v>1498500000</v>
      </c>
      <c r="G91" s="574">
        <v>390247498</v>
      </c>
    </row>
    <row r="92" spans="1:7" x14ac:dyDescent="0.35">
      <c r="A92" s="554"/>
      <c r="B92" s="551" t="s">
        <v>1378</v>
      </c>
      <c r="C92" s="552">
        <f>CAPEX!K835</f>
        <v>72000000</v>
      </c>
      <c r="D92" s="17">
        <v>206888786</v>
      </c>
      <c r="G92" s="574">
        <v>106888786</v>
      </c>
    </row>
    <row r="93" spans="1:7" x14ac:dyDescent="0.35">
      <c r="A93" s="554"/>
      <c r="B93" s="551" t="s">
        <v>2600</v>
      </c>
      <c r="C93" s="552">
        <f>CAPEX!K857</f>
        <v>751347352</v>
      </c>
      <c r="D93" s="17">
        <v>1541367801</v>
      </c>
      <c r="G93" s="574">
        <v>8015536170</v>
      </c>
    </row>
    <row r="94" spans="1:7" x14ac:dyDescent="0.35">
      <c r="A94" s="554"/>
      <c r="B94" s="551" t="s">
        <v>2601</v>
      </c>
      <c r="C94" s="552">
        <f>CAPEX!K867</f>
        <v>209184074</v>
      </c>
      <c r="D94" s="17">
        <v>600000000</v>
      </c>
      <c r="G94" s="574">
        <v>460244860.67384702</v>
      </c>
    </row>
    <row r="95" spans="1:7" x14ac:dyDescent="0.35">
      <c r="A95" s="554"/>
      <c r="B95" s="551" t="s">
        <v>1380</v>
      </c>
      <c r="C95" s="552">
        <f>CAPEX!K922+CAPEX!K892</f>
        <v>4005124679</v>
      </c>
      <c r="D95" s="17">
        <v>3330296662</v>
      </c>
      <c r="G95" s="574">
        <v>3256896662</v>
      </c>
    </row>
    <row r="96" spans="1:7" x14ac:dyDescent="0.35">
      <c r="A96" s="554"/>
      <c r="B96" s="551" t="s">
        <v>1134</v>
      </c>
      <c r="C96" s="552">
        <f>CAPEX!K939</f>
        <v>100362755.73999998</v>
      </c>
      <c r="D96" s="17">
        <v>216181988</v>
      </c>
      <c r="G96" s="574">
        <v>274884321</v>
      </c>
    </row>
    <row r="97" spans="1:7" x14ac:dyDescent="0.35">
      <c r="A97" s="554"/>
      <c r="B97" s="551" t="s">
        <v>2455</v>
      </c>
      <c r="C97" s="552">
        <f>CAPEX!K1282</f>
        <v>34121032913.529999</v>
      </c>
      <c r="D97" s="17">
        <v>73663414998.101013</v>
      </c>
      <c r="G97" s="574">
        <v>87222954586</v>
      </c>
    </row>
    <row r="98" spans="1:7" x14ac:dyDescent="0.35">
      <c r="A98" s="554"/>
      <c r="B98" s="551" t="s">
        <v>1458</v>
      </c>
      <c r="C98" s="552">
        <f>CAPEX!K1355</f>
        <v>6600000000</v>
      </c>
      <c r="D98" s="17">
        <v>10009308088.890001</v>
      </c>
      <c r="G98" s="574">
        <v>8234620024</v>
      </c>
    </row>
    <row r="99" spans="1:7" x14ac:dyDescent="0.35">
      <c r="A99" s="554"/>
      <c r="B99" s="551" t="s">
        <v>1376</v>
      </c>
      <c r="C99" s="552">
        <f>CAPEX!K1391</f>
        <v>584706827</v>
      </c>
      <c r="D99" s="17">
        <v>1438727240</v>
      </c>
      <c r="G99" s="574">
        <v>1625633549</v>
      </c>
    </row>
    <row r="100" spans="1:7" x14ac:dyDescent="0.35">
      <c r="A100" s="554"/>
      <c r="B100" s="551" t="s">
        <v>3100</v>
      </c>
      <c r="C100" s="552">
        <f>CAPEX!K1402</f>
        <v>77625712</v>
      </c>
      <c r="D100" s="17">
        <v>149000000</v>
      </c>
      <c r="G100" s="574"/>
    </row>
    <row r="101" spans="1:7" x14ac:dyDescent="0.35">
      <c r="A101" s="554"/>
      <c r="B101" s="551" t="s">
        <v>1160</v>
      </c>
      <c r="C101" s="552">
        <f>CAPEX!K1431</f>
        <v>1613431772.3399999</v>
      </c>
      <c r="D101" s="17">
        <v>3600513864.8499999</v>
      </c>
      <c r="G101" s="574">
        <v>4605414562</v>
      </c>
    </row>
    <row r="102" spans="1:7" x14ac:dyDescent="0.35">
      <c r="A102" s="554"/>
      <c r="B102" s="111" t="s">
        <v>1008</v>
      </c>
      <c r="C102" s="111">
        <f>SUM(C81:C101)</f>
        <v>62955671643.080002</v>
      </c>
      <c r="D102" s="111">
        <f>SUM(D81:D101)</f>
        <v>113077933239.38103</v>
      </c>
      <c r="E102" s="111">
        <f t="shared" ref="E102" si="2">SUM(E81:E101)</f>
        <v>0</v>
      </c>
      <c r="F102" s="111"/>
      <c r="G102" s="111">
        <f>'[7]Summary (3)'!$E$101</f>
        <v>131064846284.1891</v>
      </c>
    </row>
    <row r="103" spans="1:7" x14ac:dyDescent="0.35">
      <c r="A103" s="554"/>
      <c r="B103" s="111"/>
      <c r="C103" s="111"/>
      <c r="D103" s="111"/>
    </row>
    <row r="104" spans="1:7" x14ac:dyDescent="0.35">
      <c r="A104" s="741" t="s">
        <v>1191</v>
      </c>
      <c r="B104" s="741"/>
      <c r="C104" s="741"/>
      <c r="D104" s="741"/>
      <c r="E104" s="741"/>
      <c r="F104" s="741"/>
      <c r="G104" s="741"/>
    </row>
    <row r="105" spans="1:7" x14ac:dyDescent="0.35">
      <c r="A105" s="554" t="s">
        <v>984</v>
      </c>
      <c r="B105" s="342" t="s">
        <v>4795</v>
      </c>
      <c r="C105" s="545"/>
    </row>
    <row r="106" spans="1:7" x14ac:dyDescent="0.35">
      <c r="A106" s="554"/>
      <c r="B106" s="551" t="s">
        <v>3060</v>
      </c>
      <c r="C106" s="552">
        <f>CAPEX!K1448</f>
        <v>81000000</v>
      </c>
      <c r="D106" s="17">
        <v>129709192</v>
      </c>
      <c r="G106" s="17">
        <v>166340000</v>
      </c>
    </row>
    <row r="107" spans="1:7" x14ac:dyDescent="0.35">
      <c r="A107" s="554"/>
      <c r="B107" s="551" t="s">
        <v>1166</v>
      </c>
      <c r="C107" s="552">
        <f>CAPEX!K1486</f>
        <v>634000000</v>
      </c>
      <c r="D107" s="17">
        <v>1356394307</v>
      </c>
      <c r="G107" s="17">
        <v>1554341603</v>
      </c>
    </row>
    <row r="108" spans="1:7" x14ac:dyDescent="0.35">
      <c r="A108" s="554"/>
      <c r="B108" s="551" t="s">
        <v>1168</v>
      </c>
      <c r="C108" s="552">
        <f>CAPEX!K1506</f>
        <v>119000000</v>
      </c>
      <c r="D108" s="17">
        <v>343599629</v>
      </c>
      <c r="G108" s="17">
        <v>1622167332</v>
      </c>
    </row>
    <row r="109" spans="1:7" x14ac:dyDescent="0.35">
      <c r="A109" s="554"/>
      <c r="B109" s="551" t="s">
        <v>1163</v>
      </c>
      <c r="C109" s="552">
        <f>CAPEX!K1519</f>
        <v>31000000</v>
      </c>
      <c r="D109" s="17">
        <v>72000000</v>
      </c>
      <c r="G109" s="17">
        <v>103000000</v>
      </c>
    </row>
    <row r="110" spans="1:7" x14ac:dyDescent="0.35">
      <c r="A110" s="554"/>
      <c r="C110" s="111">
        <f>SUM(C106:C109)</f>
        <v>865000000</v>
      </c>
      <c r="D110" s="111">
        <f>SUM(D106:D109)</f>
        <v>1901703128</v>
      </c>
      <c r="E110" s="111">
        <f t="shared" ref="E110" si="3">SUM(E106:E109)</f>
        <v>0</v>
      </c>
      <c r="F110" s="111"/>
      <c r="G110" s="111">
        <f>'[7]Summary (3)'!$E$110</f>
        <v>3445848935</v>
      </c>
    </row>
    <row r="111" spans="1:7" x14ac:dyDescent="0.35">
      <c r="A111" s="554"/>
    </row>
    <row r="112" spans="1:7" x14ac:dyDescent="0.35">
      <c r="A112" s="554"/>
      <c r="B112" s="342" t="s">
        <v>4796</v>
      </c>
      <c r="C112" s="545"/>
    </row>
    <row r="113" spans="1:8" ht="46.5" x14ac:dyDescent="0.35">
      <c r="A113" s="554"/>
      <c r="B113" s="553" t="s">
        <v>2602</v>
      </c>
      <c r="C113" s="643">
        <f>CAPEX!K1527</f>
        <v>21400060007.029999</v>
      </c>
      <c r="D113" s="17">
        <v>34000000000</v>
      </c>
      <c r="G113" s="17">
        <v>31000000000</v>
      </c>
    </row>
    <row r="114" spans="1:8" ht="46.5" x14ac:dyDescent="0.35">
      <c r="A114" s="554"/>
      <c r="B114" s="553" t="s">
        <v>1387</v>
      </c>
      <c r="C114" s="643">
        <f>CAPEX!K1606</f>
        <v>2905000000</v>
      </c>
      <c r="D114" s="17">
        <v>3454320016.0699997</v>
      </c>
      <c r="G114" s="17">
        <v>0</v>
      </c>
    </row>
    <row r="115" spans="1:8" ht="46.5" x14ac:dyDescent="0.35">
      <c r="A115" s="554"/>
      <c r="B115" s="553" t="s">
        <v>1009</v>
      </c>
      <c r="C115" s="643">
        <f>CAPEX!K1619</f>
        <v>3150000000</v>
      </c>
      <c r="D115" s="17">
        <v>6110000000</v>
      </c>
    </row>
    <row r="116" spans="1:8" x14ac:dyDescent="0.35">
      <c r="A116" s="554"/>
      <c r="C116" s="111">
        <f>SUM(C113:C115)</f>
        <v>27455060007.029999</v>
      </c>
      <c r="D116" s="111">
        <f>SUM(D113:D115)</f>
        <v>43564320016.07</v>
      </c>
      <c r="G116" s="111">
        <f>'[7]Summary (3)'!$E$116</f>
        <v>31000000000</v>
      </c>
    </row>
    <row r="117" spans="1:8" x14ac:dyDescent="0.35">
      <c r="A117" s="554"/>
    </row>
    <row r="118" spans="1:8" x14ac:dyDescent="0.35">
      <c r="A118" s="554"/>
      <c r="B118" s="342" t="s">
        <v>4797</v>
      </c>
      <c r="C118" s="545"/>
    </row>
    <row r="119" spans="1:8" x14ac:dyDescent="0.35">
      <c r="A119" s="554"/>
      <c r="B119" s="553" t="s">
        <v>1383</v>
      </c>
      <c r="C119" s="643">
        <f>CAPEX!K1649</f>
        <v>1200000000</v>
      </c>
      <c r="D119" s="17">
        <v>1340806439</v>
      </c>
      <c r="G119" s="574">
        <v>627160000</v>
      </c>
    </row>
    <row r="120" spans="1:8" x14ac:dyDescent="0.35">
      <c r="A120" s="554"/>
      <c r="B120" s="553" t="s">
        <v>1187</v>
      </c>
      <c r="C120" s="643">
        <f>CAPEX!K1663</f>
        <v>20000000</v>
      </c>
      <c r="D120" s="17">
        <v>25216610</v>
      </c>
      <c r="G120" s="574">
        <v>43216610</v>
      </c>
    </row>
    <row r="121" spans="1:8" x14ac:dyDescent="0.35">
      <c r="A121" s="554"/>
      <c r="B121" s="553" t="s">
        <v>1322</v>
      </c>
      <c r="C121" s="643">
        <f>CAPEX!K1677</f>
        <v>83000000</v>
      </c>
      <c r="D121" s="17">
        <v>151848997</v>
      </c>
      <c r="G121" s="574">
        <v>70500000</v>
      </c>
    </row>
    <row r="122" spans="1:8" x14ac:dyDescent="0.35">
      <c r="A122" s="554"/>
      <c r="B122" s="553" t="s">
        <v>1321</v>
      </c>
      <c r="C122" s="643">
        <f>CAPEX!K1706</f>
        <v>505700560</v>
      </c>
      <c r="D122" s="17">
        <v>1146400560</v>
      </c>
      <c r="G122" s="574">
        <v>1215000000</v>
      </c>
      <c r="H122">
        <v>1066400560</v>
      </c>
    </row>
    <row r="123" spans="1:8" x14ac:dyDescent="0.35">
      <c r="A123" s="554"/>
      <c r="B123" s="553" t="s">
        <v>1181</v>
      </c>
      <c r="C123" s="643">
        <f>CAPEX!K1718</f>
        <v>16200000</v>
      </c>
      <c r="G123" s="574"/>
    </row>
    <row r="124" spans="1:8" x14ac:dyDescent="0.35">
      <c r="A124" s="554"/>
      <c r="B124" s="553" t="s">
        <v>1183</v>
      </c>
      <c r="C124" s="643">
        <f>CAPEX!K1767</f>
        <v>996000000</v>
      </c>
      <c r="D124" s="17">
        <v>2095000000</v>
      </c>
      <c r="G124" s="574">
        <v>4216768631</v>
      </c>
      <c r="H124">
        <v>50000000</v>
      </c>
    </row>
    <row r="125" spans="1:8" x14ac:dyDescent="0.35">
      <c r="A125" s="554"/>
      <c r="B125" s="553" t="s">
        <v>1175</v>
      </c>
      <c r="C125" s="643">
        <f>CAPEX!K2182</f>
        <v>7442017393</v>
      </c>
      <c r="D125" s="17">
        <v>17442001961.002754</v>
      </c>
      <c r="G125" s="574">
        <v>11953017700.880001</v>
      </c>
      <c r="H125">
        <v>30000000</v>
      </c>
    </row>
    <row r="126" spans="1:8" x14ac:dyDescent="0.35">
      <c r="A126" s="554"/>
      <c r="B126" s="553" t="s">
        <v>1871</v>
      </c>
      <c r="C126" s="643">
        <f>CAPEX!K2192</f>
        <v>34245098</v>
      </c>
      <c r="D126" s="17">
        <v>100000000</v>
      </c>
      <c r="G126" s="574">
        <v>100000000</v>
      </c>
    </row>
    <row r="127" spans="1:8" ht="46.5" x14ac:dyDescent="0.35">
      <c r="A127" s="554"/>
      <c r="B127" s="553" t="s">
        <v>1872</v>
      </c>
      <c r="C127" s="643">
        <f>CAPEX!K2200</f>
        <v>1510604674</v>
      </c>
      <c r="D127" s="17">
        <v>1550000000</v>
      </c>
      <c r="G127" s="574">
        <v>2000000000</v>
      </c>
    </row>
    <row r="128" spans="1:8" x14ac:dyDescent="0.35">
      <c r="A128" s="554"/>
      <c r="B128" s="553" t="s">
        <v>3403</v>
      </c>
      <c r="C128" s="643">
        <f>CAPEX!K2236</f>
        <v>3320553997.1399999</v>
      </c>
      <c r="D128" s="17">
        <v>5840000000</v>
      </c>
      <c r="G128" s="574">
        <v>289434094.02400005</v>
      </c>
    </row>
    <row r="129" spans="1:7" x14ac:dyDescent="0.35">
      <c r="A129" s="554"/>
      <c r="B129" s="553" t="s">
        <v>3404</v>
      </c>
      <c r="C129" s="643">
        <f>CAPEX!K2243</f>
        <v>349199413</v>
      </c>
      <c r="D129" s="17">
        <v>650000000</v>
      </c>
      <c r="G129" s="574">
        <v>1366399276</v>
      </c>
    </row>
    <row r="130" spans="1:7" x14ac:dyDescent="0.35">
      <c r="A130" s="554"/>
      <c r="B130" s="553" t="s">
        <v>1177</v>
      </c>
      <c r="C130" s="643">
        <f>CAPEX!K2284</f>
        <v>2491496784.8600001</v>
      </c>
      <c r="D130" s="17">
        <v>7017318618.7600002</v>
      </c>
      <c r="G130" s="574">
        <v>4574244695.0299997</v>
      </c>
    </row>
    <row r="131" spans="1:7" x14ac:dyDescent="0.35">
      <c r="A131" s="554"/>
      <c r="B131" s="553" t="s">
        <v>1885</v>
      </c>
      <c r="C131" s="643">
        <f>CAPEX!K2349</f>
        <v>8113710142</v>
      </c>
      <c r="D131" s="17">
        <v>10742832385.200001</v>
      </c>
      <c r="G131" s="574">
        <v>8619632308</v>
      </c>
    </row>
    <row r="132" spans="1:7" ht="46.5" x14ac:dyDescent="0.35">
      <c r="A132" s="554"/>
      <c r="B132" s="553" t="s">
        <v>4562</v>
      </c>
      <c r="C132" s="643">
        <f>CAPEX!K2354</f>
        <v>174427318</v>
      </c>
      <c r="D132" s="17">
        <v>500000000</v>
      </c>
      <c r="G132" s="574"/>
    </row>
    <row r="133" spans="1:7" ht="46.5" x14ac:dyDescent="0.35">
      <c r="A133" s="554"/>
      <c r="B133" s="553" t="s">
        <v>4563</v>
      </c>
      <c r="C133" s="643">
        <f>CAPEX!K2382</f>
        <v>500000000</v>
      </c>
      <c r="D133" s="17">
        <v>742000000</v>
      </c>
      <c r="G133" s="574">
        <v>344884321</v>
      </c>
    </row>
    <row r="134" spans="1:7" x14ac:dyDescent="0.35">
      <c r="A134" s="554"/>
      <c r="C134" s="111">
        <f>SUM(C119:C133)</f>
        <v>26757155380</v>
      </c>
      <c r="D134" s="111">
        <f>SUM(D119:D133)</f>
        <v>49343425570.962753</v>
      </c>
      <c r="E134" s="111">
        <f t="shared" ref="E134" si="4">SUM(E119:E133)</f>
        <v>0</v>
      </c>
      <c r="F134" s="111"/>
      <c r="G134" s="111">
        <f>'[7]Summary (3)'!$E$133</f>
        <v>44788532668.871506</v>
      </c>
    </row>
    <row r="135" spans="1:7" x14ac:dyDescent="0.35">
      <c r="A135" s="554"/>
      <c r="D135" s="111"/>
    </row>
    <row r="136" spans="1:7" x14ac:dyDescent="0.35">
      <c r="A136" s="554"/>
      <c r="D136" s="111"/>
    </row>
    <row r="137" spans="1:7" x14ac:dyDescent="0.35">
      <c r="A137" s="554"/>
      <c r="D137" s="111"/>
    </row>
    <row r="138" spans="1:7" x14ac:dyDescent="0.35">
      <c r="A138" s="554"/>
      <c r="D138" s="111"/>
    </row>
    <row r="139" spans="1:7" x14ac:dyDescent="0.35">
      <c r="A139" s="554"/>
      <c r="D139" s="111"/>
    </row>
    <row r="140" spans="1:7" x14ac:dyDescent="0.35">
      <c r="A140" s="554"/>
      <c r="D140" s="111"/>
    </row>
    <row r="141" spans="1:7" x14ac:dyDescent="0.35">
      <c r="A141" s="554"/>
      <c r="D141" s="111"/>
    </row>
    <row r="142" spans="1:7" x14ac:dyDescent="0.35">
      <c r="A142" s="554"/>
      <c r="D142" s="111"/>
    </row>
    <row r="143" spans="1:7" x14ac:dyDescent="0.35">
      <c r="A143" s="554"/>
      <c r="D143" s="111"/>
    </row>
    <row r="144" spans="1:7" x14ac:dyDescent="0.35">
      <c r="A144" s="554"/>
      <c r="D144" s="111"/>
    </row>
    <row r="145" spans="1:7" x14ac:dyDescent="0.35">
      <c r="A145" s="554"/>
      <c r="D145" s="111"/>
    </row>
    <row r="146" spans="1:7" x14ac:dyDescent="0.35">
      <c r="A146" s="554"/>
      <c r="D146" s="111"/>
    </row>
    <row r="147" spans="1:7" x14ac:dyDescent="0.35">
      <c r="A147" s="554"/>
      <c r="D147" s="111"/>
    </row>
    <row r="148" spans="1:7" x14ac:dyDescent="0.35">
      <c r="A148" s="554"/>
      <c r="D148" s="111"/>
    </row>
    <row r="149" spans="1:7" x14ac:dyDescent="0.35">
      <c r="A149" s="554"/>
      <c r="D149" s="111"/>
    </row>
    <row r="150" spans="1:7" x14ac:dyDescent="0.35">
      <c r="A150" s="554"/>
      <c r="D150" s="111"/>
    </row>
    <row r="151" spans="1:7" x14ac:dyDescent="0.35">
      <c r="A151" s="554"/>
      <c r="D151" s="111"/>
    </row>
    <row r="152" spans="1:7" x14ac:dyDescent="0.35">
      <c r="A152" s="554"/>
      <c r="D152" s="111"/>
    </row>
    <row r="153" spans="1:7" x14ac:dyDescent="0.35">
      <c r="A153" s="554"/>
      <c r="D153" s="111"/>
    </row>
    <row r="154" spans="1:7" x14ac:dyDescent="0.35">
      <c r="A154" s="554"/>
      <c r="D154" s="111"/>
    </row>
    <row r="155" spans="1:7" x14ac:dyDescent="0.35">
      <c r="A155" s="554"/>
    </row>
    <row r="156" spans="1:7" x14ac:dyDescent="0.35">
      <c r="A156" s="554"/>
    </row>
    <row r="157" spans="1:7" x14ac:dyDescent="0.35">
      <c r="A157" s="554"/>
    </row>
    <row r="158" spans="1:7" x14ac:dyDescent="0.35">
      <c r="A158" s="554"/>
    </row>
    <row r="159" spans="1:7" x14ac:dyDescent="0.35">
      <c r="A159" s="554"/>
    </row>
    <row r="160" spans="1:7" x14ac:dyDescent="0.35">
      <c r="A160" s="741" t="s">
        <v>1193</v>
      </c>
      <c r="B160" s="741"/>
      <c r="C160" s="741"/>
      <c r="D160" s="741"/>
      <c r="E160" s="741"/>
      <c r="F160" s="741"/>
      <c r="G160" s="741"/>
    </row>
    <row r="161" spans="1:1" x14ac:dyDescent="0.35">
      <c r="A161" s="554" t="s">
        <v>4732</v>
      </c>
    </row>
    <row r="162" spans="1:1" x14ac:dyDescent="0.35">
      <c r="A162" s="554" t="s">
        <v>4733</v>
      </c>
    </row>
    <row r="163" spans="1:1" x14ac:dyDescent="0.35">
      <c r="A163" s="554" t="s">
        <v>4734</v>
      </c>
    </row>
    <row r="164" spans="1:1" x14ac:dyDescent="0.35">
      <c r="A164" s="554" t="s">
        <v>4735</v>
      </c>
    </row>
    <row r="165" spans="1:1" x14ac:dyDescent="0.35">
      <c r="A165" s="554" t="s">
        <v>4736</v>
      </c>
    </row>
    <row r="166" spans="1:1" x14ac:dyDescent="0.35">
      <c r="A166" s="554" t="s">
        <v>4737</v>
      </c>
    </row>
    <row r="167" spans="1:1" x14ac:dyDescent="0.35">
      <c r="A167" s="554" t="s">
        <v>4738</v>
      </c>
    </row>
    <row r="168" spans="1:1" x14ac:dyDescent="0.35">
      <c r="A168" s="554" t="s">
        <v>4739</v>
      </c>
    </row>
    <row r="169" spans="1:1" x14ac:dyDescent="0.35">
      <c r="A169" s="554" t="s">
        <v>4740</v>
      </c>
    </row>
    <row r="170" spans="1:1" x14ac:dyDescent="0.35">
      <c r="A170" s="554" t="s">
        <v>4741</v>
      </c>
    </row>
    <row r="171" spans="1:1" x14ac:dyDescent="0.35">
      <c r="A171" s="554" t="s">
        <v>4742</v>
      </c>
    </row>
    <row r="172" spans="1:1" x14ac:dyDescent="0.35">
      <c r="A172" s="554" t="s">
        <v>4743</v>
      </c>
    </row>
    <row r="173" spans="1:1" x14ac:dyDescent="0.35">
      <c r="A173" s="554" t="s">
        <v>4744</v>
      </c>
    </row>
    <row r="174" spans="1:1" x14ac:dyDescent="0.35">
      <c r="A174" s="554" t="s">
        <v>4745</v>
      </c>
    </row>
    <row r="175" spans="1:1" x14ac:dyDescent="0.35">
      <c r="A175" s="554" t="s">
        <v>4746</v>
      </c>
    </row>
    <row r="176" spans="1:1" x14ac:dyDescent="0.35">
      <c r="A176" s="554" t="s">
        <v>4747</v>
      </c>
    </row>
    <row r="177" spans="1:1" x14ac:dyDescent="0.35">
      <c r="A177" s="554" t="s">
        <v>4748</v>
      </c>
    </row>
    <row r="178" spans="1:1" x14ac:dyDescent="0.35">
      <c r="A178" s="554" t="s">
        <v>4749</v>
      </c>
    </row>
    <row r="179" spans="1:1" x14ac:dyDescent="0.35">
      <c r="A179" s="554" t="s">
        <v>4750</v>
      </c>
    </row>
    <row r="180" spans="1:1" x14ac:dyDescent="0.35">
      <c r="A180" s="554" t="s">
        <v>4751</v>
      </c>
    </row>
    <row r="181" spans="1:1" x14ac:dyDescent="0.35">
      <c r="A181" s="554" t="s">
        <v>4752</v>
      </c>
    </row>
    <row r="182" spans="1:1" x14ac:dyDescent="0.35">
      <c r="A182" s="554" t="s">
        <v>4753</v>
      </c>
    </row>
    <row r="183" spans="1:1" x14ac:dyDescent="0.35">
      <c r="A183" s="554" t="s">
        <v>4754</v>
      </c>
    </row>
    <row r="184" spans="1:1" x14ac:dyDescent="0.35">
      <c r="A184" s="554" t="s">
        <v>4755</v>
      </c>
    </row>
    <row r="185" spans="1:1" x14ac:dyDescent="0.35">
      <c r="A185" s="554" t="s">
        <v>4756</v>
      </c>
    </row>
    <row r="186" spans="1:1" x14ac:dyDescent="0.35">
      <c r="A186" s="554" t="s">
        <v>4757</v>
      </c>
    </row>
    <row r="187" spans="1:1" x14ac:dyDescent="0.35">
      <c r="A187" s="554" t="s">
        <v>4758</v>
      </c>
    </row>
    <row r="188" spans="1:1" x14ac:dyDescent="0.35">
      <c r="A188" s="554" t="s">
        <v>4759</v>
      </c>
    </row>
    <row r="189" spans="1:1" x14ac:dyDescent="0.35">
      <c r="A189" s="554" t="s">
        <v>4760</v>
      </c>
    </row>
    <row r="190" spans="1:1" x14ac:dyDescent="0.35">
      <c r="A190" s="554" t="s">
        <v>4761</v>
      </c>
    </row>
    <row r="191" spans="1:1" x14ac:dyDescent="0.35">
      <c r="A191" s="554" t="s">
        <v>4762</v>
      </c>
    </row>
    <row r="192" spans="1:1" x14ac:dyDescent="0.35">
      <c r="A192" s="554" t="s">
        <v>4763</v>
      </c>
    </row>
    <row r="193" spans="1:1" x14ac:dyDescent="0.35">
      <c r="A193" s="554" t="s">
        <v>4764</v>
      </c>
    </row>
    <row r="194" spans="1:1" x14ac:dyDescent="0.35">
      <c r="A194" s="554" t="s">
        <v>4765</v>
      </c>
    </row>
    <row r="195" spans="1:1" x14ac:dyDescent="0.35">
      <c r="A195" s="554" t="s">
        <v>4766</v>
      </c>
    </row>
    <row r="196" spans="1:1" x14ac:dyDescent="0.35">
      <c r="A196" s="554" t="s">
        <v>4767</v>
      </c>
    </row>
    <row r="197" spans="1:1" x14ac:dyDescent="0.35">
      <c r="A197" s="554" t="s">
        <v>4768</v>
      </c>
    </row>
    <row r="198" spans="1:1" x14ac:dyDescent="0.35">
      <c r="A198" s="554" t="s">
        <v>4769</v>
      </c>
    </row>
    <row r="199" spans="1:1" x14ac:dyDescent="0.35">
      <c r="A199" s="554" t="s">
        <v>4770</v>
      </c>
    </row>
    <row r="200" spans="1:1" x14ac:dyDescent="0.35">
      <c r="A200" s="554" t="s">
        <v>4771</v>
      </c>
    </row>
    <row r="201" spans="1:1" x14ac:dyDescent="0.35">
      <c r="A201" s="554" t="s">
        <v>4772</v>
      </c>
    </row>
    <row r="202" spans="1:1" x14ac:dyDescent="0.35">
      <c r="A202" s="554" t="s">
        <v>4773</v>
      </c>
    </row>
    <row r="203" spans="1:1" x14ac:dyDescent="0.35">
      <c r="A203" s="554" t="s">
        <v>4774</v>
      </c>
    </row>
    <row r="204" spans="1:1" x14ac:dyDescent="0.35">
      <c r="A204" s="554" t="s">
        <v>4775</v>
      </c>
    </row>
    <row r="205" spans="1:1" x14ac:dyDescent="0.35">
      <c r="A205" s="554" t="s">
        <v>4776</v>
      </c>
    </row>
    <row r="206" spans="1:1" x14ac:dyDescent="0.35">
      <c r="A206" s="554" t="s">
        <v>4777</v>
      </c>
    </row>
    <row r="207" spans="1:1" x14ac:dyDescent="0.35">
      <c r="A207" s="554" t="s">
        <v>4778</v>
      </c>
    </row>
    <row r="208" spans="1:1" x14ac:dyDescent="0.35">
      <c r="A208" s="554" t="s">
        <v>4779</v>
      </c>
    </row>
    <row r="209" spans="1:1" x14ac:dyDescent="0.35">
      <c r="A209" s="554" t="s">
        <v>4780</v>
      </c>
    </row>
    <row r="210" spans="1:1" x14ac:dyDescent="0.35">
      <c r="A210" s="554" t="s">
        <v>4781</v>
      </c>
    </row>
    <row r="211" spans="1:1" x14ac:dyDescent="0.35">
      <c r="A211" s="554" t="s">
        <v>4782</v>
      </c>
    </row>
    <row r="212" spans="1:1" x14ac:dyDescent="0.35">
      <c r="A212" s="554" t="s">
        <v>4783</v>
      </c>
    </row>
    <row r="213" spans="1:1" x14ac:dyDescent="0.35">
      <c r="A213" s="554" t="s">
        <v>4784</v>
      </c>
    </row>
    <row r="214" spans="1:1" x14ac:dyDescent="0.35">
      <c r="A214" s="554" t="s">
        <v>4785</v>
      </c>
    </row>
    <row r="215" spans="1:1" x14ac:dyDescent="0.35">
      <c r="A215" s="554" t="s">
        <v>4786</v>
      </c>
    </row>
    <row r="216" spans="1:1" x14ac:dyDescent="0.35">
      <c r="A216" s="554" t="s">
        <v>4787</v>
      </c>
    </row>
    <row r="217" spans="1:1" x14ac:dyDescent="0.35">
      <c r="A217" s="554" t="s">
        <v>4788</v>
      </c>
    </row>
    <row r="218" spans="1:1" x14ac:dyDescent="0.35">
      <c r="A218" s="554" t="s">
        <v>4789</v>
      </c>
    </row>
    <row r="219" spans="1:1" x14ac:dyDescent="0.35">
      <c r="A219" s="554" t="s">
        <v>4790</v>
      </c>
    </row>
    <row r="220" spans="1:1" x14ac:dyDescent="0.35">
      <c r="A220" s="554" t="s">
        <v>4791</v>
      </c>
    </row>
    <row r="221" spans="1:1" x14ac:dyDescent="0.35">
      <c r="A221" s="554" t="s">
        <v>4792</v>
      </c>
    </row>
  </sheetData>
  <mergeCells count="4">
    <mergeCell ref="A160:G160"/>
    <mergeCell ref="A104:G104"/>
    <mergeCell ref="A47:G47"/>
    <mergeCell ref="B49:G49"/>
  </mergeCells>
  <phoneticPr fontId="41" type="noConversion"/>
  <pageMargins left="0.7" right="0.7" top="0.75" bottom="0.75" header="0.3" footer="0.3"/>
  <pageSetup paperSize="9" scale="36" orientation="portrait" r:id="rId1"/>
  <rowBreaks count="2" manualBreakCount="2">
    <brk id="47" max="6" man="1"/>
    <brk id="10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tabSelected="1" view="pageBreakPreview" topLeftCell="S1" zoomScale="60" zoomScaleNormal="100" workbookViewId="0">
      <selection activeCell="R1" sqref="R1:R1048576"/>
    </sheetView>
  </sheetViews>
  <sheetFormatPr defaultRowHeight="15" x14ac:dyDescent="0.25"/>
  <cols>
    <col min="1" max="1" width="6.5703125" hidden="1" customWidth="1"/>
    <col min="2" max="2" width="100.140625" style="646" hidden="1" customWidth="1"/>
    <col min="3" max="3" width="29.28515625" hidden="1" customWidth="1"/>
    <col min="4" max="4" width="11.140625" hidden="1" customWidth="1"/>
    <col min="5" max="5" width="25.140625" hidden="1" customWidth="1"/>
    <col min="6" max="6" width="25.85546875" hidden="1" customWidth="1"/>
    <col min="7" max="7" width="28.5703125" hidden="1" customWidth="1"/>
    <col min="8" max="8" width="31.140625" hidden="1" customWidth="1"/>
    <col min="9" max="9" width="13.7109375" hidden="1" customWidth="1"/>
    <col min="10" max="10" width="30.7109375" hidden="1" customWidth="1"/>
    <col min="11" max="12" width="30.140625" hidden="1" customWidth="1"/>
    <col min="13" max="13" width="40.42578125" hidden="1" customWidth="1"/>
    <col min="14" max="14" width="37.28515625" style="645" hidden="1" customWidth="1"/>
    <col min="15" max="16" width="9.140625" hidden="1" customWidth="1"/>
    <col min="17" max="17" width="27.140625" hidden="1" customWidth="1"/>
    <col min="18" max="18" width="9.140625" hidden="1" customWidth="1"/>
  </cols>
  <sheetData>
    <row r="1" spans="1:17" ht="56.25" customHeight="1" x14ac:dyDescent="0.35">
      <c r="B1" s="644" t="s">
        <v>4906</v>
      </c>
      <c r="C1" s="644"/>
      <c r="D1" s="644"/>
      <c r="E1" s="644"/>
      <c r="F1" s="644"/>
      <c r="G1" s="644"/>
      <c r="H1" s="644"/>
      <c r="I1" s="644"/>
      <c r="J1" s="644"/>
      <c r="K1" s="644"/>
      <c r="L1" s="172">
        <v>33493967876.320004</v>
      </c>
    </row>
    <row r="2" spans="1:17" ht="52.5" customHeight="1" x14ac:dyDescent="0.35">
      <c r="C2" s="670" t="s">
        <v>4907</v>
      </c>
      <c r="D2" s="670"/>
      <c r="E2" s="670"/>
      <c r="F2" s="670"/>
      <c r="G2" s="647">
        <v>117630359929.33458</v>
      </c>
      <c r="H2" s="648">
        <v>118804959204.963</v>
      </c>
      <c r="I2" s="648">
        <v>123035040938.5047</v>
      </c>
      <c r="J2" s="648"/>
      <c r="K2" s="648"/>
      <c r="L2" s="648"/>
      <c r="M2" s="649"/>
      <c r="N2" s="650">
        <v>115621281014.25101</v>
      </c>
    </row>
    <row r="3" spans="1:17" ht="86.25" customHeight="1" x14ac:dyDescent="0.25">
      <c r="A3" s="651" t="s">
        <v>1053</v>
      </c>
      <c r="B3" s="651" t="s">
        <v>1031</v>
      </c>
      <c r="C3" s="200" t="s">
        <v>4862</v>
      </c>
      <c r="D3" s="200" t="s">
        <v>1085</v>
      </c>
      <c r="E3" s="200" t="s">
        <v>4908</v>
      </c>
      <c r="F3" s="200" t="s">
        <v>4909</v>
      </c>
      <c r="G3" s="200" t="s">
        <v>4910</v>
      </c>
      <c r="H3" s="200" t="s">
        <v>4911</v>
      </c>
      <c r="I3" s="200" t="s">
        <v>4912</v>
      </c>
      <c r="J3" s="200" t="s">
        <v>4940</v>
      </c>
      <c r="K3" s="200" t="s">
        <v>4942</v>
      </c>
      <c r="L3" s="200" t="s">
        <v>1891</v>
      </c>
      <c r="M3" s="652"/>
      <c r="N3" s="645">
        <v>24200060007.029999</v>
      </c>
    </row>
    <row r="4" spans="1:17" ht="22.5" x14ac:dyDescent="0.25">
      <c r="A4" s="651"/>
      <c r="B4" s="651" t="s">
        <v>2492</v>
      </c>
      <c r="C4" s="200" t="s">
        <v>4913</v>
      </c>
      <c r="D4" s="200"/>
      <c r="E4" s="200"/>
      <c r="F4" s="200" t="s">
        <v>4914</v>
      </c>
      <c r="G4" s="200" t="s">
        <v>4915</v>
      </c>
      <c r="H4" s="200" t="s">
        <v>4915</v>
      </c>
      <c r="I4" s="200" t="s">
        <v>4916</v>
      </c>
      <c r="J4" s="200"/>
      <c r="K4" s="200"/>
      <c r="L4" s="652"/>
      <c r="M4" s="652"/>
    </row>
    <row r="5" spans="1:17" ht="41.25" customHeight="1" x14ac:dyDescent="0.35">
      <c r="A5" s="101" t="s">
        <v>1057</v>
      </c>
      <c r="B5" s="653" t="s">
        <v>2455</v>
      </c>
      <c r="C5" s="172">
        <v>73663414998.101013</v>
      </c>
      <c r="D5" s="654">
        <v>32.985453628674129</v>
      </c>
      <c r="E5" s="655">
        <v>30961233460.84911</v>
      </c>
      <c r="F5" s="172">
        <v>27037967876.320004</v>
      </c>
      <c r="G5" s="172">
        <v>27037967876.320004</v>
      </c>
      <c r="H5" s="172">
        <v>27037967876.320004</v>
      </c>
      <c r="I5" s="172">
        <v>27037967876.320004</v>
      </c>
      <c r="J5" s="172">
        <f>CAPEX!K1282</f>
        <v>34121032913.529999</v>
      </c>
      <c r="K5" s="172"/>
      <c r="L5" s="656">
        <f>6456000000+200000000+100000000</f>
        <v>6756000000</v>
      </c>
      <c r="M5" s="668">
        <f>L5+I5</f>
        <v>33793967876.320004</v>
      </c>
    </row>
    <row r="6" spans="1:17" ht="47.25" customHeight="1" x14ac:dyDescent="0.35">
      <c r="A6" s="101" t="s">
        <v>1058</v>
      </c>
      <c r="B6" s="653" t="s">
        <v>2602</v>
      </c>
      <c r="C6" s="172">
        <v>34000000000</v>
      </c>
      <c r="D6" s="654">
        <v>15.224727544926228</v>
      </c>
      <c r="E6" s="655">
        <v>14290430842.718967</v>
      </c>
      <c r="F6" s="655"/>
      <c r="G6" s="655">
        <v>22400060007.029999</v>
      </c>
      <c r="H6" s="655">
        <v>22400060007.029999</v>
      </c>
      <c r="I6" s="655">
        <v>21400060007.029999</v>
      </c>
      <c r="J6" s="655">
        <f>CAPEX!K1527</f>
        <v>21400060007.029999</v>
      </c>
      <c r="K6" s="655"/>
      <c r="L6" s="656">
        <v>500000000</v>
      </c>
      <c r="M6" s="140">
        <f>I5+6456000000+100000000</f>
        <v>33593967876.320004</v>
      </c>
      <c r="N6" s="645">
        <v>2700027416.8299999</v>
      </c>
    </row>
    <row r="7" spans="1:17" ht="41.25" customHeight="1" x14ac:dyDescent="0.35">
      <c r="A7" s="101" t="s">
        <v>1059</v>
      </c>
      <c r="B7" s="653" t="s">
        <v>1175</v>
      </c>
      <c r="C7" s="172">
        <v>17462001960.602753</v>
      </c>
      <c r="D7" s="654">
        <v>7.8192418305630742</v>
      </c>
      <c r="E7" s="655">
        <v>7339397982.1593132</v>
      </c>
      <c r="F7" s="655">
        <v>7642017393.21</v>
      </c>
      <c r="G7" s="655">
        <v>7642017393.21</v>
      </c>
      <c r="H7" s="655">
        <v>7642017393.21</v>
      </c>
      <c r="I7" s="655">
        <v>7642017393.21</v>
      </c>
      <c r="J7" s="655">
        <f>CAPEX!K2182</f>
        <v>7442017393</v>
      </c>
      <c r="K7" s="655">
        <v>200000000</v>
      </c>
      <c r="L7" s="574"/>
      <c r="M7" s="656">
        <f>M5-M6</f>
        <v>200000000</v>
      </c>
      <c r="N7" s="645">
        <v>2700032590.1999998</v>
      </c>
    </row>
    <row r="8" spans="1:17" ht="41.25" customHeight="1" x14ac:dyDescent="0.35">
      <c r="A8" s="101" t="s">
        <v>1060</v>
      </c>
      <c r="B8" s="653" t="s">
        <v>1885</v>
      </c>
      <c r="C8" s="172">
        <v>10435065330.200001</v>
      </c>
      <c r="D8" s="654">
        <v>4.6726772519353128</v>
      </c>
      <c r="E8" s="655">
        <v>4385928807.0728664</v>
      </c>
      <c r="F8" s="655"/>
      <c r="G8" s="655">
        <v>4385928807.0728664</v>
      </c>
      <c r="H8" s="655">
        <v>4385928807.0728664</v>
      </c>
      <c r="I8" s="655">
        <v>4515928807.0728703</v>
      </c>
      <c r="J8" s="655">
        <f>CAPEX!K2349</f>
        <v>8113710142</v>
      </c>
      <c r="K8" s="655"/>
      <c r="L8" s="574">
        <v>627800000</v>
      </c>
      <c r="M8" s="656">
        <f>I8+627800000</f>
        <v>5143728807.0728703</v>
      </c>
      <c r="N8" s="645">
        <v>1700000000</v>
      </c>
      <c r="Q8" s="672">
        <v>97613294437.379395</v>
      </c>
    </row>
    <row r="9" spans="1:17" ht="41.25" customHeight="1" x14ac:dyDescent="0.35">
      <c r="A9" s="101" t="s">
        <v>1004</v>
      </c>
      <c r="B9" s="653" t="s">
        <v>1458</v>
      </c>
      <c r="C9" s="172">
        <v>10009308088.890001</v>
      </c>
      <c r="D9" s="654">
        <v>4.482029075487544</v>
      </c>
      <c r="E9" s="655">
        <v>4206980147.8750033</v>
      </c>
      <c r="F9" s="655">
        <v>9009029236</v>
      </c>
      <c r="G9" s="655">
        <v>5500000000</v>
      </c>
      <c r="H9" s="655">
        <v>5500000000</v>
      </c>
      <c r="I9" s="655">
        <v>5800000000</v>
      </c>
      <c r="J9" s="655">
        <f>CAPEX!K1355</f>
        <v>6600000000</v>
      </c>
      <c r="K9" s="655"/>
      <c r="L9" s="574">
        <v>800000000</v>
      </c>
      <c r="M9" s="656">
        <f>J8-2000000000</f>
        <v>6113710142</v>
      </c>
      <c r="N9" s="645">
        <v>7100060007.0299997</v>
      </c>
      <c r="Q9" s="673"/>
    </row>
    <row r="10" spans="1:17" ht="41.25" customHeight="1" x14ac:dyDescent="0.35">
      <c r="A10" s="101" t="s">
        <v>1061</v>
      </c>
      <c r="B10" s="653" t="s">
        <v>1177</v>
      </c>
      <c r="C10" s="172">
        <v>7017318618.7600002</v>
      </c>
      <c r="D10" s="654">
        <v>3.142257766663501</v>
      </c>
      <c r="E10" s="655">
        <v>2949426659.4915867</v>
      </c>
      <c r="F10" s="655"/>
      <c r="G10" s="655">
        <v>2949426659.4915867</v>
      </c>
      <c r="H10" s="655">
        <v>2949426659.4915867</v>
      </c>
      <c r="I10" s="655">
        <v>2949426659.49159</v>
      </c>
      <c r="J10" s="655">
        <f>CAPEX!K2284</f>
        <v>2491496784.8600001</v>
      </c>
      <c r="K10" s="655"/>
      <c r="L10" s="574">
        <v>161025000</v>
      </c>
      <c r="M10" s="656">
        <f>L10+I10</f>
        <v>3110451659.49159</v>
      </c>
      <c r="N10" s="645">
        <v>15300000000</v>
      </c>
      <c r="Q10" s="673"/>
    </row>
    <row r="11" spans="1:17" ht="41.25" customHeight="1" x14ac:dyDescent="0.35">
      <c r="A11" s="101" t="s">
        <v>1062</v>
      </c>
      <c r="B11" s="653" t="s">
        <v>1009</v>
      </c>
      <c r="C11" s="172">
        <v>6110000000</v>
      </c>
      <c r="D11" s="654">
        <v>2.7359730970440954</v>
      </c>
      <c r="E11" s="655">
        <v>2568074483.7944965</v>
      </c>
      <c r="F11" s="655">
        <v>3334066856.6100001</v>
      </c>
      <c r="G11" s="655">
        <v>2568074483.7944965</v>
      </c>
      <c r="H11" s="655">
        <v>2568074483.7944965</v>
      </c>
      <c r="I11" s="655">
        <v>2568074483.7944965</v>
      </c>
      <c r="J11" s="655">
        <f>CAPEX!K1619</f>
        <v>3150000000</v>
      </c>
      <c r="K11" s="655"/>
      <c r="L11" s="574">
        <v>1000000000</v>
      </c>
      <c r="M11" s="656">
        <f>I11+L11</f>
        <v>3568074483.7944965</v>
      </c>
      <c r="Q11" s="673"/>
    </row>
    <row r="12" spans="1:17" ht="41.25" customHeight="1" x14ac:dyDescent="0.35">
      <c r="A12" s="101" t="s">
        <v>1063</v>
      </c>
      <c r="B12" s="653" t="s">
        <v>3403</v>
      </c>
      <c r="C12" s="172">
        <v>5840000000</v>
      </c>
      <c r="D12" s="654">
        <v>2.6150708488932106</v>
      </c>
      <c r="E12" s="655">
        <v>2454591650.6317282</v>
      </c>
      <c r="F12" s="655">
        <v>3000000000</v>
      </c>
      <c r="G12" s="655">
        <v>3000000000</v>
      </c>
      <c r="H12" s="655">
        <v>3000000000</v>
      </c>
      <c r="I12" s="655">
        <v>4000000000</v>
      </c>
      <c r="J12" s="655">
        <f>CAPEX!K2236</f>
        <v>3320553997.1399999</v>
      </c>
      <c r="K12" s="655"/>
      <c r="L12" s="574"/>
      <c r="M12" s="656">
        <f>M11+250000000</f>
        <v>3818074483.7944965</v>
      </c>
      <c r="Q12" s="673"/>
    </row>
    <row r="13" spans="1:17" ht="41.25" customHeight="1" x14ac:dyDescent="0.35">
      <c r="A13" s="101" t="s">
        <v>1064</v>
      </c>
      <c r="B13" s="653" t="s">
        <v>1247</v>
      </c>
      <c r="C13" s="172">
        <v>5429606000</v>
      </c>
      <c r="D13" s="654">
        <v>2.4313021184204917</v>
      </c>
      <c r="E13" s="655">
        <v>2282100266.0650578</v>
      </c>
      <c r="F13" s="655">
        <v>2039424200</v>
      </c>
      <c r="G13" s="655">
        <v>2039424200</v>
      </c>
      <c r="H13" s="655">
        <v>2039424200</v>
      </c>
      <c r="I13" s="655">
        <v>2039424200</v>
      </c>
      <c r="J13" s="655">
        <f>'Summary (3)'!C85</f>
        <v>5334424200</v>
      </c>
      <c r="K13" s="655"/>
      <c r="L13" s="574"/>
      <c r="M13" s="656"/>
      <c r="N13" s="645">
        <v>276697000</v>
      </c>
      <c r="Q13" s="674"/>
    </row>
    <row r="14" spans="1:17" ht="41.25" customHeight="1" x14ac:dyDescent="0.35">
      <c r="A14" s="101" t="s">
        <v>1065</v>
      </c>
      <c r="B14" s="653" t="s">
        <v>4717</v>
      </c>
      <c r="C14" s="657">
        <v>4683574631.29</v>
      </c>
      <c r="D14" s="654">
        <v>2.097239638168193</v>
      </c>
      <c r="E14" s="655">
        <v>1968538216.6224332</v>
      </c>
      <c r="F14" s="655"/>
      <c r="G14" s="655">
        <v>1968538216.6224332</v>
      </c>
      <c r="H14" s="655">
        <v>1968538216.6224332</v>
      </c>
      <c r="I14" s="655">
        <v>1968538216.6224332</v>
      </c>
      <c r="J14" s="655">
        <f>'Summary (3)'!C53</f>
        <v>4523538217.29</v>
      </c>
      <c r="K14" s="655">
        <v>150000000</v>
      </c>
      <c r="L14" s="574"/>
      <c r="M14" s="656"/>
      <c r="N14" s="645">
        <v>181303000</v>
      </c>
    </row>
    <row r="15" spans="1:17" ht="41.25" customHeight="1" x14ac:dyDescent="0.35">
      <c r="A15" s="101" t="s">
        <v>1066</v>
      </c>
      <c r="B15" s="653" t="s">
        <v>1160</v>
      </c>
      <c r="C15" s="172">
        <v>3600513864.8499999</v>
      </c>
      <c r="D15" s="654">
        <v>1.6122600768844288</v>
      </c>
      <c r="E15" s="655">
        <v>1513320423.0555797</v>
      </c>
      <c r="F15" s="655">
        <v>1944431773</v>
      </c>
      <c r="G15" s="655">
        <v>1944431773</v>
      </c>
      <c r="H15" s="655">
        <v>1944431773</v>
      </c>
      <c r="I15" s="655">
        <v>1944431773</v>
      </c>
      <c r="J15" s="655">
        <f>CAPEX!K1431</f>
        <v>1613431772.3399999</v>
      </c>
      <c r="K15" s="655"/>
      <c r="L15" s="574"/>
      <c r="M15" s="656"/>
      <c r="N15" s="645">
        <v>110424200</v>
      </c>
    </row>
    <row r="16" spans="1:17" ht="41.25" customHeight="1" x14ac:dyDescent="0.35">
      <c r="A16" s="101" t="s">
        <v>1067</v>
      </c>
      <c r="B16" s="653" t="s">
        <v>1387</v>
      </c>
      <c r="C16" s="172">
        <v>3604320016.0699997</v>
      </c>
      <c r="D16" s="654">
        <v>1.6139644185114665</v>
      </c>
      <c r="E16" s="655">
        <v>1514920174.2551777</v>
      </c>
      <c r="F16" s="655"/>
      <c r="G16" s="655">
        <v>1514920174.2551777</v>
      </c>
      <c r="H16" s="655">
        <v>1514920174.2551777</v>
      </c>
      <c r="I16" s="655">
        <v>2500000000</v>
      </c>
      <c r="J16" s="655">
        <f>CAPEX!K1606</f>
        <v>2905000000</v>
      </c>
      <c r="K16" s="655"/>
      <c r="L16" s="574">
        <v>1000000000</v>
      </c>
      <c r="M16" s="656"/>
      <c r="N16" s="645">
        <v>70000000</v>
      </c>
    </row>
    <row r="17" spans="1:14" ht="41.25" customHeight="1" x14ac:dyDescent="0.35">
      <c r="A17" s="101" t="s">
        <v>1068</v>
      </c>
      <c r="B17" s="653" t="s">
        <v>1377</v>
      </c>
      <c r="C17" s="172">
        <v>3585091927</v>
      </c>
      <c r="D17" s="654">
        <v>1.6053543474143985</v>
      </c>
      <c r="E17" s="655">
        <v>1506838477.8701053</v>
      </c>
      <c r="F17" s="655"/>
      <c r="G17" s="655">
        <v>1506838477.8701053</v>
      </c>
      <c r="H17" s="655">
        <v>1506838477.8701053</v>
      </c>
      <c r="I17" s="655">
        <v>2000000000</v>
      </c>
      <c r="J17" s="655">
        <f>'Summary (3)'!C87</f>
        <v>1859000000.47</v>
      </c>
      <c r="K17" s="655"/>
      <c r="L17" s="574"/>
      <c r="M17" s="656"/>
      <c r="N17" s="645">
        <v>80000000</v>
      </c>
    </row>
    <row r="18" spans="1:14" ht="41.25" customHeight="1" x14ac:dyDescent="0.35">
      <c r="A18" s="101" t="s">
        <v>1069</v>
      </c>
      <c r="B18" s="653" t="s">
        <v>1380</v>
      </c>
      <c r="C18" s="172">
        <v>3330296662</v>
      </c>
      <c r="D18" s="654">
        <v>1.491260568315508</v>
      </c>
      <c r="E18" s="655">
        <v>1399746298.0602596</v>
      </c>
      <c r="F18" s="655"/>
      <c r="G18" s="655">
        <v>1399746298.0602596</v>
      </c>
      <c r="H18" s="655">
        <v>1399746298.0602596</v>
      </c>
      <c r="I18" s="655">
        <f>1399746298.06026</f>
        <v>1399746298.0602601</v>
      </c>
      <c r="J18" s="655">
        <f>CAPEX!K892+CAPEX!K922</f>
        <v>4005124679</v>
      </c>
      <c r="K18" s="655"/>
      <c r="L18" s="574"/>
      <c r="M18" s="656"/>
      <c r="N18" s="645">
        <v>150000000</v>
      </c>
    </row>
    <row r="19" spans="1:14" ht="41.25" customHeight="1" x14ac:dyDescent="0.35">
      <c r="A19" s="101" t="s">
        <v>1070</v>
      </c>
      <c r="B19" s="653" t="s">
        <v>2894</v>
      </c>
      <c r="C19" s="172">
        <v>2340606626</v>
      </c>
      <c r="D19" s="654">
        <v>1.0480911226676188</v>
      </c>
      <c r="E19" s="655">
        <v>983772856.43714046</v>
      </c>
      <c r="F19" s="655">
        <v>900000000</v>
      </c>
      <c r="G19" s="655">
        <v>900000000</v>
      </c>
      <c r="H19" s="655">
        <v>900000000</v>
      </c>
      <c r="I19" s="655">
        <v>900000000</v>
      </c>
      <c r="J19" s="655">
        <f>'Summary (3)'!C89</f>
        <v>597000000</v>
      </c>
      <c r="K19" s="655"/>
      <c r="L19" s="574"/>
      <c r="M19" s="656"/>
      <c r="N19" s="645">
        <v>80000000</v>
      </c>
    </row>
    <row r="20" spans="1:14" ht="41.25" customHeight="1" x14ac:dyDescent="0.35">
      <c r="A20" s="101" t="s">
        <v>1071</v>
      </c>
      <c r="B20" s="653" t="s">
        <v>1183</v>
      </c>
      <c r="C20" s="172">
        <v>2095000000</v>
      </c>
      <c r="D20" s="654">
        <v>0.93811188843001303</v>
      </c>
      <c r="E20" s="655">
        <v>880542723.98518324</v>
      </c>
      <c r="F20" s="655">
        <v>1900000000</v>
      </c>
      <c r="G20" s="655">
        <v>880542723.98518324</v>
      </c>
      <c r="H20" s="655">
        <v>880542723.98518324</v>
      </c>
      <c r="I20" s="655">
        <v>1200000000</v>
      </c>
      <c r="J20" s="655">
        <f>CAPEX!K1767</f>
        <v>996000000</v>
      </c>
      <c r="K20" s="655"/>
      <c r="L20" s="574"/>
      <c r="M20" s="656"/>
      <c r="N20" s="658">
        <v>948424200</v>
      </c>
    </row>
    <row r="21" spans="1:14" ht="41.25" customHeight="1" x14ac:dyDescent="0.35">
      <c r="A21" s="101" t="s">
        <v>1072</v>
      </c>
      <c r="B21" s="653" t="s">
        <v>4793</v>
      </c>
      <c r="C21" s="172">
        <v>2011246476</v>
      </c>
      <c r="D21" s="654">
        <v>0.90060822419979425</v>
      </c>
      <c r="E21" s="655">
        <v>845340549.20412445</v>
      </c>
      <c r="F21" s="655">
        <v>1000000000</v>
      </c>
      <c r="G21" s="655">
        <v>845340549.20412445</v>
      </c>
      <c r="H21" s="655">
        <v>845340549.20412445</v>
      </c>
      <c r="I21" s="655">
        <v>1500000000</v>
      </c>
      <c r="J21" s="655">
        <f>'Summary (3)'!C84</f>
        <v>3300000000</v>
      </c>
      <c r="K21" s="655"/>
      <c r="L21" s="574"/>
      <c r="M21" s="656"/>
      <c r="N21" s="645">
        <v>601000000</v>
      </c>
    </row>
    <row r="22" spans="1:14" ht="41.25" customHeight="1" x14ac:dyDescent="0.35">
      <c r="A22" s="101" t="s">
        <v>1115</v>
      </c>
      <c r="B22" s="653" t="s">
        <v>1241</v>
      </c>
      <c r="C22" s="172">
        <v>1580909939.49824</v>
      </c>
      <c r="D22" s="654">
        <v>0.7079095029978385</v>
      </c>
      <c r="E22" s="655">
        <v>664467181.14607716</v>
      </c>
      <c r="F22" s="655"/>
      <c r="G22" s="655">
        <v>1000000000</v>
      </c>
      <c r="H22" s="655">
        <v>1000000000</v>
      </c>
      <c r="I22" s="655">
        <v>1380000000</v>
      </c>
      <c r="J22" s="655">
        <f>CAPEX!K47</f>
        <v>1380000000</v>
      </c>
      <c r="K22" s="655"/>
      <c r="L22" s="574"/>
      <c r="M22" s="656"/>
      <c r="N22" s="645">
        <v>350000000</v>
      </c>
    </row>
    <row r="23" spans="1:14" ht="41.25" customHeight="1" x14ac:dyDescent="0.35">
      <c r="A23" s="101" t="s">
        <v>1118</v>
      </c>
      <c r="B23" s="653" t="s">
        <v>4716</v>
      </c>
      <c r="C23" s="172">
        <v>1572009127</v>
      </c>
      <c r="D23" s="654">
        <v>0.7039238428444804</v>
      </c>
      <c r="E23" s="655">
        <v>660726109.2210741</v>
      </c>
      <c r="F23" s="655">
        <v>751653149</v>
      </c>
      <c r="G23" s="655">
        <v>751653149</v>
      </c>
      <c r="H23" s="655">
        <v>751653149</v>
      </c>
      <c r="I23" s="655">
        <v>751653149</v>
      </c>
      <c r="J23" s="655">
        <f>'Summary (3)'!C57</f>
        <v>623872114</v>
      </c>
      <c r="K23" s="655"/>
      <c r="L23" s="574"/>
      <c r="M23" s="656"/>
      <c r="N23" s="645">
        <v>50000000</v>
      </c>
    </row>
    <row r="24" spans="1:14" ht="41.25" customHeight="1" x14ac:dyDescent="0.35">
      <c r="A24" s="101" t="s">
        <v>1121</v>
      </c>
      <c r="B24" s="653" t="s">
        <v>4604</v>
      </c>
      <c r="C24" s="172">
        <v>1517500000</v>
      </c>
      <c r="D24" s="654">
        <v>0.67951541321839859</v>
      </c>
      <c r="E24" s="655">
        <v>637815553.05370688</v>
      </c>
      <c r="F24" s="655"/>
      <c r="G24" s="655">
        <v>637815553.05370688</v>
      </c>
      <c r="H24" s="655">
        <v>637815553.05370688</v>
      </c>
      <c r="I24" s="655">
        <v>900000000</v>
      </c>
      <c r="J24" s="655">
        <f>'Summary (3)'!C58</f>
        <v>1400000000</v>
      </c>
      <c r="K24" s="655"/>
      <c r="L24" s="574"/>
      <c r="M24" s="656"/>
      <c r="N24" s="645">
        <v>50000000</v>
      </c>
    </row>
    <row r="25" spans="1:14" ht="41.25" customHeight="1" x14ac:dyDescent="0.35">
      <c r="A25" s="101" t="s">
        <v>1123</v>
      </c>
      <c r="B25" s="653" t="s">
        <v>2534</v>
      </c>
      <c r="C25" s="172">
        <v>1498500000</v>
      </c>
      <c r="D25" s="654">
        <v>0.67100747723741028</v>
      </c>
      <c r="E25" s="655">
        <v>629829724.0533638</v>
      </c>
      <c r="F25" s="655">
        <v>919500000</v>
      </c>
      <c r="G25" s="655">
        <v>919500000</v>
      </c>
      <c r="H25" s="655">
        <v>919500000</v>
      </c>
      <c r="I25" s="655">
        <v>919500000</v>
      </c>
      <c r="J25" s="655">
        <f>CAPEX!K818</f>
        <v>796500000</v>
      </c>
      <c r="K25" s="655"/>
      <c r="L25" s="574"/>
      <c r="M25" s="656"/>
      <c r="N25" s="645">
        <v>20000000</v>
      </c>
    </row>
    <row r="26" spans="1:14" ht="41.25" customHeight="1" x14ac:dyDescent="0.35">
      <c r="A26" s="101" t="s">
        <v>1125</v>
      </c>
      <c r="B26" s="653" t="s">
        <v>1376</v>
      </c>
      <c r="C26" s="172">
        <v>1438727240</v>
      </c>
      <c r="D26" s="654">
        <v>0.64424206589599087</v>
      </c>
      <c r="E26" s="655">
        <v>604706827.198704</v>
      </c>
      <c r="F26" s="655"/>
      <c r="G26" s="655">
        <v>604706827.198704</v>
      </c>
      <c r="H26" s="655">
        <v>604706827.198704</v>
      </c>
      <c r="I26" s="655">
        <v>604706827.198704</v>
      </c>
      <c r="J26" s="655">
        <f>CAPEX!K1391</f>
        <v>584706827</v>
      </c>
      <c r="K26" s="655"/>
      <c r="L26" s="574">
        <f>J26-I26</f>
        <v>-20000000.198704004</v>
      </c>
      <c r="M26" s="656"/>
      <c r="N26" s="645">
        <v>20000000</v>
      </c>
    </row>
    <row r="27" spans="1:14" ht="41.25" customHeight="1" x14ac:dyDescent="0.35">
      <c r="A27" s="101" t="s">
        <v>1128</v>
      </c>
      <c r="B27" s="653" t="s">
        <v>1166</v>
      </c>
      <c r="C27" s="172">
        <v>1356394307</v>
      </c>
      <c r="D27" s="654">
        <v>0.60737452257541236</v>
      </c>
      <c r="E27" s="655">
        <v>570101736.4600358</v>
      </c>
      <c r="F27" s="655"/>
      <c r="G27" s="655">
        <v>570101736.4600358</v>
      </c>
      <c r="H27" s="655">
        <v>570101736.4600358</v>
      </c>
      <c r="I27" s="655">
        <v>750000000</v>
      </c>
      <c r="J27" s="655">
        <f>'Summary (3)'!C107</f>
        <v>634000000</v>
      </c>
      <c r="K27" s="655"/>
      <c r="L27" s="574"/>
      <c r="M27" s="656"/>
      <c r="N27" s="658">
        <v>1091000000</v>
      </c>
    </row>
    <row r="28" spans="1:14" ht="41.25" customHeight="1" x14ac:dyDescent="0.35">
      <c r="A28" s="101" t="s">
        <v>1130</v>
      </c>
      <c r="B28" s="653" t="s">
        <v>2603</v>
      </c>
      <c r="C28" s="172">
        <v>1351576295</v>
      </c>
      <c r="D28" s="654">
        <v>0.60521708375164229</v>
      </c>
      <c r="E28" s="655">
        <v>568076693.30458319</v>
      </c>
      <c r="F28" s="655"/>
      <c r="G28" s="655">
        <v>750000000</v>
      </c>
      <c r="H28" s="655">
        <v>1100000000</v>
      </c>
      <c r="I28" s="655">
        <v>1100000000</v>
      </c>
      <c r="J28" s="655">
        <f>'Summary (3)'!C83</f>
        <v>911200000</v>
      </c>
      <c r="K28" s="655"/>
      <c r="L28" s="574"/>
      <c r="M28" s="656"/>
    </row>
    <row r="29" spans="1:14" ht="41.25" customHeight="1" x14ac:dyDescent="0.35">
      <c r="A29" s="101" t="s">
        <v>1132</v>
      </c>
      <c r="B29" s="653" t="s">
        <v>4600</v>
      </c>
      <c r="C29" s="172">
        <v>1201400560</v>
      </c>
      <c r="D29" s="654">
        <v>0.53797047642122919</v>
      </c>
      <c r="E29" s="655">
        <v>504956812.26717168</v>
      </c>
      <c r="F29" s="655"/>
      <c r="G29" s="655">
        <v>504956812.26717168</v>
      </c>
      <c r="H29" s="655">
        <v>504956812.26717168</v>
      </c>
      <c r="I29" s="655">
        <v>504956812.26717168</v>
      </c>
      <c r="J29" s="655">
        <f>CAPEX!K418</f>
        <v>419056812</v>
      </c>
      <c r="K29" s="655"/>
      <c r="L29" s="574"/>
      <c r="M29" s="656"/>
      <c r="N29" s="645">
        <v>2039424200</v>
      </c>
    </row>
    <row r="30" spans="1:14" ht="41.25" customHeight="1" x14ac:dyDescent="0.35">
      <c r="A30" s="101" t="s">
        <v>1133</v>
      </c>
      <c r="B30" s="653" t="s">
        <v>1321</v>
      </c>
      <c r="C30" s="172">
        <v>1146400560</v>
      </c>
      <c r="D30" s="654">
        <v>0.51334224068678969</v>
      </c>
      <c r="E30" s="655">
        <v>481839938.84512627</v>
      </c>
      <c r="F30" s="655">
        <v>628700560</v>
      </c>
      <c r="G30" s="655">
        <v>628700560</v>
      </c>
      <c r="H30" s="655">
        <v>628700560</v>
      </c>
      <c r="I30" s="655">
        <v>628700560</v>
      </c>
      <c r="J30" s="655">
        <f>CAPEX!K1706</f>
        <v>505700560</v>
      </c>
      <c r="K30" s="655"/>
      <c r="L30" s="574"/>
      <c r="M30" s="656"/>
    </row>
    <row r="31" spans="1:14" ht="41.25" customHeight="1" x14ac:dyDescent="0.35">
      <c r="A31" s="101" t="s">
        <v>1135</v>
      </c>
      <c r="B31" s="653" t="s">
        <v>1336</v>
      </c>
      <c r="C31" s="172">
        <v>20000000</v>
      </c>
      <c r="D31" s="654">
        <v>8.9557220852507224E-3</v>
      </c>
      <c r="E31" s="655">
        <v>8406135.7898346875</v>
      </c>
      <c r="F31" s="655"/>
      <c r="G31" s="655">
        <v>8406135.7898346875</v>
      </c>
      <c r="H31" s="655">
        <v>16406135.789834689</v>
      </c>
      <c r="I31" s="655">
        <v>16406135.789834689</v>
      </c>
      <c r="J31" s="655">
        <f>CAPEX!K42</f>
        <v>13617093</v>
      </c>
      <c r="K31" s="655"/>
      <c r="L31" s="574"/>
      <c r="M31" s="656"/>
    </row>
    <row r="32" spans="1:14" ht="41.25" customHeight="1" x14ac:dyDescent="0.35">
      <c r="A32" s="101" t="s">
        <v>1138</v>
      </c>
      <c r="B32" s="653" t="s">
        <v>4718</v>
      </c>
      <c r="C32" s="172">
        <v>281414868</v>
      </c>
      <c r="D32" s="654">
        <v>0.12601366742327585</v>
      </c>
      <c r="E32" s="655">
        <v>118280579.68432021</v>
      </c>
      <c r="F32" s="655"/>
      <c r="G32" s="655">
        <v>150000000</v>
      </c>
      <c r="H32" s="655">
        <v>150000000</v>
      </c>
      <c r="I32" s="655">
        <v>150000000</v>
      </c>
      <c r="J32" s="655">
        <f>'Summary (3)'!C56</f>
        <v>120350000</v>
      </c>
      <c r="K32" s="655"/>
      <c r="L32" s="574"/>
      <c r="M32" s="656"/>
    </row>
    <row r="33" spans="1:13" ht="41.25" customHeight="1" x14ac:dyDescent="0.35">
      <c r="A33" s="101" t="s">
        <v>1140</v>
      </c>
      <c r="B33" s="653" t="s">
        <v>1096</v>
      </c>
      <c r="C33" s="172">
        <v>883789000</v>
      </c>
      <c r="D33" s="654">
        <v>0.39574843330008258</v>
      </c>
      <c r="E33" s="655">
        <v>371462517.17811042</v>
      </c>
      <c r="F33" s="655"/>
      <c r="G33" s="655">
        <v>471462517.17811</v>
      </c>
      <c r="H33" s="655">
        <v>471462517.17811</v>
      </c>
      <c r="I33" s="655">
        <v>471462517.17811</v>
      </c>
      <c r="J33" s="655">
        <f>CAPEX!K159</f>
        <v>391313889</v>
      </c>
      <c r="K33" s="655"/>
      <c r="L33" s="574"/>
      <c r="M33" s="656"/>
    </row>
    <row r="34" spans="1:13" ht="41.25" customHeight="1" x14ac:dyDescent="0.35">
      <c r="A34" s="101" t="s">
        <v>1141</v>
      </c>
      <c r="B34" s="653" t="s">
        <v>1116</v>
      </c>
      <c r="C34" s="172">
        <v>52060662</v>
      </c>
      <c r="D34" s="654">
        <v>2.331204102230865E-2</v>
      </c>
      <c r="E34" s="655">
        <v>21881449.704034332</v>
      </c>
      <c r="F34" s="655"/>
      <c r="G34" s="655">
        <v>35000000</v>
      </c>
      <c r="H34" s="655">
        <v>35000000</v>
      </c>
      <c r="I34" s="655">
        <v>41000000</v>
      </c>
      <c r="J34" s="655">
        <f>'Summary (3)'!C60</f>
        <v>34030000</v>
      </c>
      <c r="K34" s="655"/>
      <c r="L34" s="574"/>
      <c r="M34" s="656"/>
    </row>
    <row r="35" spans="1:13" ht="41.25" customHeight="1" x14ac:dyDescent="0.35">
      <c r="A35" s="101" t="s">
        <v>1142</v>
      </c>
      <c r="B35" s="653" t="s">
        <v>1231</v>
      </c>
      <c r="C35" s="172">
        <v>37648530</v>
      </c>
      <c r="D35" s="654">
        <v>1.6858488579911218E-2</v>
      </c>
      <c r="E35" s="655">
        <v>15823932.773383243</v>
      </c>
      <c r="F35" s="655"/>
      <c r="G35" s="655">
        <v>15823932.773383243</v>
      </c>
      <c r="H35" s="655">
        <v>15823932.773383243</v>
      </c>
      <c r="I35" s="655">
        <v>25000000</v>
      </c>
      <c r="J35" s="655">
        <f>CAPEX!K184</f>
        <v>20723000</v>
      </c>
      <c r="K35" s="655"/>
      <c r="L35" s="574"/>
      <c r="M35" s="656"/>
    </row>
    <row r="36" spans="1:13" ht="41.25" customHeight="1" x14ac:dyDescent="0.35">
      <c r="A36" s="101" t="s">
        <v>1143</v>
      </c>
      <c r="B36" s="653" t="s">
        <v>2743</v>
      </c>
      <c r="C36" s="172">
        <v>36030331</v>
      </c>
      <c r="D36" s="654">
        <v>1.6133881553779688E-2</v>
      </c>
      <c r="E36" s="655">
        <v>15143792.746934511</v>
      </c>
      <c r="F36" s="655"/>
      <c r="G36" s="655">
        <v>15143792.746934511</v>
      </c>
      <c r="H36" s="655">
        <v>15143792.746934511</v>
      </c>
      <c r="I36" s="655">
        <v>25000000</v>
      </c>
      <c r="J36" s="655">
        <f>'Summary (3)'!C62</f>
        <v>20030331</v>
      </c>
      <c r="K36" s="655"/>
      <c r="L36" s="574"/>
      <c r="M36" s="656"/>
    </row>
    <row r="37" spans="1:13" ht="41.25" customHeight="1" x14ac:dyDescent="0.35">
      <c r="A37" s="101" t="s">
        <v>1145</v>
      </c>
      <c r="B37" s="653" t="s">
        <v>4941</v>
      </c>
      <c r="C37" s="172">
        <v>57576864</v>
      </c>
      <c r="D37" s="654">
        <v>2.5782119626213865E-2</v>
      </c>
      <c r="E37" s="655">
        <v>24199946.85684222</v>
      </c>
      <c r="F37" s="655"/>
      <c r="G37" s="655">
        <v>24199946.85684222</v>
      </c>
      <c r="H37" s="655">
        <v>24199946.85684222</v>
      </c>
      <c r="I37" s="655">
        <v>24199946.85684222</v>
      </c>
      <c r="J37" s="655">
        <f>CAPEX!K212</f>
        <v>20099947</v>
      </c>
      <c r="K37" s="655"/>
      <c r="L37" s="574"/>
      <c r="M37" s="656"/>
    </row>
    <row r="38" spans="1:13" ht="41.25" customHeight="1" x14ac:dyDescent="0.35">
      <c r="A38" s="101" t="s">
        <v>1146</v>
      </c>
      <c r="B38" s="653" t="s">
        <v>4599</v>
      </c>
      <c r="C38" s="172">
        <v>350000000</v>
      </c>
      <c r="D38" s="654">
        <v>0.15672513649188763</v>
      </c>
      <c r="E38" s="655">
        <v>147107376.32210702</v>
      </c>
      <c r="F38" s="655"/>
      <c r="G38" s="655">
        <v>147107376.32210702</v>
      </c>
      <c r="H38" s="655">
        <v>147107376.32210702</v>
      </c>
      <c r="I38" s="655">
        <v>147107376.32210702</v>
      </c>
      <c r="J38" s="655">
        <f>CAPEX!K228</f>
        <v>122007376</v>
      </c>
      <c r="K38" s="655"/>
      <c r="L38" s="574"/>
      <c r="M38" s="656"/>
    </row>
    <row r="39" spans="1:13" ht="27" customHeight="1" x14ac:dyDescent="0.35">
      <c r="A39" s="101" t="s">
        <v>1149</v>
      </c>
      <c r="B39" s="653" t="s">
        <v>1318</v>
      </c>
      <c r="C39" s="172">
        <v>100030331</v>
      </c>
      <c r="D39" s="654">
        <v>4.4792192226581998E-2</v>
      </c>
      <c r="E39" s="655">
        <v>42043427.274405502</v>
      </c>
      <c r="F39" s="655"/>
      <c r="G39" s="655">
        <v>42043427.274405502</v>
      </c>
      <c r="H39" s="655">
        <v>42043427.274405502</v>
      </c>
      <c r="I39" s="655">
        <v>42043427.274405502</v>
      </c>
      <c r="J39" s="655">
        <f>CAPEX!K233</f>
        <v>34896044</v>
      </c>
      <c r="K39" s="655"/>
      <c r="L39" s="574"/>
      <c r="M39" s="656"/>
    </row>
    <row r="40" spans="1:13" ht="32.25" customHeight="1" x14ac:dyDescent="0.35">
      <c r="A40" s="101" t="s">
        <v>1151</v>
      </c>
      <c r="B40" s="653" t="s">
        <v>1319</v>
      </c>
      <c r="C40" s="172">
        <v>401000000</v>
      </c>
      <c r="D40" s="654">
        <v>0.17956222780927697</v>
      </c>
      <c r="E40" s="655">
        <v>168543022.58618546</v>
      </c>
      <c r="F40" s="655"/>
      <c r="G40" s="655">
        <v>268543022.58618498</v>
      </c>
      <c r="H40" s="655">
        <v>268543022.58618498</v>
      </c>
      <c r="I40" s="655">
        <v>268543022.58618498</v>
      </c>
      <c r="J40" s="655">
        <f>'Summary (3)'!C66</f>
        <v>264000000</v>
      </c>
      <c r="K40" s="655"/>
      <c r="L40" s="574">
        <v>50000000</v>
      </c>
      <c r="M40" s="656"/>
    </row>
    <row r="41" spans="1:13" ht="23.25" x14ac:dyDescent="0.35">
      <c r="A41" s="101" t="s">
        <v>1153</v>
      </c>
      <c r="B41" s="653" t="s">
        <v>4719</v>
      </c>
      <c r="C41" s="172">
        <v>182121325</v>
      </c>
      <c r="D41" s="654">
        <v>8.1551398624881227E-2</v>
      </c>
      <c r="E41" s="655">
        <v>76546829.40873073</v>
      </c>
      <c r="F41" s="655"/>
      <c r="G41" s="655">
        <v>76546829.40873073</v>
      </c>
      <c r="H41" s="655">
        <v>76546829.40873073</v>
      </c>
      <c r="I41" s="655">
        <v>76546829.40873073</v>
      </c>
      <c r="J41" s="655">
        <f>CAPEX!K261</f>
        <v>96546829</v>
      </c>
      <c r="K41" s="655">
        <f>J41-I41</f>
        <v>19999999.59126927</v>
      </c>
      <c r="L41" s="574"/>
      <c r="M41" s="656"/>
    </row>
    <row r="42" spans="1:13" ht="36" customHeight="1" x14ac:dyDescent="0.35">
      <c r="A42" s="101" t="s">
        <v>1155</v>
      </c>
      <c r="B42" s="653" t="s">
        <v>1232</v>
      </c>
      <c r="C42" s="172">
        <v>49000000</v>
      </c>
      <c r="D42" s="654">
        <v>2.1941519108864271E-2</v>
      </c>
      <c r="E42" s="655">
        <v>20595032.685094982</v>
      </c>
      <c r="F42" s="655"/>
      <c r="G42" s="655">
        <v>35595032.685094997</v>
      </c>
      <c r="H42" s="655">
        <v>35595032.685094997</v>
      </c>
      <c r="I42" s="655">
        <v>35595032.685094997</v>
      </c>
      <c r="J42" s="655">
        <f>CAPEX!K271</f>
        <v>29457000</v>
      </c>
      <c r="K42" s="655"/>
      <c r="L42" s="574"/>
      <c r="M42" s="656"/>
    </row>
    <row r="43" spans="1:13" ht="34.5" customHeight="1" x14ac:dyDescent="0.35">
      <c r="A43" s="101" t="s">
        <v>1156</v>
      </c>
      <c r="B43" s="653" t="s">
        <v>1129</v>
      </c>
      <c r="C43" s="172">
        <v>43236397</v>
      </c>
      <c r="D43" s="654">
        <v>1.9360657774978404E-2</v>
      </c>
      <c r="E43" s="655">
        <v>18172551.212260053</v>
      </c>
      <c r="F43" s="655"/>
      <c r="G43" s="655">
        <v>18172551.212260053</v>
      </c>
      <c r="H43" s="655">
        <v>18172551.212260053</v>
      </c>
      <c r="I43" s="655">
        <v>25000000</v>
      </c>
      <c r="J43" s="655">
        <f>CAPEX!K282</f>
        <v>20000000</v>
      </c>
      <c r="K43" s="655"/>
      <c r="L43" s="574"/>
      <c r="M43" s="656"/>
    </row>
    <row r="44" spans="1:13" ht="27" customHeight="1" x14ac:dyDescent="0.35">
      <c r="A44" s="101" t="s">
        <v>1157</v>
      </c>
      <c r="B44" s="653" t="s">
        <v>2532</v>
      </c>
      <c r="C44" s="172">
        <v>30000000</v>
      </c>
      <c r="D44" s="654">
        <v>1.3433583127876082E-2</v>
      </c>
      <c r="E44" s="655">
        <v>12609203.684752028</v>
      </c>
      <c r="F44" s="655"/>
      <c r="G44" s="655">
        <v>20500000</v>
      </c>
      <c r="H44" s="655">
        <v>20500000</v>
      </c>
      <c r="I44" s="655">
        <v>20500000</v>
      </c>
      <c r="J44" s="655">
        <f>'Summary (3)'!C70</f>
        <v>17000000</v>
      </c>
      <c r="K44" s="655"/>
      <c r="L44" s="574"/>
      <c r="M44" s="656"/>
    </row>
    <row r="45" spans="1:13" ht="27" customHeight="1" x14ac:dyDescent="0.35">
      <c r="A45" s="101" t="s">
        <v>1159</v>
      </c>
      <c r="B45" s="653" t="s">
        <v>2785</v>
      </c>
      <c r="C45" s="172">
        <v>30000000</v>
      </c>
      <c r="D45" s="654">
        <v>1.3433583127876082E-2</v>
      </c>
      <c r="E45" s="655">
        <v>12609203.684752028</v>
      </c>
      <c r="F45" s="655"/>
      <c r="G45" s="655">
        <v>20500000</v>
      </c>
      <c r="H45" s="655">
        <v>20500000</v>
      </c>
      <c r="I45" s="655">
        <v>20500000</v>
      </c>
      <c r="J45" s="655">
        <f>'Summary (3)'!C71</f>
        <v>17000000</v>
      </c>
      <c r="K45" s="655"/>
      <c r="L45" s="574"/>
      <c r="M45" s="656"/>
    </row>
    <row r="46" spans="1:13" ht="27" customHeight="1" x14ac:dyDescent="0.35">
      <c r="A46" s="101" t="s">
        <v>1162</v>
      </c>
      <c r="B46" s="653" t="s">
        <v>1102</v>
      </c>
      <c r="C46" s="172">
        <v>37648530</v>
      </c>
      <c r="D46" s="654">
        <v>1.6858488579911218E-2</v>
      </c>
      <c r="E46" s="655">
        <v>15823932.773383243</v>
      </c>
      <c r="F46" s="655"/>
      <c r="G46" s="655">
        <v>15823932.773383243</v>
      </c>
      <c r="H46" s="655">
        <v>15823932.773383243</v>
      </c>
      <c r="I46" s="655">
        <v>15823932.773383243</v>
      </c>
      <c r="J46" s="655">
        <f>CAPEX!K334</f>
        <v>13523933</v>
      </c>
      <c r="K46" s="655"/>
      <c r="L46" s="574"/>
      <c r="M46" s="656"/>
    </row>
    <row r="47" spans="1:13" ht="34.5" customHeight="1" x14ac:dyDescent="0.35">
      <c r="A47" s="101" t="s">
        <v>1165</v>
      </c>
      <c r="B47" s="653" t="s">
        <v>1124</v>
      </c>
      <c r="C47" s="172">
        <v>150000000</v>
      </c>
      <c r="D47" s="654">
        <v>6.7167915639380418E-2</v>
      </c>
      <c r="E47" s="655">
        <v>63046018.423760146</v>
      </c>
      <c r="F47" s="655"/>
      <c r="G47" s="655">
        <v>63046018.423760146</v>
      </c>
      <c r="H47" s="655">
        <v>63046018.423760146</v>
      </c>
      <c r="I47" s="655">
        <v>63046018.423760146</v>
      </c>
      <c r="J47" s="655">
        <f>'Summary (3)'!C73</f>
        <v>52146018</v>
      </c>
      <c r="K47" s="655"/>
      <c r="L47" s="574"/>
      <c r="M47" s="656"/>
    </row>
    <row r="48" spans="1:13" ht="30.75" customHeight="1" x14ac:dyDescent="0.35">
      <c r="A48" s="101" t="s">
        <v>1167</v>
      </c>
      <c r="B48" s="653" t="s">
        <v>2801</v>
      </c>
      <c r="C48" s="172">
        <v>93976864</v>
      </c>
      <c r="D48" s="654">
        <v>4.2081533821370171E-2</v>
      </c>
      <c r="E48" s="655">
        <v>39499113.994341336</v>
      </c>
      <c r="F48" s="655"/>
      <c r="G48" s="655">
        <v>39499113.994341336</v>
      </c>
      <c r="H48" s="655">
        <v>39499113.994341336</v>
      </c>
      <c r="I48" s="655">
        <v>39499113.994341336</v>
      </c>
      <c r="J48" s="655">
        <f>'Summary (3)'!C74</f>
        <v>32729114</v>
      </c>
      <c r="K48" s="655"/>
      <c r="L48" s="574"/>
      <c r="M48" s="656"/>
    </row>
    <row r="49" spans="1:13" ht="36.75" customHeight="1" x14ac:dyDescent="0.35">
      <c r="A49" s="101" t="s">
        <v>1170</v>
      </c>
      <c r="B49" s="653" t="s">
        <v>1126</v>
      </c>
      <c r="C49" s="172">
        <v>60000000</v>
      </c>
      <c r="D49" s="654">
        <v>2.6867166255752164E-2</v>
      </c>
      <c r="E49" s="655">
        <v>25218407.369504057</v>
      </c>
      <c r="F49" s="655"/>
      <c r="G49" s="655">
        <v>25218407.369504057</v>
      </c>
      <c r="H49" s="655">
        <v>25218407.369504057</v>
      </c>
      <c r="I49" s="655">
        <v>25218407.369504057</v>
      </c>
      <c r="J49" s="655">
        <f>'Summary (3)'!C75</f>
        <v>20218407</v>
      </c>
      <c r="K49" s="655"/>
      <c r="L49" s="574"/>
      <c r="M49" s="656"/>
    </row>
    <row r="50" spans="1:13" ht="30.75" customHeight="1" x14ac:dyDescent="0.35">
      <c r="A50" s="101" t="s">
        <v>1171</v>
      </c>
      <c r="B50" s="653" t="s">
        <v>80</v>
      </c>
      <c r="C50" s="172">
        <v>64000000</v>
      </c>
      <c r="D50" s="654">
        <v>2.865831067280231E-2</v>
      </c>
      <c r="E50" s="655">
        <v>26899634.527470995</v>
      </c>
      <c r="F50" s="655"/>
      <c r="G50" s="655">
        <v>26899634.527470995</v>
      </c>
      <c r="H50" s="655">
        <v>26899634.527470995</v>
      </c>
      <c r="I50" s="655">
        <v>26899634.527470995</v>
      </c>
      <c r="J50" s="655">
        <f>CAPEX!K379</f>
        <v>31880000</v>
      </c>
      <c r="K50" s="655">
        <v>10000000</v>
      </c>
      <c r="L50" s="574"/>
      <c r="M50" s="656"/>
    </row>
    <row r="51" spans="1:13" ht="35.25" customHeight="1" x14ac:dyDescent="0.35">
      <c r="A51" s="101" t="s">
        <v>1172</v>
      </c>
      <c r="B51" s="653" t="s">
        <v>1217</v>
      </c>
      <c r="C51" s="172">
        <v>120000000</v>
      </c>
      <c r="D51" s="654">
        <v>5.3734332511504328E-2</v>
      </c>
      <c r="E51" s="655">
        <v>50436814.739008114</v>
      </c>
      <c r="F51" s="655"/>
      <c r="G51" s="655">
        <v>60000000</v>
      </c>
      <c r="H51" s="655">
        <v>60000000</v>
      </c>
      <c r="I51" s="655">
        <v>60000000</v>
      </c>
      <c r="J51" s="655">
        <f>'Summary (3)'!C77</f>
        <v>49800000</v>
      </c>
      <c r="K51" s="655"/>
      <c r="L51" s="574"/>
      <c r="M51" s="656"/>
    </row>
    <row r="52" spans="1:13" ht="27" customHeight="1" x14ac:dyDescent="0.35">
      <c r="A52" s="101" t="s">
        <v>1174</v>
      </c>
      <c r="B52" s="653" t="s">
        <v>317</v>
      </c>
      <c r="C52" s="172">
        <v>12000000</v>
      </c>
      <c r="D52" s="654">
        <v>5.3734332511504333E-3</v>
      </c>
      <c r="E52" s="655">
        <v>5043681.4739008117</v>
      </c>
      <c r="F52" s="655"/>
      <c r="G52" s="655">
        <v>5043681.4739008117</v>
      </c>
      <c r="H52" s="655">
        <v>5043681.4739008117</v>
      </c>
      <c r="I52" s="655">
        <v>12000000</v>
      </c>
      <c r="J52" s="655">
        <f>CAPEX!K427</f>
        <v>9500000</v>
      </c>
      <c r="K52" s="655"/>
      <c r="L52" s="574"/>
      <c r="M52" s="656"/>
    </row>
    <row r="53" spans="1:13" ht="44.25" customHeight="1" x14ac:dyDescent="0.35">
      <c r="A53" s="101" t="s">
        <v>1176</v>
      </c>
      <c r="B53" s="653" t="s">
        <v>2892</v>
      </c>
      <c r="C53" s="172">
        <v>500000000</v>
      </c>
      <c r="D53" s="654">
        <v>0.22389305213126806</v>
      </c>
      <c r="E53" s="655">
        <v>210153394.74586716</v>
      </c>
      <c r="F53" s="655"/>
      <c r="G53" s="655">
        <v>270000000</v>
      </c>
      <c r="H53" s="655">
        <v>270000000</v>
      </c>
      <c r="I53" s="655">
        <v>270000000</v>
      </c>
      <c r="J53" s="655">
        <f>'Summary (3)'!C86</f>
        <v>1270000000</v>
      </c>
      <c r="K53" s="655"/>
      <c r="L53" s="574"/>
      <c r="M53" s="656"/>
    </row>
    <row r="54" spans="1:13" ht="28.5" customHeight="1" x14ac:dyDescent="0.35">
      <c r="A54" s="101" t="s">
        <v>1178</v>
      </c>
      <c r="B54" s="653" t="s">
        <v>1144</v>
      </c>
      <c r="C54" s="172">
        <v>279972981.75</v>
      </c>
      <c r="D54" s="654">
        <v>0.12536801079659859</v>
      </c>
      <c r="E54" s="655">
        <v>117674545.10377041</v>
      </c>
      <c r="F54" s="655"/>
      <c r="G54" s="655">
        <v>117674545.10377041</v>
      </c>
      <c r="H54" s="655">
        <v>117674545.10377041</v>
      </c>
      <c r="I54" s="655">
        <v>117674545.10377041</v>
      </c>
      <c r="J54" s="655">
        <f>CAPEX!K739</f>
        <v>97174545</v>
      </c>
      <c r="K54" s="655"/>
      <c r="L54" s="574"/>
      <c r="M54" s="656"/>
    </row>
    <row r="55" spans="1:13" ht="29.25" customHeight="1" x14ac:dyDescent="0.35">
      <c r="A55" s="101" t="s">
        <v>1179</v>
      </c>
      <c r="B55" s="653" t="s">
        <v>2483</v>
      </c>
      <c r="C55" s="172">
        <v>250000000</v>
      </c>
      <c r="D55" s="654">
        <v>0.11194652606563403</v>
      </c>
      <c r="E55" s="655">
        <v>105076697.37293358</v>
      </c>
      <c r="F55" s="655"/>
      <c r="G55" s="655">
        <v>105076697.37293358</v>
      </c>
      <c r="H55" s="655">
        <v>105076697.37293358</v>
      </c>
      <c r="I55" s="655">
        <v>105076697.37293358</v>
      </c>
      <c r="J55" s="655">
        <f>CAPEX!K786</f>
        <v>227000000</v>
      </c>
      <c r="K55" s="655"/>
      <c r="L55" s="574"/>
      <c r="M55" s="656"/>
    </row>
    <row r="56" spans="1:13" ht="33" customHeight="1" x14ac:dyDescent="0.35">
      <c r="A56" s="101" t="s">
        <v>1180</v>
      </c>
      <c r="B56" s="653" t="s">
        <v>1378</v>
      </c>
      <c r="C56" s="172">
        <v>206888786</v>
      </c>
      <c r="D56" s="654">
        <v>9.2641923498545525E-2</v>
      </c>
      <c r="E56" s="655">
        <v>86956761.425502479</v>
      </c>
      <c r="F56" s="655"/>
      <c r="G56" s="655">
        <v>86956761.425502479</v>
      </c>
      <c r="H56" s="655">
        <v>86956761.425502479</v>
      </c>
      <c r="I56" s="655">
        <v>86956761.425502479</v>
      </c>
      <c r="J56" s="655">
        <f>CAPEX!K835</f>
        <v>72000000</v>
      </c>
      <c r="K56" s="655"/>
      <c r="L56" s="574"/>
      <c r="M56" s="656"/>
    </row>
    <row r="57" spans="1:13" ht="29.25" customHeight="1" x14ac:dyDescent="0.35">
      <c r="A57" s="101" t="s">
        <v>1182</v>
      </c>
      <c r="B57" s="653" t="s">
        <v>2600</v>
      </c>
      <c r="C57" s="172">
        <v>1541367801</v>
      </c>
      <c r="D57" s="654">
        <v>0.69020308284550203</v>
      </c>
      <c r="E57" s="655">
        <v>647847351.86424446</v>
      </c>
      <c r="F57" s="655"/>
      <c r="G57" s="655">
        <v>647847351.86424446</v>
      </c>
      <c r="H57" s="655">
        <v>547847351.86424398</v>
      </c>
      <c r="I57" s="655">
        <v>547847351.86424398</v>
      </c>
      <c r="J57" s="655">
        <f>CAPEX!K857</f>
        <v>751347352</v>
      </c>
      <c r="K57" s="655"/>
      <c r="L57" s="574"/>
      <c r="M57" s="656"/>
    </row>
    <row r="58" spans="1:13" ht="30.75" customHeight="1" x14ac:dyDescent="0.35">
      <c r="A58" s="101" t="s">
        <v>1184</v>
      </c>
      <c r="B58" s="653" t="s">
        <v>4917</v>
      </c>
      <c r="C58" s="172">
        <v>600000000</v>
      </c>
      <c r="D58" s="654">
        <v>0.26867166255752167</v>
      </c>
      <c r="E58" s="655">
        <v>252184073.69504058</v>
      </c>
      <c r="F58" s="655"/>
      <c r="G58" s="655">
        <v>252184073.69504058</v>
      </c>
      <c r="H58" s="655">
        <v>252184073.69504058</v>
      </c>
      <c r="I58" s="655">
        <v>252184073.69504058</v>
      </c>
      <c r="J58" s="655">
        <f>CAPEX!K867</f>
        <v>209184074</v>
      </c>
      <c r="K58" s="655"/>
      <c r="L58" s="574"/>
      <c r="M58" s="656"/>
    </row>
    <row r="59" spans="1:13" ht="30.75" customHeight="1" x14ac:dyDescent="0.35">
      <c r="A59" s="101" t="s">
        <v>1186</v>
      </c>
      <c r="B59" s="653" t="s">
        <v>1134</v>
      </c>
      <c r="C59" s="172">
        <v>216181988</v>
      </c>
      <c r="D59" s="654">
        <v>9.6803290218250321E-2</v>
      </c>
      <c r="E59" s="655">
        <v>90862757.322220623</v>
      </c>
      <c r="F59" s="655">
        <v>120862757</v>
      </c>
      <c r="G59" s="655">
        <v>120862757</v>
      </c>
      <c r="H59" s="655">
        <v>120862757</v>
      </c>
      <c r="I59" s="655">
        <v>120862757</v>
      </c>
      <c r="J59" s="655">
        <f>'Summary (3)'!C96</f>
        <v>100362755.73999998</v>
      </c>
      <c r="K59" s="655"/>
      <c r="L59" s="574"/>
      <c r="M59" s="656"/>
    </row>
    <row r="60" spans="1:13" ht="39" customHeight="1" x14ac:dyDescent="0.35">
      <c r="A60" s="101" t="s">
        <v>1335</v>
      </c>
      <c r="B60" s="653" t="s">
        <v>3100</v>
      </c>
      <c r="C60" s="172">
        <v>149000000</v>
      </c>
      <c r="D60" s="654">
        <v>6.6720129535117884E-2</v>
      </c>
      <c r="E60" s="655">
        <v>62625711.634268418</v>
      </c>
      <c r="F60" s="655"/>
      <c r="G60" s="655">
        <v>62625711.634268418</v>
      </c>
      <c r="H60" s="655">
        <v>78625711.634268403</v>
      </c>
      <c r="I60" s="655">
        <v>78625711.634268403</v>
      </c>
      <c r="J60" s="655">
        <f>CAPEX!K1402</f>
        <v>77625712</v>
      </c>
      <c r="K60" s="655">
        <f>J60-I60</f>
        <v>-999999.63426840305</v>
      </c>
      <c r="L60" s="574"/>
      <c r="M60" s="656"/>
    </row>
    <row r="61" spans="1:13" ht="32.25" customHeight="1" x14ac:dyDescent="0.35">
      <c r="A61" s="101" t="s">
        <v>2494</v>
      </c>
      <c r="B61" s="653" t="s">
        <v>3060</v>
      </c>
      <c r="C61" s="172">
        <v>129709192</v>
      </c>
      <c r="D61" s="654">
        <v>5.8081973772721306E-2</v>
      </c>
      <c r="E61" s="655">
        <v>54517654.057086937</v>
      </c>
      <c r="F61" s="655"/>
      <c r="G61" s="655">
        <v>54517654.057086937</v>
      </c>
      <c r="H61" s="655">
        <v>54517654.057086937</v>
      </c>
      <c r="I61" s="655">
        <v>100000000</v>
      </c>
      <c r="J61" s="655">
        <f>'Summary (3)'!C106</f>
        <v>81000000</v>
      </c>
      <c r="K61" s="655"/>
      <c r="L61" s="574"/>
      <c r="M61" s="656"/>
    </row>
    <row r="62" spans="1:13" ht="36" customHeight="1" x14ac:dyDescent="0.35">
      <c r="A62" s="101" t="s">
        <v>2495</v>
      </c>
      <c r="B62" s="653" t="s">
        <v>1168</v>
      </c>
      <c r="C62" s="172">
        <v>343599629</v>
      </c>
      <c r="D62" s="654">
        <v>0.15385913929596273</v>
      </c>
      <c r="E62" s="655">
        <v>144417256.935541</v>
      </c>
      <c r="F62" s="655"/>
      <c r="G62" s="655">
        <v>144417256.935541</v>
      </c>
      <c r="H62" s="655">
        <v>144417256.935541</v>
      </c>
      <c r="I62" s="655">
        <v>144417256.935541</v>
      </c>
      <c r="J62" s="655">
        <f>CAPEX!K1506</f>
        <v>119000000</v>
      </c>
      <c r="K62" s="655"/>
      <c r="L62" s="574"/>
      <c r="M62" s="656"/>
    </row>
    <row r="63" spans="1:13" ht="32.25" customHeight="1" x14ac:dyDescent="0.35">
      <c r="A63" s="101" t="s">
        <v>2496</v>
      </c>
      <c r="B63" s="653" t="s">
        <v>1163</v>
      </c>
      <c r="C63" s="172">
        <v>72000000</v>
      </c>
      <c r="D63" s="654">
        <v>3.2240599506902598E-2</v>
      </c>
      <c r="E63" s="655">
        <v>30262088.84340487</v>
      </c>
      <c r="F63" s="655"/>
      <c r="G63" s="655">
        <v>30262088.84340487</v>
      </c>
      <c r="H63" s="655">
        <v>30262088.84340487</v>
      </c>
      <c r="I63" s="655">
        <v>50000000</v>
      </c>
      <c r="J63" s="655">
        <f>CAPEX!K1519</f>
        <v>31000000</v>
      </c>
      <c r="K63" s="655"/>
      <c r="L63" s="574"/>
      <c r="M63" s="656"/>
    </row>
    <row r="64" spans="1:13" ht="32.25" customHeight="1" x14ac:dyDescent="0.35">
      <c r="A64" s="101" t="s">
        <v>2497</v>
      </c>
      <c r="B64" s="653" t="s">
        <v>1383</v>
      </c>
      <c r="C64" s="172">
        <v>1340806439</v>
      </c>
      <c r="D64" s="654">
        <v>0.60039449188993377</v>
      </c>
      <c r="E64" s="655">
        <v>563550049.70593488</v>
      </c>
      <c r="F64" s="655">
        <v>1374033313</v>
      </c>
      <c r="G64" s="655">
        <v>1000000000</v>
      </c>
      <c r="H64" s="655">
        <v>1000000000</v>
      </c>
      <c r="I64" s="655">
        <v>1200000000</v>
      </c>
      <c r="J64" s="655">
        <f>CAPEX!K1649</f>
        <v>1200000000</v>
      </c>
      <c r="K64" s="655"/>
      <c r="L64" s="574">
        <f>I63-J63</f>
        <v>19000000</v>
      </c>
      <c r="M64" s="656"/>
    </row>
    <row r="65" spans="1:14" ht="32.25" customHeight="1" x14ac:dyDescent="0.35">
      <c r="A65" s="101" t="s">
        <v>4918</v>
      </c>
      <c r="B65" s="653" t="s">
        <v>1187</v>
      </c>
      <c r="C65" s="172">
        <v>25216610</v>
      </c>
      <c r="D65" s="654">
        <v>1.1291647554607711E-2</v>
      </c>
      <c r="E65" s="655">
        <v>10598712.390965162</v>
      </c>
      <c r="F65" s="655"/>
      <c r="G65" s="655">
        <v>10598712.390965162</v>
      </c>
      <c r="H65" s="655">
        <v>10598712.390965162</v>
      </c>
      <c r="I65" s="655">
        <v>25000000</v>
      </c>
      <c r="J65" s="655">
        <f>CAPEX!K1663</f>
        <v>20000000</v>
      </c>
      <c r="K65" s="655"/>
      <c r="L65" s="574"/>
      <c r="M65" s="656"/>
    </row>
    <row r="66" spans="1:14" ht="32.25" customHeight="1" x14ac:dyDescent="0.35">
      <c r="A66" s="101" t="s">
        <v>4919</v>
      </c>
      <c r="B66" s="653" t="s">
        <v>1322</v>
      </c>
      <c r="C66" s="172">
        <v>151848997</v>
      </c>
      <c r="D66" s="654">
        <v>6.7995870802803532E-2</v>
      </c>
      <c r="E66" s="655">
        <v>63823164.416609995</v>
      </c>
      <c r="F66" s="655"/>
      <c r="G66" s="655">
        <v>63823164.416609995</v>
      </c>
      <c r="H66" s="655">
        <v>63823164.416609995</v>
      </c>
      <c r="I66" s="655">
        <v>63823164.416609995</v>
      </c>
      <c r="J66" s="655">
        <f>CAPEX!K1677</f>
        <v>83000000</v>
      </c>
      <c r="K66" s="655">
        <v>36176836</v>
      </c>
      <c r="L66" s="574"/>
      <c r="M66" s="656"/>
    </row>
    <row r="67" spans="1:14" ht="32.25" customHeight="1" x14ac:dyDescent="0.35">
      <c r="A67" s="101" t="s">
        <v>4920</v>
      </c>
      <c r="B67" s="653" t="s">
        <v>1871</v>
      </c>
      <c r="C67" s="172">
        <v>100000000</v>
      </c>
      <c r="D67" s="654">
        <v>4.4778610426253612E-2</v>
      </c>
      <c r="E67" s="655">
        <v>42030678.949173436</v>
      </c>
      <c r="F67" s="655"/>
      <c r="G67" s="655">
        <v>42030678.949173436</v>
      </c>
      <c r="H67" s="655">
        <v>42030678.949173436</v>
      </c>
      <c r="I67" s="655">
        <v>42030678.949173436</v>
      </c>
      <c r="J67" s="655">
        <f>CAPEX!K2192</f>
        <v>34245098</v>
      </c>
      <c r="K67" s="655"/>
      <c r="L67" s="574"/>
      <c r="M67" s="656"/>
    </row>
    <row r="68" spans="1:14" ht="37.5" customHeight="1" x14ac:dyDescent="0.35">
      <c r="A68" s="101" t="s">
        <v>4921</v>
      </c>
      <c r="B68" s="653" t="s">
        <v>1872</v>
      </c>
      <c r="C68" s="172">
        <v>1550000000</v>
      </c>
      <c r="D68" s="654">
        <v>0.69406846160693092</v>
      </c>
      <c r="E68" s="659">
        <v>651475523.71218812</v>
      </c>
      <c r="F68" s="659">
        <v>1510664674.26</v>
      </c>
      <c r="G68" s="659">
        <v>1510664674.26</v>
      </c>
      <c r="H68" s="659">
        <v>1510664674.26</v>
      </c>
      <c r="I68" s="659">
        <v>1510664674.26</v>
      </c>
      <c r="J68" s="659">
        <f>CAPEX!K2200</f>
        <v>1510604674</v>
      </c>
      <c r="K68" s="659"/>
      <c r="L68" s="679"/>
      <c r="M68" s="656"/>
    </row>
    <row r="69" spans="1:14" ht="30" customHeight="1" x14ac:dyDescent="0.35">
      <c r="A69" s="101" t="s">
        <v>4922</v>
      </c>
      <c r="B69" s="653" t="s">
        <v>3404</v>
      </c>
      <c r="C69" s="172">
        <v>650000000</v>
      </c>
      <c r="D69" s="654">
        <v>0.29106096777064844</v>
      </c>
      <c r="E69" s="655">
        <v>273199413.16962725</v>
      </c>
      <c r="F69" s="655"/>
      <c r="G69" s="655">
        <v>273199413.16962725</v>
      </c>
      <c r="H69" s="655">
        <v>273199413.16962725</v>
      </c>
      <c r="I69" s="655">
        <v>273199413.16962725</v>
      </c>
      <c r="J69" s="655">
        <f>CAPEX!K2243</f>
        <v>349199413</v>
      </c>
      <c r="K69" s="655"/>
      <c r="L69" s="574"/>
      <c r="M69" s="656"/>
    </row>
    <row r="70" spans="1:14" ht="35.25" customHeight="1" x14ac:dyDescent="0.35">
      <c r="A70" s="101" t="s">
        <v>4923</v>
      </c>
      <c r="B70" s="653" t="s">
        <v>4562</v>
      </c>
      <c r="C70" s="172">
        <v>500000000</v>
      </c>
      <c r="D70" s="654">
        <v>0.22389305213126806</v>
      </c>
      <c r="E70" s="655">
        <v>210153394.74586716</v>
      </c>
      <c r="F70" s="655"/>
      <c r="G70" s="655">
        <v>210153394.74586716</v>
      </c>
      <c r="H70" s="655">
        <v>210153394.74586716</v>
      </c>
      <c r="I70" s="655">
        <v>210153394.74586716</v>
      </c>
      <c r="J70" s="655">
        <f>CAPEX!K2354</f>
        <v>174427318</v>
      </c>
      <c r="K70" s="655"/>
      <c r="L70" s="574"/>
      <c r="M70" s="656"/>
    </row>
    <row r="71" spans="1:14" ht="41.25" customHeight="1" x14ac:dyDescent="0.35">
      <c r="A71" s="101" t="s">
        <v>4924</v>
      </c>
      <c r="B71" s="660" t="s">
        <v>4563</v>
      </c>
      <c r="C71" s="209">
        <v>742000000</v>
      </c>
      <c r="D71" s="654">
        <v>0.33225728936280174</v>
      </c>
      <c r="E71" s="655">
        <v>311867637.80286682</v>
      </c>
      <c r="F71" s="655"/>
      <c r="G71" s="655">
        <v>411867637.80286682</v>
      </c>
      <c r="H71" s="655">
        <v>411867637.80286682</v>
      </c>
      <c r="I71" s="655">
        <v>500000000</v>
      </c>
      <c r="J71" s="655">
        <f>CAPEX!K2382</f>
        <v>500000000</v>
      </c>
      <c r="K71" s="655"/>
      <c r="L71" s="574"/>
      <c r="M71" s="656"/>
    </row>
    <row r="72" spans="1:14" ht="28.5" customHeight="1" x14ac:dyDescent="0.35">
      <c r="A72" s="101" t="s">
        <v>4925</v>
      </c>
      <c r="B72" s="660" t="s">
        <v>4926</v>
      </c>
      <c r="C72" s="209">
        <v>0</v>
      </c>
      <c r="D72" s="654">
        <v>0</v>
      </c>
      <c r="E72" s="655"/>
      <c r="F72" s="655"/>
      <c r="G72" s="655">
        <v>300000000</v>
      </c>
      <c r="H72" s="655">
        <v>300000000</v>
      </c>
      <c r="I72" s="675">
        <v>400000000</v>
      </c>
      <c r="J72" s="655"/>
      <c r="K72" s="655"/>
      <c r="L72" s="574"/>
      <c r="M72" s="656"/>
    </row>
    <row r="73" spans="1:14" ht="27" customHeight="1" x14ac:dyDescent="0.35">
      <c r="A73" s="101" t="s">
        <v>4927</v>
      </c>
      <c r="B73" s="660" t="s">
        <v>81</v>
      </c>
      <c r="C73" s="209">
        <v>0</v>
      </c>
      <c r="D73" s="654">
        <v>0</v>
      </c>
      <c r="E73" s="655"/>
      <c r="F73" s="655"/>
      <c r="G73" s="655">
        <v>1000000000</v>
      </c>
      <c r="H73" s="655">
        <v>1000000000</v>
      </c>
      <c r="I73" s="675">
        <v>2000000000</v>
      </c>
      <c r="J73" s="655"/>
      <c r="K73" s="655"/>
      <c r="L73" s="574"/>
      <c r="M73" s="656"/>
    </row>
    <row r="74" spans="1:14" ht="32.25" customHeight="1" x14ac:dyDescent="0.35">
      <c r="A74" s="101" t="s">
        <v>4928</v>
      </c>
      <c r="B74" s="653" t="s">
        <v>1036</v>
      </c>
      <c r="C74" s="172">
        <v>3000000000</v>
      </c>
      <c r="D74" s="654">
        <v>1.3433583127876081</v>
      </c>
      <c r="E74" s="655">
        <v>1260920368.4752028</v>
      </c>
      <c r="F74" s="655"/>
      <c r="G74" s="655">
        <v>2000000000</v>
      </c>
      <c r="H74" s="172">
        <v>2000000000</v>
      </c>
      <c r="I74" s="172">
        <v>3000000000</v>
      </c>
      <c r="J74" s="172">
        <f>'Summary (3)'!C15</f>
        <v>2500000000</v>
      </c>
      <c r="K74" s="172"/>
      <c r="L74" s="678"/>
      <c r="M74" s="656"/>
      <c r="N74" s="645">
        <v>128824030204.959</v>
      </c>
    </row>
    <row r="75" spans="1:14" ht="32.25" customHeight="1" x14ac:dyDescent="0.35">
      <c r="A75" s="101" t="s">
        <v>4929</v>
      </c>
      <c r="B75" s="653" t="s">
        <v>4930</v>
      </c>
      <c r="C75" s="172"/>
      <c r="D75" s="654"/>
      <c r="E75" s="654"/>
      <c r="F75" s="654"/>
      <c r="G75" s="655">
        <v>1000000000</v>
      </c>
      <c r="H75" s="172">
        <v>1000000000</v>
      </c>
      <c r="I75" s="131">
        <v>2000000000</v>
      </c>
      <c r="J75" s="172"/>
      <c r="K75" s="172"/>
      <c r="L75" s="678"/>
      <c r="M75" s="656"/>
    </row>
    <row r="76" spans="1:14" ht="32.25" customHeight="1" x14ac:dyDescent="0.35">
      <c r="A76" s="101" t="s">
        <v>4931</v>
      </c>
      <c r="B76" s="653" t="s">
        <v>555</v>
      </c>
      <c r="C76" s="172"/>
      <c r="D76" s="654"/>
      <c r="E76" s="654"/>
      <c r="F76" s="654"/>
      <c r="G76" s="655">
        <v>500000000</v>
      </c>
      <c r="H76" s="172">
        <v>500000000</v>
      </c>
      <c r="I76" s="131">
        <v>500000000</v>
      </c>
      <c r="J76" s="172"/>
      <c r="K76" s="172"/>
      <c r="L76" s="678"/>
      <c r="M76" s="656"/>
    </row>
    <row r="77" spans="1:14" ht="23.25" x14ac:dyDescent="0.35">
      <c r="A77" s="101" t="s">
        <v>4932</v>
      </c>
      <c r="B77" s="653" t="s">
        <v>4933</v>
      </c>
      <c r="C77" s="547"/>
      <c r="D77" s="547"/>
      <c r="E77" s="655">
        <v>1500000000</v>
      </c>
      <c r="F77" s="655"/>
      <c r="G77" s="655">
        <v>500000000</v>
      </c>
      <c r="H77" s="172">
        <v>900000000</v>
      </c>
      <c r="I77" s="131">
        <v>900000000</v>
      </c>
      <c r="J77" s="172"/>
      <c r="K77" s="172"/>
      <c r="L77" s="678"/>
      <c r="M77" s="656"/>
    </row>
    <row r="78" spans="1:14" s="662" customFormat="1" ht="23.25" x14ac:dyDescent="0.35">
      <c r="A78" s="101"/>
      <c r="B78" s="661" t="s">
        <v>4934</v>
      </c>
      <c r="C78" s="204">
        <v>223320909354.01202</v>
      </c>
      <c r="D78" s="204">
        <v>100.00000000000003</v>
      </c>
      <c r="E78" s="204">
        <v>95363294436.959381</v>
      </c>
      <c r="F78" s="204">
        <v>63112351788.400009</v>
      </c>
      <c r="G78" s="201">
        <v>107630359929.33458</v>
      </c>
      <c r="H78" s="204">
        <v>107824030204.959</v>
      </c>
      <c r="I78" s="204">
        <f>SUM(I5:I77)</f>
        <v>115035040938.82988</v>
      </c>
      <c r="J78" s="204">
        <f>SUM(J5:J77)</f>
        <v>129865466342.39999</v>
      </c>
      <c r="K78" s="204">
        <f>SUM(K5:K77)</f>
        <v>415176835.95700085</v>
      </c>
      <c r="L78" s="204">
        <f>SUM(L4:L77)</f>
        <v>10893824999.801296</v>
      </c>
      <c r="M78" s="204">
        <f t="shared" ref="M78" si="0">SUM(M5:M77)</f>
        <v>89341975328.793457</v>
      </c>
      <c r="N78" s="658">
        <v>7898905516.2703876</v>
      </c>
    </row>
    <row r="79" spans="1:14" ht="32.25" customHeight="1" x14ac:dyDescent="0.35">
      <c r="F79" s="663"/>
      <c r="G79" s="650"/>
      <c r="H79" s="663"/>
      <c r="J79" s="663"/>
      <c r="K79" s="663"/>
      <c r="L79" s="663"/>
      <c r="M79" s="656"/>
      <c r="N79" s="645">
        <v>95363294437</v>
      </c>
    </row>
    <row r="80" spans="1:14" ht="32.25" customHeight="1" x14ac:dyDescent="0.35">
      <c r="B80" s="664" t="s">
        <v>4935</v>
      </c>
      <c r="F80" s="663"/>
      <c r="G80" s="574">
        <v>8000000000</v>
      </c>
      <c r="H80" s="574">
        <v>8000000000</v>
      </c>
      <c r="I80" s="574">
        <v>7000000000</v>
      </c>
      <c r="J80" s="574"/>
      <c r="K80" s="574"/>
      <c r="L80" s="574"/>
      <c r="M80" s="656"/>
    </row>
    <row r="81" spans="1:14" ht="32.25" customHeight="1" x14ac:dyDescent="0.35">
      <c r="B81" s="664" t="s">
        <v>4936</v>
      </c>
      <c r="F81" s="663"/>
      <c r="G81" s="574">
        <v>2000000000</v>
      </c>
      <c r="H81" s="574">
        <v>2000000000</v>
      </c>
      <c r="I81" s="574">
        <v>1000000000</v>
      </c>
      <c r="J81" s="574"/>
      <c r="K81" s="574"/>
      <c r="L81" s="574"/>
      <c r="M81" s="656"/>
      <c r="N81" s="645">
        <v>118804959204.96335</v>
      </c>
    </row>
    <row r="82" spans="1:14" ht="32.25" customHeight="1" x14ac:dyDescent="0.35">
      <c r="G82" s="650">
        <v>10000000000</v>
      </c>
      <c r="H82" s="663">
        <v>10000000000</v>
      </c>
      <c r="I82" s="663">
        <v>8000000000</v>
      </c>
      <c r="J82" s="663"/>
      <c r="K82" s="663">
        <f>K78-I81</f>
        <v>-584823164.04299915</v>
      </c>
      <c r="L82" s="663"/>
      <c r="M82" s="656"/>
      <c r="N82" s="645">
        <v>-980929000.00434875</v>
      </c>
    </row>
    <row r="83" spans="1:14" ht="32.25" customHeight="1" x14ac:dyDescent="0.35">
      <c r="B83" s="665" t="s">
        <v>4937</v>
      </c>
      <c r="F83" s="663"/>
      <c r="G83" s="650">
        <v>117630359929.33458</v>
      </c>
      <c r="H83" s="650">
        <v>117824030204.959</v>
      </c>
      <c r="I83" s="650">
        <f>I82+I78</f>
        <v>123035040938.82988</v>
      </c>
      <c r="J83" s="650"/>
      <c r="K83" s="650"/>
      <c r="L83" s="650"/>
      <c r="M83" s="656"/>
    </row>
    <row r="84" spans="1:14" ht="33.75" customHeight="1" x14ac:dyDescent="0.35">
      <c r="B84" s="665" t="s">
        <v>1055</v>
      </c>
      <c r="D84" t="s">
        <v>4798</v>
      </c>
      <c r="F84" s="140"/>
      <c r="H84" s="648">
        <v>118804959204.963</v>
      </c>
      <c r="I84" s="648">
        <v>123035040938.5047</v>
      </c>
      <c r="J84" s="648"/>
      <c r="K84" s="648"/>
      <c r="L84" s="648"/>
      <c r="M84" s="656"/>
    </row>
    <row r="85" spans="1:14" ht="33.75" customHeight="1" x14ac:dyDescent="0.3">
      <c r="B85" s="665"/>
      <c r="H85" s="648">
        <v>-980929000.0039978</v>
      </c>
      <c r="I85" s="648">
        <v>0.3251800537109375</v>
      </c>
      <c r="J85" s="648">
        <f>I84-J78</f>
        <v>-6830425403.8952942</v>
      </c>
      <c r="K85" s="648"/>
      <c r="L85" s="648"/>
      <c r="M85" s="140"/>
    </row>
    <row r="86" spans="1:14" ht="13.5" customHeight="1" x14ac:dyDescent="0.35">
      <c r="A86" s="665" t="s">
        <v>4938</v>
      </c>
      <c r="B86" s="671" t="s">
        <v>4939</v>
      </c>
      <c r="C86" s="671"/>
      <c r="D86" s="671"/>
      <c r="E86" s="671"/>
      <c r="F86" s="671"/>
      <c r="G86" s="671"/>
      <c r="H86" s="671"/>
      <c r="M86" s="666"/>
    </row>
    <row r="87" spans="1:14" ht="5.25" hidden="1" customHeight="1" x14ac:dyDescent="0.35">
      <c r="B87" s="671"/>
      <c r="C87" s="671"/>
      <c r="D87" s="671"/>
      <c r="E87" s="671"/>
      <c r="F87" s="671"/>
      <c r="G87" s="671"/>
      <c r="H87" s="671"/>
    </row>
    <row r="88" spans="1:14" ht="154.5" customHeight="1" x14ac:dyDescent="0.35">
      <c r="B88" s="671"/>
      <c r="C88" s="671"/>
      <c r="D88" s="671"/>
      <c r="E88" s="671"/>
      <c r="F88" s="671"/>
      <c r="G88" s="671"/>
      <c r="H88" s="671"/>
      <c r="J88" s="667"/>
      <c r="M88" s="668"/>
    </row>
    <row r="89" spans="1:14" ht="15" customHeight="1" x14ac:dyDescent="0.25"/>
    <row r="90" spans="1:14" x14ac:dyDescent="0.25">
      <c r="C90" s="669"/>
    </row>
    <row r="102" spans="10:14" ht="23.25" customHeight="1" x14ac:dyDescent="0.35">
      <c r="J102" s="650"/>
      <c r="K102" s="650"/>
      <c r="L102" s="650"/>
      <c r="M102" s="663"/>
      <c r="N102" s="672">
        <v>-980929000.00434875</v>
      </c>
    </row>
    <row r="103" spans="10:14" ht="23.25" customHeight="1" x14ac:dyDescent="0.35">
      <c r="K103" s="650"/>
      <c r="L103" s="650"/>
      <c r="M103" s="650"/>
      <c r="N103" s="673"/>
    </row>
    <row r="104" spans="10:14" ht="15" customHeight="1" x14ac:dyDescent="0.25">
      <c r="M104" s="645"/>
      <c r="N104" s="673"/>
    </row>
    <row r="105" spans="10:14" ht="15" customHeight="1" x14ac:dyDescent="0.25">
      <c r="N105" s="673"/>
    </row>
    <row r="106" spans="10:14" ht="15" customHeight="1" x14ac:dyDescent="0.25">
      <c r="J106" s="140"/>
      <c r="K106" s="140"/>
      <c r="L106" s="140"/>
      <c r="M106" s="666"/>
      <c r="N106" s="673"/>
    </row>
    <row r="107" spans="10:14" ht="15" customHeight="1" x14ac:dyDescent="0.25">
      <c r="N107" s="674"/>
    </row>
    <row r="108" spans="10:14" x14ac:dyDescent="0.25">
      <c r="N108" s="645">
        <v>60000000</v>
      </c>
    </row>
    <row r="109" spans="10:14" x14ac:dyDescent="0.25">
      <c r="K109" s="140"/>
      <c r="L109" s="140"/>
      <c r="N109" s="645">
        <v>123125810</v>
      </c>
    </row>
    <row r="110" spans="10:14" ht="23.25" x14ac:dyDescent="0.35">
      <c r="J110" s="650"/>
      <c r="N110" s="645">
        <v>7852875</v>
      </c>
    </row>
    <row r="111" spans="10:14" x14ac:dyDescent="0.25">
      <c r="N111" s="645">
        <v>19054628</v>
      </c>
    </row>
    <row r="112" spans="10:14" x14ac:dyDescent="0.25">
      <c r="J112" s="140"/>
      <c r="N112" s="645">
        <v>94000000</v>
      </c>
    </row>
    <row r="113" spans="14:14" x14ac:dyDescent="0.25">
      <c r="N113" s="658">
        <v>304033313</v>
      </c>
    </row>
  </sheetData>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E80822-8E52-41C2-8D79-9E401F457B45}"/>
</file>

<file path=customXml/itemProps2.xml><?xml version="1.0" encoding="utf-8"?>
<ds:datastoreItem xmlns:ds="http://schemas.openxmlformats.org/officeDocument/2006/customXml" ds:itemID="{9BC68E94-ADDE-40C8-9348-AAF26D24D10B}"/>
</file>

<file path=customXml/itemProps3.xml><?xml version="1.0" encoding="utf-8"?>
<ds:datastoreItem xmlns:ds="http://schemas.openxmlformats.org/officeDocument/2006/customXml" ds:itemID="{C3B93E00-7266-4635-97AF-E3BF7ECA6B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CAP LIMIT</vt:lpstr>
      <vt:lpstr>ISSUES </vt:lpstr>
      <vt:lpstr>CAPEX</vt:lpstr>
      <vt:lpstr>Summary</vt:lpstr>
      <vt:lpstr>Summary (2)</vt:lpstr>
      <vt:lpstr>Summary (3)</vt:lpstr>
      <vt:lpstr>Sheet1</vt:lpstr>
      <vt:lpstr>'CAP LIMIT'!Print_Area</vt:lpstr>
      <vt:lpstr>CAPEX!Print_Area</vt:lpstr>
      <vt:lpstr>'ISSUES '!Print_Area</vt:lpstr>
      <vt:lpstr>Sheet1!Print_Area</vt:lpstr>
      <vt:lpstr>Summary!Print_Area</vt:lpstr>
      <vt:lpstr>'Summary (2)'!Print_Area</vt:lpstr>
      <vt:lpstr>'Summary (3)'!Print_Area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ERUOGHENE</dc:creator>
  <cp:lastModifiedBy>Emeka Okonkwo</cp:lastModifiedBy>
  <cp:lastPrinted>2020-07-15T04:52:32Z</cp:lastPrinted>
  <dcterms:created xsi:type="dcterms:W3CDTF">2019-01-24T06:52:09Z</dcterms:created>
  <dcterms:modified xsi:type="dcterms:W3CDTF">2020-07-22T13:05:29Z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